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7E0B503-5B0D-4AF9-9212-128677F7B233}" xr6:coauthVersionLast="47" xr6:coauthVersionMax="47" xr10:uidLastSave="{00000000-0000-0000-0000-000000000000}"/>
  <bookViews>
    <workbookView xWindow="-108" yWindow="-108" windowWidth="23256" windowHeight="12576" tabRatio="895" activeTab="1" xr2:uid="{00000000-000D-0000-FFFF-FFFF00000000}"/>
  </bookViews>
  <sheets>
    <sheet name="طلب التصنيع" sheetId="21" r:id="rId1"/>
    <sheet name="مقاسات الطلب" sheetId="23" r:id="rId2"/>
    <sheet name="مقاسات الطلب (2)" sheetId="29" r:id="rId3"/>
    <sheet name="إذن التسليم" sheetId="24" state="hidden" r:id="rId4"/>
    <sheet name="عرض السعر" sheetId="20" r:id="rId5"/>
    <sheet name="طلب شراء" sheetId="26" r:id="rId6"/>
    <sheet name="قائمة الأسعار" sheetId="3" r:id="rId7"/>
    <sheet name="طباعة الملصقات" sheetId="27" state="hidden" r:id="rId8"/>
  </sheets>
  <definedNames>
    <definedName name="Dell_AmnDb008_vwCustomerWithAccount" localSheetId="0" hidden="1">'طلب التصنيع'!#REF!</definedName>
    <definedName name="_xlnm.Print_Area" localSheetId="3">'إذن التسليم'!$A$1:$N$51</definedName>
    <definedName name="_xlnm.Print_Area" localSheetId="0">'طلب التصنيع'!$Q$2:$AI$52</definedName>
    <definedName name="_xlnm.Print_Area" localSheetId="5">'طلب شراء'!$B$1:$H$90</definedName>
    <definedName name="_xlnm.Print_Area" localSheetId="4">'عرض السعر'!$D$1:$O$110</definedName>
    <definedName name="_xlnm.Print_Area" localSheetId="6">'قائمة الأسعار'!$B$8:$G$387</definedName>
    <definedName name="_xlnm.Print_Area" localSheetId="1">'مقاسات الطلب'!$A$4:$N$88</definedName>
    <definedName name="_xlnm.Print_Area" localSheetId="2">'مقاسات الطلب (2)'!$A$4:$N$88</definedName>
    <definedName name="Z_13BEC167_0B54_4FAA_B5AF_56DB3058B13C_.wvu.PrintArea" localSheetId="6" hidden="1">'قائمة الأسعار'!$B$1:$G$387</definedName>
  </definedNames>
  <calcPr calcId="191029"/>
  <customWorkbookViews>
    <customWorkbookView name="MOUTAZ" guid="{13BEC167-0B54-4FAA-B5AF-56DB3058B13C}" maximized="1" windowWidth="1362" windowHeight="543" tabRatio="974" activeSheetId="19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3" l="1"/>
  <c r="R67" i="29"/>
  <c r="Q67" i="29"/>
  <c r="R66" i="29"/>
  <c r="Q66" i="29"/>
  <c r="R65" i="29"/>
  <c r="Q65" i="29"/>
  <c r="R64" i="29"/>
  <c r="Q64" i="29"/>
  <c r="R63" i="29"/>
  <c r="Q63" i="29"/>
  <c r="R62" i="29"/>
  <c r="Q62" i="29"/>
  <c r="R61" i="29"/>
  <c r="Q61" i="29"/>
  <c r="Q60" i="29"/>
  <c r="R59" i="29"/>
  <c r="Q59" i="29"/>
  <c r="R58" i="29"/>
  <c r="Q58" i="29"/>
  <c r="R57" i="29"/>
  <c r="Q57" i="29"/>
  <c r="Q56" i="29"/>
  <c r="R55" i="29"/>
  <c r="Q55" i="29"/>
  <c r="R54" i="29"/>
  <c r="Q54" i="29"/>
  <c r="R53" i="29"/>
  <c r="Q53" i="29"/>
  <c r="Q52" i="29"/>
  <c r="Q51" i="29"/>
  <c r="R51" i="29"/>
  <c r="R50" i="29"/>
  <c r="Q50" i="29"/>
  <c r="R49" i="29"/>
  <c r="Q49" i="29"/>
  <c r="Q48" i="29"/>
  <c r="R47" i="29"/>
  <c r="Q47" i="29"/>
  <c r="R46" i="29"/>
  <c r="Q46" i="29"/>
  <c r="R45" i="29"/>
  <c r="Q45" i="29"/>
  <c r="Q44" i="29"/>
  <c r="Q43" i="29"/>
  <c r="R38" i="29"/>
  <c r="R37" i="29"/>
  <c r="R36" i="29"/>
  <c r="R35" i="29"/>
  <c r="R34" i="29"/>
  <c r="R33" i="29"/>
  <c r="R32" i="29"/>
  <c r="R31" i="29"/>
  <c r="R30" i="29"/>
  <c r="R29" i="29"/>
  <c r="R28" i="29"/>
  <c r="R27" i="29"/>
  <c r="R26" i="29"/>
  <c r="R25" i="29"/>
  <c r="R24" i="29"/>
  <c r="R23" i="29"/>
  <c r="R22" i="29"/>
  <c r="R21" i="29"/>
  <c r="R20" i="29"/>
  <c r="R19" i="29"/>
  <c r="R18" i="29"/>
  <c r="R17" i="29"/>
  <c r="R16" i="29"/>
  <c r="R15" i="29"/>
  <c r="R14" i="29"/>
  <c r="L10" i="29"/>
  <c r="AO15" i="21" a="1"/>
  <c r="AO15" i="21" s="1"/>
  <c r="AO16" i="21" a="1"/>
  <c r="AO16" i="21" s="1"/>
  <c r="AO17" i="21" a="1"/>
  <c r="AO17" i="21" s="1"/>
  <c r="AO18" i="21" a="1"/>
  <c r="AO18" i="21" s="1"/>
  <c r="AO19" i="21" a="1"/>
  <c r="AO19" i="21" s="1"/>
  <c r="AO20" i="21" a="1"/>
  <c r="AO20" i="21" s="1"/>
  <c r="AO21" i="21" a="1"/>
  <c r="AO21" i="21" s="1"/>
  <c r="AO22" i="21" a="1"/>
  <c r="AO22" i="21" s="1"/>
  <c r="AO23" i="21" a="1"/>
  <c r="AO23" i="21" s="1"/>
  <c r="AO24" i="21" a="1"/>
  <c r="AO24" i="21" s="1"/>
  <c r="AO25" i="21" a="1"/>
  <c r="AO25" i="21" s="1"/>
  <c r="AO26" i="21" a="1"/>
  <c r="AO26" i="21" s="1"/>
  <c r="AO27" i="21" a="1"/>
  <c r="AO27" i="21" s="1"/>
  <c r="AO28" i="21" a="1"/>
  <c r="AO28" i="21"/>
  <c r="AO29" i="21" a="1"/>
  <c r="AO29" i="21" s="1"/>
  <c r="AO30" i="21" a="1"/>
  <c r="AO30" i="21"/>
  <c r="AO31" i="21" a="1"/>
  <c r="AO31" i="21" s="1"/>
  <c r="AO32" i="21" a="1"/>
  <c r="AO32" i="21"/>
  <c r="AO33" i="21" a="1"/>
  <c r="AO33" i="21" s="1"/>
  <c r="AO34" i="21" a="1"/>
  <c r="AO34" i="21"/>
  <c r="AO35" i="21" a="1"/>
  <c r="AO35" i="21" s="1"/>
  <c r="AO36" i="21" a="1"/>
  <c r="AO36" i="21"/>
  <c r="AO37" i="21" a="1"/>
  <c r="AO37" i="21" s="1"/>
  <c r="AO38" i="21" a="1"/>
  <c r="AO38" i="21"/>
  <c r="AO14" i="21" a="1"/>
  <c r="AO14" i="21" s="1"/>
  <c r="L10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Q68" i="29" l="1"/>
  <c r="R39" i="29"/>
  <c r="R44" i="29"/>
  <c r="R52" i="29"/>
  <c r="R60" i="29"/>
  <c r="R43" i="29"/>
  <c r="R48" i="29"/>
  <c r="R56" i="29"/>
  <c r="CE15" i="21"/>
  <c r="CE16" i="21"/>
  <c r="CE17" i="21"/>
  <c r="CE18" i="21"/>
  <c r="CE19" i="21"/>
  <c r="CE20" i="21"/>
  <c r="CE21" i="21"/>
  <c r="CE22" i="21"/>
  <c r="CE23" i="21"/>
  <c r="CE24" i="21"/>
  <c r="CE25" i="21"/>
  <c r="CE26" i="21"/>
  <c r="CE27" i="21"/>
  <c r="CE28" i="21"/>
  <c r="CE29" i="21"/>
  <c r="CE30" i="21"/>
  <c r="CE31" i="21"/>
  <c r="CE32" i="21"/>
  <c r="CE33" i="21"/>
  <c r="CE34" i="21"/>
  <c r="CE35" i="21"/>
  <c r="CE36" i="21"/>
  <c r="CE37" i="21"/>
  <c r="CE38" i="21"/>
  <c r="CE14" i="21"/>
  <c r="CF15" i="21"/>
  <c r="CF16" i="21"/>
  <c r="CF17" i="21"/>
  <c r="CF18" i="21"/>
  <c r="CF19" i="21"/>
  <c r="CF20" i="21"/>
  <c r="CF21" i="21"/>
  <c r="CF22" i="21"/>
  <c r="CF23" i="21"/>
  <c r="CF24" i="21"/>
  <c r="CF25" i="21"/>
  <c r="CF26" i="21"/>
  <c r="CF27" i="21"/>
  <c r="CF28" i="21"/>
  <c r="CF29" i="21"/>
  <c r="CF30" i="21"/>
  <c r="CF31" i="21"/>
  <c r="CF32" i="21"/>
  <c r="CF33" i="21"/>
  <c r="CF34" i="21"/>
  <c r="CF35" i="21"/>
  <c r="CF36" i="21"/>
  <c r="CF37" i="21"/>
  <c r="CF38" i="21"/>
  <c r="CF14" i="21"/>
  <c r="R68" i="29" l="1"/>
  <c r="CN49" i="21"/>
  <c r="CN27" i="21"/>
  <c r="CM27" i="21" s="1"/>
  <c r="CN28" i="21"/>
  <c r="CN29" i="21"/>
  <c r="CN30" i="21"/>
  <c r="CN31" i="21"/>
  <c r="CM31" i="21" s="1"/>
  <c r="CN32" i="21"/>
  <c r="CN33" i="21"/>
  <c r="CN34" i="21"/>
  <c r="CN36" i="21"/>
  <c r="CN37" i="21"/>
  <c r="CN38" i="21"/>
  <c r="CM29" i="21"/>
  <c r="CM33" i="21"/>
  <c r="CM37" i="21"/>
  <c r="CM28" i="21"/>
  <c r="CM30" i="21"/>
  <c r="CM32" i="21"/>
  <c r="CM34" i="21"/>
  <c r="CM36" i="21"/>
  <c r="CM38" i="21"/>
  <c r="L14" i="27"/>
  <c r="L12" i="27"/>
  <c r="L7" i="27"/>
  <c r="L6" i="27"/>
  <c r="L5" i="27"/>
  <c r="L3" i="27"/>
  <c r="B412" i="3"/>
  <c r="B411" i="3"/>
  <c r="B410" i="3"/>
  <c r="B409" i="3"/>
  <c r="B408" i="3"/>
  <c r="B407" i="3"/>
  <c r="B406" i="3"/>
  <c r="B405" i="3"/>
  <c r="B404" i="3"/>
  <c r="B403" i="3"/>
  <c r="D3" i="3"/>
  <c r="H89" i="26"/>
  <c r="G89" i="26"/>
  <c r="E89" i="26"/>
  <c r="C89" i="26"/>
  <c r="H88" i="26"/>
  <c r="G88" i="26"/>
  <c r="E88" i="26"/>
  <c r="C88" i="26"/>
  <c r="H87" i="26"/>
  <c r="G87" i="26"/>
  <c r="E87" i="26"/>
  <c r="C87" i="26"/>
  <c r="H86" i="26"/>
  <c r="G86" i="26"/>
  <c r="E86" i="26"/>
  <c r="C86" i="26"/>
  <c r="H85" i="26"/>
  <c r="G85" i="26"/>
  <c r="E85" i="26"/>
  <c r="C85" i="26"/>
  <c r="H84" i="26"/>
  <c r="G84" i="26"/>
  <c r="E84" i="26"/>
  <c r="C84" i="26"/>
  <c r="H83" i="26"/>
  <c r="G83" i="26"/>
  <c r="E83" i="26"/>
  <c r="C83" i="26"/>
  <c r="H82" i="26"/>
  <c r="G82" i="26"/>
  <c r="E82" i="26"/>
  <c r="C82" i="26"/>
  <c r="H81" i="26"/>
  <c r="G81" i="26"/>
  <c r="E81" i="26"/>
  <c r="C81" i="26"/>
  <c r="H80" i="26"/>
  <c r="G80" i="26"/>
  <c r="E80" i="26"/>
  <c r="C80" i="26"/>
  <c r="H79" i="26"/>
  <c r="G79" i="26"/>
  <c r="E79" i="26"/>
  <c r="C79" i="26"/>
  <c r="H78" i="26"/>
  <c r="G78" i="26"/>
  <c r="E78" i="26"/>
  <c r="C78" i="26"/>
  <c r="H77" i="26"/>
  <c r="G77" i="26"/>
  <c r="E77" i="26"/>
  <c r="C77" i="26"/>
  <c r="H76" i="26"/>
  <c r="G76" i="26"/>
  <c r="E76" i="26"/>
  <c r="C76" i="26"/>
  <c r="H75" i="26"/>
  <c r="G75" i="26"/>
  <c r="E75" i="26"/>
  <c r="C75" i="26"/>
  <c r="H74" i="26"/>
  <c r="G74" i="26"/>
  <c r="E74" i="26"/>
  <c r="C74" i="26"/>
  <c r="H73" i="26"/>
  <c r="G73" i="26"/>
  <c r="E73" i="26"/>
  <c r="C73" i="26"/>
  <c r="H72" i="26"/>
  <c r="G72" i="26"/>
  <c r="E72" i="26"/>
  <c r="C72" i="26"/>
  <c r="H71" i="26"/>
  <c r="G71" i="26"/>
  <c r="E71" i="26"/>
  <c r="C71" i="26"/>
  <c r="H70" i="26"/>
  <c r="G70" i="26"/>
  <c r="E70" i="26"/>
  <c r="C70" i="26"/>
  <c r="H69" i="26"/>
  <c r="G69" i="26"/>
  <c r="E69" i="26"/>
  <c r="C69" i="26"/>
  <c r="H68" i="26"/>
  <c r="G68" i="26"/>
  <c r="E68" i="26"/>
  <c r="C68" i="26"/>
  <c r="H67" i="26"/>
  <c r="G67" i="26"/>
  <c r="E67" i="26"/>
  <c r="C67" i="26"/>
  <c r="H66" i="26"/>
  <c r="G66" i="26"/>
  <c r="E66" i="26"/>
  <c r="C66" i="26"/>
  <c r="H65" i="26"/>
  <c r="G65" i="26"/>
  <c r="E65" i="26"/>
  <c r="C65" i="26"/>
  <c r="H64" i="26"/>
  <c r="G64" i="26"/>
  <c r="E64" i="26"/>
  <c r="C64" i="26"/>
  <c r="H63" i="26"/>
  <c r="G63" i="26"/>
  <c r="E63" i="26"/>
  <c r="C63" i="26"/>
  <c r="H62" i="26"/>
  <c r="G62" i="26"/>
  <c r="E62" i="26"/>
  <c r="C62" i="26"/>
  <c r="H61" i="26"/>
  <c r="G61" i="26"/>
  <c r="E61" i="26"/>
  <c r="C61" i="26"/>
  <c r="H60" i="26"/>
  <c r="G60" i="26"/>
  <c r="E60" i="26"/>
  <c r="C60" i="26"/>
  <c r="H59" i="26"/>
  <c r="G59" i="26"/>
  <c r="E59" i="26"/>
  <c r="C59" i="26"/>
  <c r="H58" i="26"/>
  <c r="G58" i="26"/>
  <c r="E58" i="26"/>
  <c r="C58" i="26"/>
  <c r="H57" i="26"/>
  <c r="G57" i="26"/>
  <c r="E57" i="26"/>
  <c r="C57" i="26"/>
  <c r="H56" i="26"/>
  <c r="G56" i="26"/>
  <c r="E56" i="26"/>
  <c r="C56" i="26"/>
  <c r="H55" i="26"/>
  <c r="G55" i="26"/>
  <c r="E55" i="26"/>
  <c r="C55" i="26"/>
  <c r="H54" i="26"/>
  <c r="G54" i="26"/>
  <c r="E54" i="26"/>
  <c r="C54" i="26"/>
  <c r="H53" i="26"/>
  <c r="G53" i="26"/>
  <c r="E53" i="26"/>
  <c r="C53" i="26"/>
  <c r="H52" i="26"/>
  <c r="G52" i="26"/>
  <c r="E52" i="26"/>
  <c r="C52" i="26"/>
  <c r="H51" i="26"/>
  <c r="G51" i="26"/>
  <c r="E51" i="26"/>
  <c r="C51" i="26"/>
  <c r="H50" i="26"/>
  <c r="G50" i="26"/>
  <c r="E50" i="26"/>
  <c r="C50" i="26"/>
  <c r="H49" i="26"/>
  <c r="G49" i="26"/>
  <c r="E49" i="26"/>
  <c r="C49" i="26"/>
  <c r="H48" i="26"/>
  <c r="G48" i="26"/>
  <c r="E48" i="26"/>
  <c r="C48" i="26"/>
  <c r="H47" i="26"/>
  <c r="G47" i="26"/>
  <c r="E47" i="26"/>
  <c r="C47" i="26"/>
  <c r="H46" i="26"/>
  <c r="G46" i="26"/>
  <c r="E46" i="26"/>
  <c r="C46" i="26"/>
  <c r="H45" i="26"/>
  <c r="G45" i="26"/>
  <c r="E45" i="26"/>
  <c r="C45" i="26"/>
  <c r="H44" i="26"/>
  <c r="G44" i="26"/>
  <c r="E44" i="26"/>
  <c r="C44" i="26"/>
  <c r="H43" i="26"/>
  <c r="G43" i="26"/>
  <c r="E43" i="26"/>
  <c r="C43" i="26"/>
  <c r="H39" i="26"/>
  <c r="E39" i="26"/>
  <c r="D39" i="26"/>
  <c r="C39" i="26"/>
  <c r="B39" i="26"/>
  <c r="H38" i="26"/>
  <c r="F38" i="26"/>
  <c r="E38" i="26"/>
  <c r="D38" i="26"/>
  <c r="C38" i="26"/>
  <c r="H37" i="26"/>
  <c r="F37" i="26"/>
  <c r="E37" i="26"/>
  <c r="D37" i="26"/>
  <c r="C37" i="26"/>
  <c r="H36" i="26"/>
  <c r="F36" i="26"/>
  <c r="E36" i="26"/>
  <c r="D36" i="26"/>
  <c r="C36" i="26"/>
  <c r="H35" i="26"/>
  <c r="F35" i="26"/>
  <c r="E35" i="26"/>
  <c r="D35" i="26"/>
  <c r="C35" i="26"/>
  <c r="H34" i="26"/>
  <c r="F34" i="26"/>
  <c r="E34" i="26"/>
  <c r="D34" i="26"/>
  <c r="C34" i="26"/>
  <c r="H33" i="26"/>
  <c r="F33" i="26"/>
  <c r="E33" i="26"/>
  <c r="D33" i="26"/>
  <c r="C33" i="26"/>
  <c r="H32" i="26"/>
  <c r="F32" i="26"/>
  <c r="E32" i="26"/>
  <c r="D32" i="26"/>
  <c r="C32" i="26"/>
  <c r="H31" i="26"/>
  <c r="F31" i="26"/>
  <c r="E31" i="26"/>
  <c r="D31" i="26"/>
  <c r="C31" i="26"/>
  <c r="H30" i="26"/>
  <c r="F30" i="26"/>
  <c r="E30" i="26"/>
  <c r="D30" i="26"/>
  <c r="C30" i="26"/>
  <c r="H29" i="26"/>
  <c r="F29" i="26"/>
  <c r="E29" i="26"/>
  <c r="D29" i="26"/>
  <c r="C29" i="26"/>
  <c r="H28" i="26"/>
  <c r="F28" i="26"/>
  <c r="E28" i="26"/>
  <c r="D28" i="26"/>
  <c r="C28" i="26"/>
  <c r="H27" i="26"/>
  <c r="F27" i="26"/>
  <c r="E27" i="26"/>
  <c r="D27" i="26"/>
  <c r="C27" i="26"/>
  <c r="H26" i="26"/>
  <c r="F26" i="26"/>
  <c r="E26" i="26"/>
  <c r="D26" i="26"/>
  <c r="C26" i="26"/>
  <c r="H25" i="26"/>
  <c r="F25" i="26"/>
  <c r="E25" i="26"/>
  <c r="D25" i="26"/>
  <c r="C25" i="26"/>
  <c r="H24" i="26"/>
  <c r="F24" i="26"/>
  <c r="E24" i="26"/>
  <c r="D24" i="26"/>
  <c r="C24" i="26"/>
  <c r="H23" i="26"/>
  <c r="F23" i="26"/>
  <c r="E23" i="26"/>
  <c r="D23" i="26"/>
  <c r="C23" i="26"/>
  <c r="H22" i="26"/>
  <c r="F22" i="26"/>
  <c r="E22" i="26"/>
  <c r="D22" i="26"/>
  <c r="C22" i="26"/>
  <c r="H21" i="26"/>
  <c r="F21" i="26"/>
  <c r="E21" i="26"/>
  <c r="D21" i="26"/>
  <c r="C21" i="26"/>
  <c r="H20" i="26"/>
  <c r="F20" i="26"/>
  <c r="E20" i="26"/>
  <c r="D20" i="26"/>
  <c r="C20" i="26"/>
  <c r="H19" i="26"/>
  <c r="F19" i="26"/>
  <c r="E19" i="26"/>
  <c r="D19" i="26"/>
  <c r="C19" i="26"/>
  <c r="H18" i="26"/>
  <c r="F18" i="26"/>
  <c r="E18" i="26"/>
  <c r="D18" i="26"/>
  <c r="C18" i="26"/>
  <c r="H17" i="26"/>
  <c r="F17" i="26"/>
  <c r="E17" i="26"/>
  <c r="D17" i="26"/>
  <c r="C17" i="26"/>
  <c r="H16" i="26"/>
  <c r="F16" i="26"/>
  <c r="E16" i="26"/>
  <c r="D16" i="26"/>
  <c r="C16" i="26"/>
  <c r="H15" i="26"/>
  <c r="F15" i="26"/>
  <c r="E15" i="26"/>
  <c r="D15" i="26"/>
  <c r="C15" i="26"/>
  <c r="H14" i="26"/>
  <c r="F14" i="26"/>
  <c r="E14" i="26"/>
  <c r="D14" i="26"/>
  <c r="C14" i="26"/>
  <c r="H9" i="26"/>
  <c r="D9" i="26"/>
  <c r="H8" i="26"/>
  <c r="D91" i="20"/>
  <c r="B89" i="20"/>
  <c r="A89" i="20"/>
  <c r="B88" i="20"/>
  <c r="A88" i="20"/>
  <c r="B87" i="20"/>
  <c r="A87" i="20"/>
  <c r="B86" i="20"/>
  <c r="A86" i="20"/>
  <c r="B85" i="20"/>
  <c r="A85" i="20"/>
  <c r="B84" i="20"/>
  <c r="A84" i="20"/>
  <c r="B83" i="20"/>
  <c r="A83" i="20"/>
  <c r="B82" i="20"/>
  <c r="A82" i="20"/>
  <c r="B81" i="20"/>
  <c r="A81" i="20"/>
  <c r="B80" i="20"/>
  <c r="A80" i="20"/>
  <c r="B79" i="20"/>
  <c r="A79" i="20"/>
  <c r="B78" i="20"/>
  <c r="A78" i="20"/>
  <c r="B77" i="20"/>
  <c r="A77" i="20"/>
  <c r="B76" i="20"/>
  <c r="A76" i="20"/>
  <c r="B75" i="20"/>
  <c r="A75" i="20"/>
  <c r="B74" i="20"/>
  <c r="A74" i="20"/>
  <c r="B73" i="20"/>
  <c r="A73" i="20"/>
  <c r="B72" i="20"/>
  <c r="A72" i="20"/>
  <c r="B71" i="20"/>
  <c r="A71" i="20"/>
  <c r="B70" i="20"/>
  <c r="A70" i="20"/>
  <c r="B69" i="20"/>
  <c r="A69" i="20"/>
  <c r="B68" i="20"/>
  <c r="A68" i="20"/>
  <c r="B67" i="20"/>
  <c r="A67" i="20"/>
  <c r="B66" i="20"/>
  <c r="A66" i="20"/>
  <c r="B65" i="20"/>
  <c r="A65" i="20"/>
  <c r="B64" i="20"/>
  <c r="A64" i="20"/>
  <c r="B63" i="20"/>
  <c r="A63" i="20"/>
  <c r="B62" i="20"/>
  <c r="A62" i="20"/>
  <c r="B61" i="20"/>
  <c r="A61" i="20"/>
  <c r="B60" i="20"/>
  <c r="A60" i="20"/>
  <c r="B59" i="20"/>
  <c r="A59" i="20"/>
  <c r="B58" i="20"/>
  <c r="A58" i="20"/>
  <c r="B57" i="20"/>
  <c r="A57" i="20"/>
  <c r="B56" i="20"/>
  <c r="A56" i="20"/>
  <c r="B55" i="20"/>
  <c r="A55" i="20"/>
  <c r="B54" i="20"/>
  <c r="A54" i="20"/>
  <c r="B53" i="20"/>
  <c r="A53" i="20"/>
  <c r="B52" i="20"/>
  <c r="A52" i="20"/>
  <c r="B51" i="20"/>
  <c r="A51" i="20"/>
  <c r="B50" i="20"/>
  <c r="A50" i="20"/>
  <c r="B49" i="20"/>
  <c r="A49" i="20"/>
  <c r="B48" i="20"/>
  <c r="A48" i="20"/>
  <c r="B47" i="20"/>
  <c r="A47" i="20"/>
  <c r="B46" i="20"/>
  <c r="A46" i="20"/>
  <c r="B45" i="20"/>
  <c r="A45" i="20"/>
  <c r="B44" i="20"/>
  <c r="A44" i="20"/>
  <c r="N43" i="20"/>
  <c r="L43" i="20"/>
  <c r="K43" i="20"/>
  <c r="J43" i="20"/>
  <c r="G43" i="20"/>
  <c r="E43" i="20"/>
  <c r="B43" i="20"/>
  <c r="A43" i="20"/>
  <c r="N42" i="20"/>
  <c r="L42" i="20"/>
  <c r="K42" i="20"/>
  <c r="J42" i="20"/>
  <c r="G42" i="20"/>
  <c r="E42" i="20"/>
  <c r="B42" i="20"/>
  <c r="A42" i="20"/>
  <c r="N38" i="20"/>
  <c r="L38" i="20"/>
  <c r="K38" i="20"/>
  <c r="F38" i="20"/>
  <c r="E38" i="20"/>
  <c r="B38" i="20"/>
  <c r="A38" i="20"/>
  <c r="N37" i="20"/>
  <c r="L37" i="20"/>
  <c r="K37" i="20"/>
  <c r="F37" i="20"/>
  <c r="E37" i="20"/>
  <c r="B37" i="20"/>
  <c r="A37" i="20"/>
  <c r="N36" i="20"/>
  <c r="L36" i="20"/>
  <c r="K36" i="20"/>
  <c r="F36" i="20"/>
  <c r="E36" i="20"/>
  <c r="B36" i="20"/>
  <c r="A36" i="20"/>
  <c r="K35" i="20"/>
  <c r="F35" i="20"/>
  <c r="B35" i="20"/>
  <c r="A35" i="20"/>
  <c r="N34" i="20"/>
  <c r="L34" i="20"/>
  <c r="K34" i="20"/>
  <c r="F34" i="20"/>
  <c r="E34" i="20"/>
  <c r="B34" i="20"/>
  <c r="A34" i="20"/>
  <c r="N33" i="20"/>
  <c r="L33" i="20"/>
  <c r="K33" i="20"/>
  <c r="F33" i="20"/>
  <c r="E33" i="20"/>
  <c r="B33" i="20"/>
  <c r="A33" i="20"/>
  <c r="N32" i="20"/>
  <c r="L32" i="20"/>
  <c r="K32" i="20"/>
  <c r="F32" i="20"/>
  <c r="E32" i="20"/>
  <c r="B32" i="20"/>
  <c r="A32" i="20"/>
  <c r="N31" i="20"/>
  <c r="L31" i="20"/>
  <c r="K31" i="20"/>
  <c r="F31" i="20"/>
  <c r="E31" i="20"/>
  <c r="B31" i="20"/>
  <c r="A31" i="20"/>
  <c r="N30" i="20"/>
  <c r="L30" i="20"/>
  <c r="K30" i="20"/>
  <c r="F30" i="20"/>
  <c r="E30" i="20"/>
  <c r="B30" i="20"/>
  <c r="A30" i="20"/>
  <c r="N29" i="20"/>
  <c r="L29" i="20"/>
  <c r="K29" i="20"/>
  <c r="F29" i="20"/>
  <c r="E29" i="20"/>
  <c r="B29" i="20"/>
  <c r="A29" i="20"/>
  <c r="N28" i="20"/>
  <c r="L28" i="20"/>
  <c r="K28" i="20"/>
  <c r="F28" i="20"/>
  <c r="E28" i="20"/>
  <c r="B28" i="20"/>
  <c r="A28" i="20"/>
  <c r="N27" i="20"/>
  <c r="L27" i="20"/>
  <c r="K27" i="20"/>
  <c r="F27" i="20"/>
  <c r="E27" i="20"/>
  <c r="B27" i="20"/>
  <c r="A27" i="20"/>
  <c r="F26" i="20"/>
  <c r="B26" i="20"/>
  <c r="A26" i="20"/>
  <c r="F25" i="20"/>
  <c r="B25" i="20"/>
  <c r="A25" i="20"/>
  <c r="F24" i="20"/>
  <c r="B24" i="20"/>
  <c r="A24" i="20"/>
  <c r="F23" i="20"/>
  <c r="E23" i="20"/>
  <c r="B23" i="20"/>
  <c r="A23" i="20"/>
  <c r="F22" i="20"/>
  <c r="B22" i="20"/>
  <c r="A22" i="20"/>
  <c r="F21" i="20"/>
  <c r="B21" i="20"/>
  <c r="A21" i="20"/>
  <c r="B20" i="20"/>
  <c r="A20" i="20"/>
  <c r="N19" i="20"/>
  <c r="F19" i="20"/>
  <c r="E19" i="20"/>
  <c r="B19" i="20"/>
  <c r="A19" i="20"/>
  <c r="F18" i="20"/>
  <c r="B18" i="20"/>
  <c r="A18" i="20"/>
  <c r="F17" i="20"/>
  <c r="B17" i="20"/>
  <c r="A17" i="20"/>
  <c r="B16" i="20"/>
  <c r="A16" i="20"/>
  <c r="B15" i="20"/>
  <c r="A15" i="20"/>
  <c r="B14" i="20"/>
  <c r="A14" i="20"/>
  <c r="N9" i="20"/>
  <c r="F9" i="20"/>
  <c r="N8" i="20"/>
  <c r="F8" i="20"/>
  <c r="J38" i="24"/>
  <c r="M38" i="24" s="1"/>
  <c r="H37" i="24"/>
  <c r="E37" i="24"/>
  <c r="H36" i="24"/>
  <c r="E36" i="24"/>
  <c r="H35" i="24"/>
  <c r="E35" i="24"/>
  <c r="H34" i="24"/>
  <c r="E34" i="24"/>
  <c r="H33" i="24"/>
  <c r="E33" i="24"/>
  <c r="H32" i="24"/>
  <c r="E32" i="24"/>
  <c r="H31" i="24"/>
  <c r="E31" i="24"/>
  <c r="H30" i="24"/>
  <c r="E30" i="24"/>
  <c r="H29" i="24"/>
  <c r="E29" i="24"/>
  <c r="H28" i="24"/>
  <c r="E28" i="24"/>
  <c r="M23" i="24"/>
  <c r="K23" i="24"/>
  <c r="J23" i="24"/>
  <c r="D23" i="24"/>
  <c r="C23" i="24"/>
  <c r="B23" i="24"/>
  <c r="M22" i="24"/>
  <c r="K22" i="24"/>
  <c r="J22" i="24"/>
  <c r="D22" i="24"/>
  <c r="C22" i="24"/>
  <c r="B22" i="24"/>
  <c r="M21" i="24"/>
  <c r="K21" i="24"/>
  <c r="J21" i="24"/>
  <c r="D21" i="24"/>
  <c r="C21" i="24"/>
  <c r="B21" i="24"/>
  <c r="M20" i="24"/>
  <c r="K20" i="24"/>
  <c r="J20" i="24"/>
  <c r="C20" i="24"/>
  <c r="B20" i="24"/>
  <c r="M19" i="24"/>
  <c r="K19" i="24"/>
  <c r="J19" i="24"/>
  <c r="D19" i="24"/>
  <c r="C19" i="24"/>
  <c r="B19" i="24"/>
  <c r="M18" i="24"/>
  <c r="K18" i="24"/>
  <c r="J18" i="24"/>
  <c r="D18" i="24"/>
  <c r="C18" i="24"/>
  <c r="B18" i="24"/>
  <c r="M17" i="24"/>
  <c r="K17" i="24"/>
  <c r="J17" i="24"/>
  <c r="D17" i="24"/>
  <c r="C17" i="24"/>
  <c r="B17" i="24"/>
  <c r="M16" i="24"/>
  <c r="K16" i="24"/>
  <c r="J16" i="24"/>
  <c r="C16" i="24"/>
  <c r="B16" i="24"/>
  <c r="M15" i="24"/>
  <c r="K15" i="24"/>
  <c r="J15" i="24"/>
  <c r="C15" i="24"/>
  <c r="B15" i="24"/>
  <c r="M14" i="24"/>
  <c r="K14" i="24"/>
  <c r="J14" i="24"/>
  <c r="C14" i="24"/>
  <c r="B14" i="24"/>
  <c r="M10" i="24"/>
  <c r="K10" i="24"/>
  <c r="D10" i="24"/>
  <c r="L9" i="24"/>
  <c r="D9" i="24"/>
  <c r="L8" i="24"/>
  <c r="D8" i="24"/>
  <c r="J68" i="23"/>
  <c r="H67" i="23"/>
  <c r="E67" i="23"/>
  <c r="D67" i="23"/>
  <c r="H66" i="23"/>
  <c r="E66" i="23"/>
  <c r="D66" i="23"/>
  <c r="H65" i="23"/>
  <c r="E65" i="23"/>
  <c r="D65" i="23"/>
  <c r="H64" i="23"/>
  <c r="E64" i="23"/>
  <c r="D64" i="23"/>
  <c r="H63" i="23"/>
  <c r="E63" i="23"/>
  <c r="D63" i="23"/>
  <c r="H62" i="23"/>
  <c r="E62" i="23"/>
  <c r="D62" i="23"/>
  <c r="H61" i="23"/>
  <c r="E61" i="23"/>
  <c r="D61" i="23"/>
  <c r="H60" i="23"/>
  <c r="E60" i="23"/>
  <c r="D60" i="23"/>
  <c r="H59" i="23"/>
  <c r="E59" i="23"/>
  <c r="D59" i="23"/>
  <c r="H58" i="23"/>
  <c r="E58" i="23"/>
  <c r="D58" i="23"/>
  <c r="H57" i="23"/>
  <c r="E57" i="23"/>
  <c r="D57" i="23"/>
  <c r="H56" i="23"/>
  <c r="E56" i="23"/>
  <c r="D56" i="23"/>
  <c r="H55" i="23"/>
  <c r="E55" i="23"/>
  <c r="H54" i="23"/>
  <c r="E54" i="23"/>
  <c r="H53" i="23"/>
  <c r="E53" i="23"/>
  <c r="H52" i="23"/>
  <c r="E52" i="23"/>
  <c r="H51" i="23"/>
  <c r="E51" i="23"/>
  <c r="H50" i="23"/>
  <c r="E50" i="23"/>
  <c r="H49" i="23"/>
  <c r="E49" i="23"/>
  <c r="H48" i="23"/>
  <c r="E48" i="23"/>
  <c r="H47" i="23"/>
  <c r="E47" i="23"/>
  <c r="H46" i="23"/>
  <c r="E46" i="23"/>
  <c r="H45" i="23"/>
  <c r="E45" i="23"/>
  <c r="H44" i="23"/>
  <c r="E44" i="23"/>
  <c r="H43" i="23"/>
  <c r="E43" i="23"/>
  <c r="N38" i="23"/>
  <c r="M38" i="23"/>
  <c r="K38" i="23"/>
  <c r="J38" i="23"/>
  <c r="G38" i="23"/>
  <c r="D38" i="23"/>
  <c r="C38" i="23"/>
  <c r="B38" i="23"/>
  <c r="N37" i="23"/>
  <c r="M37" i="23"/>
  <c r="K37" i="23"/>
  <c r="J37" i="23"/>
  <c r="G37" i="23"/>
  <c r="D37" i="23"/>
  <c r="C37" i="23"/>
  <c r="B37" i="23"/>
  <c r="N36" i="23"/>
  <c r="M36" i="23"/>
  <c r="K36" i="23"/>
  <c r="J36" i="23"/>
  <c r="G36" i="23"/>
  <c r="D36" i="23"/>
  <c r="C36" i="23"/>
  <c r="B36" i="23"/>
  <c r="M35" i="23"/>
  <c r="K35" i="23"/>
  <c r="J35" i="23"/>
  <c r="G35" i="23"/>
  <c r="D35" i="23"/>
  <c r="C35" i="23"/>
  <c r="B35" i="23"/>
  <c r="N34" i="23"/>
  <c r="M34" i="23"/>
  <c r="K34" i="23"/>
  <c r="J34" i="23"/>
  <c r="G34" i="23"/>
  <c r="D34" i="23"/>
  <c r="C34" i="23"/>
  <c r="B34" i="23"/>
  <c r="N33" i="23"/>
  <c r="M33" i="23"/>
  <c r="K33" i="23"/>
  <c r="J33" i="23"/>
  <c r="G33" i="23"/>
  <c r="D33" i="23"/>
  <c r="C33" i="23"/>
  <c r="B33" i="23"/>
  <c r="N32" i="23"/>
  <c r="M32" i="23"/>
  <c r="K32" i="23"/>
  <c r="J32" i="23"/>
  <c r="G32" i="23"/>
  <c r="D32" i="23"/>
  <c r="C32" i="23"/>
  <c r="B32" i="23"/>
  <c r="N31" i="23"/>
  <c r="M31" i="23"/>
  <c r="K31" i="23"/>
  <c r="J31" i="23"/>
  <c r="G31" i="23"/>
  <c r="D31" i="23"/>
  <c r="C31" i="23"/>
  <c r="B31" i="23"/>
  <c r="N30" i="23"/>
  <c r="M30" i="23"/>
  <c r="K30" i="23"/>
  <c r="J30" i="23"/>
  <c r="G30" i="23"/>
  <c r="D30" i="23"/>
  <c r="C30" i="23"/>
  <c r="B30" i="23"/>
  <c r="N29" i="23"/>
  <c r="M29" i="23"/>
  <c r="K29" i="23"/>
  <c r="J29" i="23"/>
  <c r="G29" i="23"/>
  <c r="D29" i="23"/>
  <c r="C29" i="23"/>
  <c r="B29" i="23"/>
  <c r="N28" i="23"/>
  <c r="M28" i="23"/>
  <c r="K28" i="23"/>
  <c r="J28" i="23"/>
  <c r="G28" i="23"/>
  <c r="D28" i="23"/>
  <c r="C28" i="23"/>
  <c r="B28" i="23"/>
  <c r="N27" i="23"/>
  <c r="M27" i="23"/>
  <c r="K27" i="23"/>
  <c r="J27" i="23"/>
  <c r="G27" i="23"/>
  <c r="D27" i="23"/>
  <c r="C27" i="23"/>
  <c r="B27" i="23"/>
  <c r="M26" i="23"/>
  <c r="K26" i="23"/>
  <c r="J26" i="23"/>
  <c r="D26" i="23"/>
  <c r="C26" i="23"/>
  <c r="B26" i="23"/>
  <c r="M25" i="23"/>
  <c r="K25" i="23"/>
  <c r="J25" i="23"/>
  <c r="D25" i="23"/>
  <c r="C25" i="23"/>
  <c r="B25" i="23"/>
  <c r="M24" i="23"/>
  <c r="K24" i="23"/>
  <c r="J24" i="23"/>
  <c r="D24" i="23"/>
  <c r="C24" i="23"/>
  <c r="B24" i="23"/>
  <c r="M23" i="23"/>
  <c r="K23" i="23"/>
  <c r="J23" i="23"/>
  <c r="D23" i="23"/>
  <c r="S14" i="27" s="1"/>
  <c r="C23" i="23"/>
  <c r="N14" i="27" s="1"/>
  <c r="B23" i="23"/>
  <c r="M22" i="23"/>
  <c r="K22" i="23"/>
  <c r="J22" i="23"/>
  <c r="G22" i="23"/>
  <c r="D22" i="23"/>
  <c r="C22" i="23"/>
  <c r="B22" i="23"/>
  <c r="M21" i="23"/>
  <c r="K21" i="23"/>
  <c r="J21" i="23"/>
  <c r="D21" i="23"/>
  <c r="C21" i="23"/>
  <c r="B21" i="23"/>
  <c r="M20" i="23"/>
  <c r="K20" i="23"/>
  <c r="J20" i="23"/>
  <c r="D20" i="23"/>
  <c r="C20" i="23"/>
  <c r="B20" i="23"/>
  <c r="M19" i="23"/>
  <c r="K19" i="23"/>
  <c r="J19" i="23"/>
  <c r="D19" i="23"/>
  <c r="C19" i="23"/>
  <c r="B19" i="23"/>
  <c r="M18" i="23"/>
  <c r="K18" i="23"/>
  <c r="J18" i="23"/>
  <c r="G18" i="23"/>
  <c r="D18" i="23"/>
  <c r="C18" i="23"/>
  <c r="B18" i="23"/>
  <c r="M17" i="23"/>
  <c r="K17" i="23"/>
  <c r="J17" i="23"/>
  <c r="D17" i="23"/>
  <c r="C17" i="23"/>
  <c r="B17" i="23"/>
  <c r="M16" i="23"/>
  <c r="K16" i="23"/>
  <c r="J16" i="23"/>
  <c r="C16" i="23"/>
  <c r="B16" i="23"/>
  <c r="M15" i="23"/>
  <c r="K15" i="23"/>
  <c r="J15" i="23"/>
  <c r="C15" i="23"/>
  <c r="B15" i="23"/>
  <c r="M14" i="23"/>
  <c r="K14" i="23"/>
  <c r="J14" i="23"/>
  <c r="C14" i="23"/>
  <c r="N5" i="27" s="1"/>
  <c r="B14" i="23"/>
  <c r="K12" i="23"/>
  <c r="K399" i="21"/>
  <c r="K398" i="21"/>
  <c r="L391" i="21"/>
  <c r="L390" i="21"/>
  <c r="L389" i="21"/>
  <c r="L388" i="21"/>
  <c r="O387" i="21"/>
  <c r="B387" i="21"/>
  <c r="A387" i="21"/>
  <c r="L386" i="21"/>
  <c r="L385" i="21"/>
  <c r="L384" i="21"/>
  <c r="L383" i="21"/>
  <c r="L382" i="21"/>
  <c r="L381" i="21"/>
  <c r="L380" i="21"/>
  <c r="L379" i="21"/>
  <c r="L378" i="21"/>
  <c r="L377" i="21"/>
  <c r="L376" i="21"/>
  <c r="L375" i="21"/>
  <c r="L374" i="21"/>
  <c r="L373" i="21"/>
  <c r="L372" i="21"/>
  <c r="L371" i="21"/>
  <c r="L370" i="21"/>
  <c r="L369" i="21"/>
  <c r="L368" i="21"/>
  <c r="L367" i="21"/>
  <c r="L366" i="21"/>
  <c r="L365" i="21"/>
  <c r="L364" i="21"/>
  <c r="L363" i="21"/>
  <c r="L362" i="21"/>
  <c r="L361" i="21"/>
  <c r="L360" i="21"/>
  <c r="L359" i="21"/>
  <c r="L358" i="21"/>
  <c r="L357" i="21"/>
  <c r="L356" i="21"/>
  <c r="L355" i="21"/>
  <c r="L354" i="21"/>
  <c r="L353" i="21"/>
  <c r="L352" i="21"/>
  <c r="L351" i="21"/>
  <c r="L350" i="21"/>
  <c r="L349" i="21"/>
  <c r="L348" i="21"/>
  <c r="L347" i="21"/>
  <c r="L346" i="21"/>
  <c r="L345" i="21"/>
  <c r="L344" i="21"/>
  <c r="L343" i="21"/>
  <c r="L342" i="21"/>
  <c r="L341" i="21"/>
  <c r="L340" i="21"/>
  <c r="L339" i="21"/>
  <c r="L338" i="21"/>
  <c r="L337" i="21"/>
  <c r="L336" i="21"/>
  <c r="L335" i="21"/>
  <c r="L334" i="21"/>
  <c r="L333" i="21"/>
  <c r="L332" i="21"/>
  <c r="L331" i="21"/>
  <c r="L330" i="21"/>
  <c r="L329" i="21"/>
  <c r="L328" i="21"/>
  <c r="L327" i="21"/>
  <c r="L326" i="21"/>
  <c r="L325" i="21"/>
  <c r="O324" i="21"/>
  <c r="B324" i="21"/>
  <c r="A324" i="21"/>
  <c r="L323" i="21"/>
  <c r="L322" i="21"/>
  <c r="L321" i="21"/>
  <c r="L320" i="21"/>
  <c r="L319" i="21"/>
  <c r="L318" i="21"/>
  <c r="L317" i="21"/>
  <c r="L316" i="21"/>
  <c r="L315" i="21"/>
  <c r="L314" i="21"/>
  <c r="L313" i="21"/>
  <c r="L312" i="21"/>
  <c r="L311" i="21"/>
  <c r="L310" i="21"/>
  <c r="L309" i="21"/>
  <c r="L308" i="21"/>
  <c r="L307" i="21"/>
  <c r="L306" i="21"/>
  <c r="L305" i="21"/>
  <c r="L304" i="21"/>
  <c r="L302" i="21"/>
  <c r="L301" i="21"/>
  <c r="L300" i="21"/>
  <c r="L299" i="21"/>
  <c r="L298" i="21"/>
  <c r="L297" i="21"/>
  <c r="L296" i="21"/>
  <c r="L295" i="21"/>
  <c r="L294" i="21"/>
  <c r="L293" i="21"/>
  <c r="L292" i="21"/>
  <c r="L291" i="21"/>
  <c r="L290" i="21"/>
  <c r="L289" i="21"/>
  <c r="L288" i="21"/>
  <c r="L287" i="21"/>
  <c r="L286" i="21"/>
  <c r="L285" i="21"/>
  <c r="L284" i="21"/>
  <c r="L283" i="21"/>
  <c r="L282" i="21"/>
  <c r="L281" i="21"/>
  <c r="L280" i="21"/>
  <c r="L279" i="21"/>
  <c r="L278" i="21"/>
  <c r="L277" i="21"/>
  <c r="L276" i="21"/>
  <c r="L275" i="21"/>
  <c r="L274" i="21"/>
  <c r="L273" i="21"/>
  <c r="L272" i="21"/>
  <c r="L271" i="21"/>
  <c r="L270" i="21"/>
  <c r="L269" i="21"/>
  <c r="L268" i="21"/>
  <c r="L267" i="21"/>
  <c r="L266" i="21"/>
  <c r="L265" i="21"/>
  <c r="L264" i="21"/>
  <c r="L263" i="21"/>
  <c r="L262" i="21"/>
  <c r="L261" i="21"/>
  <c r="L260" i="21"/>
  <c r="L259" i="21"/>
  <c r="L258" i="21"/>
  <c r="L257" i="21"/>
  <c r="L256" i="21"/>
  <c r="L255" i="21"/>
  <c r="L254" i="21"/>
  <c r="L253" i="21"/>
  <c r="L252" i="21"/>
  <c r="L251" i="21"/>
  <c r="L250" i="21"/>
  <c r="L249" i="21"/>
  <c r="L248" i="21"/>
  <c r="L247" i="21"/>
  <c r="L246" i="21"/>
  <c r="L245" i="21"/>
  <c r="L244" i="21"/>
  <c r="L243" i="21"/>
  <c r="L242" i="21"/>
  <c r="L241" i="21"/>
  <c r="L240" i="21"/>
  <c r="L239" i="21"/>
  <c r="L238" i="21"/>
  <c r="L237" i="21"/>
  <c r="L236" i="21"/>
  <c r="L235" i="21"/>
  <c r="L234" i="21"/>
  <c r="L233" i="21"/>
  <c r="L232" i="21"/>
  <c r="L231" i="21"/>
  <c r="L230" i="21"/>
  <c r="L229" i="21"/>
  <c r="L228" i="21"/>
  <c r="L227" i="21"/>
  <c r="L225" i="21"/>
  <c r="L224" i="21"/>
  <c r="L223" i="21"/>
  <c r="L222" i="21"/>
  <c r="L221" i="21"/>
  <c r="L220" i="21"/>
  <c r="L219" i="21"/>
  <c r="L218" i="21"/>
  <c r="L217" i="21"/>
  <c r="L216" i="21"/>
  <c r="L215" i="21"/>
  <c r="L214" i="21"/>
  <c r="L213" i="21"/>
  <c r="L212" i="21"/>
  <c r="L211" i="21"/>
  <c r="L210" i="21"/>
  <c r="L209" i="21"/>
  <c r="L208" i="21"/>
  <c r="L207" i="21"/>
  <c r="L206" i="21"/>
  <c r="L205" i="21"/>
  <c r="L204" i="21"/>
  <c r="L203" i="21"/>
  <c r="L202" i="21"/>
  <c r="L201" i="21"/>
  <c r="L200" i="21"/>
  <c r="L199" i="21"/>
  <c r="L198" i="21"/>
  <c r="L197" i="21"/>
  <c r="L196" i="21"/>
  <c r="L195" i="21"/>
  <c r="L194" i="21"/>
  <c r="L193" i="21"/>
  <c r="L192" i="21"/>
  <c r="L191" i="21"/>
  <c r="L190" i="21"/>
  <c r="L189" i="21"/>
  <c r="L188" i="21"/>
  <c r="L187" i="21"/>
  <c r="L186" i="21"/>
  <c r="L185" i="21"/>
  <c r="L184" i="21"/>
  <c r="L183" i="21"/>
  <c r="L182" i="21"/>
  <c r="L181" i="21"/>
  <c r="L180" i="21"/>
  <c r="L179" i="21"/>
  <c r="L178" i="21"/>
  <c r="L177" i="21"/>
  <c r="L176" i="21"/>
  <c r="L175" i="21"/>
  <c r="L174" i="21"/>
  <c r="L173" i="21"/>
  <c r="L172" i="21"/>
  <c r="L171" i="21"/>
  <c r="L170" i="21"/>
  <c r="L169" i="21"/>
  <c r="L168" i="21"/>
  <c r="L167" i="21"/>
  <c r="L166" i="21"/>
  <c r="L165" i="21"/>
  <c r="L164" i="21"/>
  <c r="L163" i="21"/>
  <c r="L162" i="21"/>
  <c r="L161" i="21"/>
  <c r="L160" i="21"/>
  <c r="L159" i="21"/>
  <c r="L158" i="21"/>
  <c r="L157" i="21"/>
  <c r="L156" i="21"/>
  <c r="L155" i="21"/>
  <c r="L154" i="21"/>
  <c r="L153" i="21"/>
  <c r="L152" i="21"/>
  <c r="L151" i="21"/>
  <c r="L150" i="21"/>
  <c r="L148" i="21"/>
  <c r="L147" i="21"/>
  <c r="L146" i="21"/>
  <c r="L145" i="21"/>
  <c r="L144" i="21"/>
  <c r="L143" i="21"/>
  <c r="L142" i="21"/>
  <c r="L141" i="21"/>
  <c r="L140" i="21"/>
  <c r="L139" i="21"/>
  <c r="L138" i="21"/>
  <c r="L137" i="21"/>
  <c r="L136" i="21"/>
  <c r="L135" i="21"/>
  <c r="L134" i="21"/>
  <c r="L133" i="21"/>
  <c r="L132" i="21"/>
  <c r="L131" i="21"/>
  <c r="L130" i="21"/>
  <c r="L129" i="21"/>
  <c r="L128" i="21"/>
  <c r="L127" i="21"/>
  <c r="L126" i="21"/>
  <c r="L125" i="21"/>
  <c r="L124" i="21"/>
  <c r="L123" i="21"/>
  <c r="L122" i="21"/>
  <c r="L121" i="21"/>
  <c r="L120" i="21"/>
  <c r="L119" i="21"/>
  <c r="L118" i="21"/>
  <c r="L117" i="21"/>
  <c r="L116" i="21"/>
  <c r="L115" i="21"/>
  <c r="L114" i="21"/>
  <c r="L113" i="21"/>
  <c r="L112" i="21"/>
  <c r="L111" i="21"/>
  <c r="L110" i="21"/>
  <c r="L109" i="21"/>
  <c r="L108" i="21"/>
  <c r="L107" i="21"/>
  <c r="L106" i="21"/>
  <c r="L105" i="21"/>
  <c r="L104" i="21"/>
  <c r="L103" i="21"/>
  <c r="L102" i="21"/>
  <c r="L101" i="21"/>
  <c r="L100" i="21"/>
  <c r="L99" i="21"/>
  <c r="L98" i="21"/>
  <c r="L97" i="21"/>
  <c r="L96" i="21"/>
  <c r="L95" i="21"/>
  <c r="L94" i="21"/>
  <c r="L93" i="21"/>
  <c r="L92" i="21"/>
  <c r="L91" i="21"/>
  <c r="L90" i="21"/>
  <c r="L89" i="21"/>
  <c r="L88" i="21"/>
  <c r="L87" i="21"/>
  <c r="L86" i="21"/>
  <c r="L85" i="21"/>
  <c r="L84" i="21"/>
  <c r="L83" i="21"/>
  <c r="L82" i="21"/>
  <c r="L81" i="21"/>
  <c r="L80" i="21"/>
  <c r="L79" i="21"/>
  <c r="L78" i="21"/>
  <c r="L77" i="21"/>
  <c r="L76" i="21"/>
  <c r="L75" i="21"/>
  <c r="L74" i="21"/>
  <c r="L73" i="21"/>
  <c r="L72" i="21"/>
  <c r="L71" i="21"/>
  <c r="L70" i="21"/>
  <c r="L69" i="21"/>
  <c r="L68" i="21"/>
  <c r="L67" i="21"/>
  <c r="L66" i="21"/>
  <c r="L65" i="21"/>
  <c r="L64" i="21"/>
  <c r="L63" i="21"/>
  <c r="N62" i="21"/>
  <c r="L62" i="21"/>
  <c r="N61" i="21"/>
  <c r="L61" i="21"/>
  <c r="N60" i="21"/>
  <c r="L60" i="21"/>
  <c r="N59" i="21"/>
  <c r="L59" i="21"/>
  <c r="N58" i="21"/>
  <c r="L58" i="21"/>
  <c r="N57" i="21"/>
  <c r="L57" i="21"/>
  <c r="N56" i="21"/>
  <c r="L56" i="21"/>
  <c r="N55" i="21"/>
  <c r="L55" i="21"/>
  <c r="N54" i="21"/>
  <c r="L54" i="21"/>
  <c r="N53" i="21"/>
  <c r="L53" i="21"/>
  <c r="N52" i="21"/>
  <c r="L52" i="21"/>
  <c r="L51" i="21"/>
  <c r="I51" i="21"/>
  <c r="M51" i="21" s="1"/>
  <c r="O51" i="21" s="1"/>
  <c r="B51" i="21" s="1"/>
  <c r="L50" i="21"/>
  <c r="I50" i="21"/>
  <c r="M50" i="21" s="1"/>
  <c r="O50" i="21" s="1"/>
  <c r="B50" i="21" s="1"/>
  <c r="L49" i="21"/>
  <c r="I49" i="21"/>
  <c r="M49" i="21" s="1"/>
  <c r="O49" i="21" s="1"/>
  <c r="B49" i="21" s="1"/>
  <c r="L48" i="21"/>
  <c r="I48" i="21"/>
  <c r="M48" i="21" s="1"/>
  <c r="O48" i="21" s="1"/>
  <c r="B48" i="21" s="1"/>
  <c r="AG47" i="21"/>
  <c r="L47" i="21"/>
  <c r="I47" i="21"/>
  <c r="M47" i="21" s="1"/>
  <c r="O47" i="21" s="1"/>
  <c r="B47" i="21" s="1"/>
  <c r="IB46" i="21"/>
  <c r="IA46" i="21"/>
  <c r="B46" i="21"/>
  <c r="IB45" i="21"/>
  <c r="IA45" i="21"/>
  <c r="AG45" i="21"/>
  <c r="B45" i="21"/>
  <c r="IB44" i="21"/>
  <c r="IA44" i="21"/>
  <c r="B44" i="21"/>
  <c r="IB43" i="21"/>
  <c r="IA43" i="21"/>
  <c r="AG43" i="21"/>
  <c r="B43" i="21"/>
  <c r="IB42" i="21"/>
  <c r="IA42" i="21"/>
  <c r="B42" i="21"/>
  <c r="IB41" i="21"/>
  <c r="IA41" i="21"/>
  <c r="IB40" i="21"/>
  <c r="IA40" i="21"/>
  <c r="AJ40" i="21"/>
  <c r="IB39" i="21"/>
  <c r="IA39" i="21"/>
  <c r="AC39" i="21"/>
  <c r="II38" i="21"/>
  <c r="IH38" i="21"/>
  <c r="IG38" i="21"/>
  <c r="IF38" i="21"/>
  <c r="IE38" i="21"/>
  <c r="ID38" i="21"/>
  <c r="IC38" i="21"/>
  <c r="IB38" i="21"/>
  <c r="IA38" i="21"/>
  <c r="HV38" i="21"/>
  <c r="HU38" i="21"/>
  <c r="HT38" i="21"/>
  <c r="FC38" i="21"/>
  <c r="FB38" i="21" s="1"/>
  <c r="FA38" i="21" s="1"/>
  <c r="EZ38" i="21" s="1"/>
  <c r="EY38" i="21" s="1"/>
  <c r="EX38" i="21" s="1"/>
  <c r="EW38" i="21" s="1"/>
  <c r="EV38" i="21" s="1"/>
  <c r="EU38" i="21" s="1"/>
  <c r="ET38" i="21" s="1"/>
  <c r="ES38" i="21" s="1"/>
  <c r="ER38" i="21" s="1"/>
  <c r="EQ38" i="21" s="1"/>
  <c r="EP38" i="21" s="1"/>
  <c r="EO38" i="21" s="1"/>
  <c r="EN38" i="21" s="1"/>
  <c r="EM38" i="21" s="1"/>
  <c r="EL38" i="21" s="1"/>
  <c r="EK38" i="21" s="1"/>
  <c r="EJ38" i="21" s="1"/>
  <c r="EI38" i="21" s="1"/>
  <c r="EH38" i="21" s="1"/>
  <c r="EG38" i="21" s="1"/>
  <c r="EF38" i="21" s="1"/>
  <c r="EE38" i="21" s="1"/>
  <c r="ED38" i="21" s="1"/>
  <c r="EC38" i="21" s="1"/>
  <c r="EB38" i="21" s="1"/>
  <c r="EA38" i="21" s="1"/>
  <c r="DZ38" i="21" s="1"/>
  <c r="DY38" i="21" s="1" a="1"/>
  <c r="DY38" i="21" s="1"/>
  <c r="DX38" i="21" s="1"/>
  <c r="DW38" i="21" s="1"/>
  <c r="DS38" i="21"/>
  <c r="DR38" i="21"/>
  <c r="DQ38" i="21"/>
  <c r="DP38" i="21"/>
  <c r="DO38" i="21"/>
  <c r="DN38" i="21"/>
  <c r="DM38" i="21"/>
  <c r="DL38" i="21"/>
  <c r="DK38" i="21"/>
  <c r="DJ38" i="21"/>
  <c r="DI38" i="21"/>
  <c r="DH38" i="21"/>
  <c r="DG38" i="21"/>
  <c r="DF38" i="21"/>
  <c r="DE38" i="21"/>
  <c r="DD38" i="21"/>
  <c r="DC38" i="21"/>
  <c r="DB38" i="21"/>
  <c r="DA38" i="21"/>
  <c r="CZ38" i="21"/>
  <c r="CY38" i="21"/>
  <c r="CX38" i="21"/>
  <c r="CW38" i="21"/>
  <c r="CV38" i="21"/>
  <c r="CU38" i="21"/>
  <c r="CT38" i="21"/>
  <c r="CS38" i="21"/>
  <c r="CR38" i="21"/>
  <c r="CQ38" i="21"/>
  <c r="CP38" i="21"/>
  <c r="CO38" i="21"/>
  <c r="CG38" i="21"/>
  <c r="CD38" i="21"/>
  <c r="CC38" i="21"/>
  <c r="CB38" i="21"/>
  <c r="CA38" i="21"/>
  <c r="BZ38" i="21"/>
  <c r="BY38" i="21"/>
  <c r="BX38" i="21"/>
  <c r="BW38" i="21"/>
  <c r="BV38" i="21"/>
  <c r="BU38" i="21"/>
  <c r="BT38" i="21"/>
  <c r="BS38" i="21"/>
  <c r="BR38" i="21"/>
  <c r="BQ38" i="21"/>
  <c r="BP38" i="21"/>
  <c r="BO38" i="21"/>
  <c r="BN38" i="21"/>
  <c r="BM38" i="21"/>
  <c r="BL38" i="21"/>
  <c r="BK38" i="21"/>
  <c r="BJ38" i="21"/>
  <c r="AI38" i="21" s="1"/>
  <c r="BI38" i="21"/>
  <c r="BE38" i="21"/>
  <c r="BE38" i="21" a="1"/>
  <c r="BD38" i="21" a="1"/>
  <c r="BD38" i="21" s="1"/>
  <c r="BC38" i="21"/>
  <c r="BC38" i="21" a="1"/>
  <c r="AZ38" i="21"/>
  <c r="BA38" i="21" s="1"/>
  <c r="BB38" i="21" s="1"/>
  <c r="AX38" i="21"/>
  <c r="L38" i="23" s="1"/>
  <c r="AW38" i="21"/>
  <c r="AV38" i="21"/>
  <c r="AU38" i="21"/>
  <c r="AT38" i="21"/>
  <c r="AS38" i="21"/>
  <c r="B67" i="23" s="1"/>
  <c r="C67" i="23" s="1"/>
  <c r="AR38" i="21"/>
  <c r="I38" i="21" s="1"/>
  <c r="J38" i="20" s="1"/>
  <c r="M38" i="20" s="1"/>
  <c r="O38" i="20" s="1"/>
  <c r="AQ38" i="21"/>
  <c r="AP38" i="21"/>
  <c r="AH38" i="21"/>
  <c r="O38" i="21"/>
  <c r="N38" i="21"/>
  <c r="H38" i="23" s="1"/>
  <c r="L38" i="21"/>
  <c r="J38" i="21"/>
  <c r="H38" i="21"/>
  <c r="F38" i="21"/>
  <c r="G38" i="20" s="1"/>
  <c r="E38" i="21"/>
  <c r="D38" i="21"/>
  <c r="C38" i="21"/>
  <c r="II37" i="21"/>
  <c r="IH37" i="21"/>
  <c r="IG37" i="21"/>
  <c r="IF37" i="21"/>
  <c r="IE37" i="21"/>
  <c r="ID37" i="21"/>
  <c r="IC37" i="21"/>
  <c r="IB37" i="21"/>
  <c r="IA37" i="21"/>
  <c r="HV37" i="21"/>
  <c r="HU37" i="21"/>
  <c r="HT37" i="21"/>
  <c r="FC37" i="21"/>
  <c r="FB37" i="21" s="1"/>
  <c r="FA37" i="21" s="1"/>
  <c r="EZ37" i="21" s="1"/>
  <c r="EY37" i="21" s="1"/>
  <c r="EX37" i="21" s="1"/>
  <c r="EW37" i="21" s="1"/>
  <c r="EV37" i="21" s="1"/>
  <c r="EU37" i="21" s="1"/>
  <c r="ET37" i="21" s="1"/>
  <c r="ES37" i="21" s="1"/>
  <c r="ER37" i="21" s="1"/>
  <c r="EQ37" i="21" s="1"/>
  <c r="EP37" i="21" s="1"/>
  <c r="EO37" i="21" s="1"/>
  <c r="EN37" i="21" s="1"/>
  <c r="EM37" i="21" s="1"/>
  <c r="EL37" i="21" s="1"/>
  <c r="EK37" i="21" s="1"/>
  <c r="EJ37" i="21" s="1"/>
  <c r="EI37" i="21" s="1"/>
  <c r="EH37" i="21" s="1"/>
  <c r="EG37" i="21" s="1"/>
  <c r="EF37" i="21" s="1"/>
  <c r="EE37" i="21" s="1"/>
  <c r="ED37" i="21" s="1"/>
  <c r="EC37" i="21" s="1"/>
  <c r="EB37" i="21" s="1"/>
  <c r="EA37" i="21" s="1"/>
  <c r="DZ37" i="21" s="1"/>
  <c r="DY37" i="21" s="1" a="1"/>
  <c r="DY37" i="21" s="1"/>
  <c r="DX37" i="21" s="1"/>
  <c r="DW37" i="21" s="1"/>
  <c r="DS37" i="21"/>
  <c r="DR37" i="21"/>
  <c r="DQ37" i="21"/>
  <c r="DP37" i="21"/>
  <c r="DO37" i="21"/>
  <c r="DN37" i="21"/>
  <c r="DM37" i="21"/>
  <c r="DL37" i="21"/>
  <c r="DK37" i="21"/>
  <c r="DJ37" i="21"/>
  <c r="DI37" i="21"/>
  <c r="DH37" i="21"/>
  <c r="DG37" i="21"/>
  <c r="DF37" i="21"/>
  <c r="DE37" i="21"/>
  <c r="DD37" i="21"/>
  <c r="DC37" i="21"/>
  <c r="DB37" i="21"/>
  <c r="DA37" i="21"/>
  <c r="CZ37" i="21"/>
  <c r="CY37" i="21"/>
  <c r="CX37" i="21"/>
  <c r="CW37" i="21"/>
  <c r="CV37" i="21"/>
  <c r="CU37" i="21"/>
  <c r="CT37" i="21"/>
  <c r="CS37" i="21"/>
  <c r="CR37" i="21"/>
  <c r="CQ37" i="21"/>
  <c r="CP37" i="21"/>
  <c r="CO37" i="21"/>
  <c r="CG37" i="21"/>
  <c r="CD37" i="21"/>
  <c r="CC37" i="21"/>
  <c r="CB37" i="21"/>
  <c r="CA37" i="21"/>
  <c r="BZ37" i="21"/>
  <c r="BY37" i="21"/>
  <c r="BX37" i="21"/>
  <c r="BW37" i="21"/>
  <c r="BV37" i="21"/>
  <c r="BU37" i="21"/>
  <c r="BT37" i="21"/>
  <c r="BS37" i="21"/>
  <c r="BR37" i="21"/>
  <c r="BQ37" i="21"/>
  <c r="BP37" i="21"/>
  <c r="BO37" i="21"/>
  <c r="BN37" i="21"/>
  <c r="BM37" i="21"/>
  <c r="BL37" i="21"/>
  <c r="BK37" i="21"/>
  <c r="BJ37" i="21"/>
  <c r="AI37" i="21" s="1"/>
  <c r="BI37" i="21"/>
  <c r="BE37" i="21"/>
  <c r="BE37" i="21" a="1"/>
  <c r="BD37" i="21" a="1"/>
  <c r="BD37" i="21" s="1"/>
  <c r="BC37" i="21"/>
  <c r="BC37" i="21" a="1"/>
  <c r="AZ37" i="21"/>
  <c r="BA37" i="21" s="1"/>
  <c r="BB37" i="21" s="1"/>
  <c r="AX37" i="21"/>
  <c r="L37" i="23" s="1"/>
  <c r="AW37" i="21"/>
  <c r="AV37" i="21"/>
  <c r="AU37" i="21"/>
  <c r="AT37" i="21"/>
  <c r="AS37" i="21"/>
  <c r="B66" i="23" s="1"/>
  <c r="C66" i="23" s="1"/>
  <c r="AR37" i="21"/>
  <c r="BH37" i="21" s="1"/>
  <c r="AQ37" i="21"/>
  <c r="AP37" i="21"/>
  <c r="AH37" i="21"/>
  <c r="O37" i="21"/>
  <c r="N37" i="21"/>
  <c r="H37" i="23" s="1"/>
  <c r="L37" i="21"/>
  <c r="J37" i="21"/>
  <c r="H37" i="21"/>
  <c r="Q37" i="29" s="1"/>
  <c r="F37" i="21"/>
  <c r="G37" i="20" s="1"/>
  <c r="E37" i="21"/>
  <c r="D37" i="21"/>
  <c r="C37" i="21"/>
  <c r="II36" i="21"/>
  <c r="IH36" i="21"/>
  <c r="IG36" i="21"/>
  <c r="IF36" i="21"/>
  <c r="IE36" i="21"/>
  <c r="ID36" i="21"/>
  <c r="IC36" i="21"/>
  <c r="IB36" i="21"/>
  <c r="IA36" i="21"/>
  <c r="HV36" i="21"/>
  <c r="HU36" i="21"/>
  <c r="HT36" i="21"/>
  <c r="FC36" i="21"/>
  <c r="FB36" i="21" s="1"/>
  <c r="FA36" i="21" s="1"/>
  <c r="EZ36" i="21" s="1"/>
  <c r="EY36" i="21" s="1"/>
  <c r="EX36" i="21" s="1"/>
  <c r="EW36" i="21" s="1"/>
  <c r="EV36" i="21" s="1"/>
  <c r="EU36" i="21" s="1"/>
  <c r="ET36" i="21" s="1"/>
  <c r="ES36" i="21" s="1"/>
  <c r="ER36" i="21" s="1"/>
  <c r="EQ36" i="21" s="1"/>
  <c r="EP36" i="21" s="1"/>
  <c r="EO36" i="21" s="1"/>
  <c r="EN36" i="21" s="1"/>
  <c r="EM36" i="21" s="1"/>
  <c r="EL36" i="21" s="1"/>
  <c r="EK36" i="21" s="1"/>
  <c r="EJ36" i="21" s="1"/>
  <c r="EI36" i="21" s="1"/>
  <c r="EH36" i="21" s="1"/>
  <c r="EG36" i="21" s="1"/>
  <c r="EF36" i="21" s="1"/>
  <c r="EE36" i="21" s="1"/>
  <c r="ED36" i="21" s="1"/>
  <c r="EC36" i="21" s="1"/>
  <c r="EB36" i="21" s="1"/>
  <c r="EA36" i="21" s="1"/>
  <c r="DZ36" i="21" s="1"/>
  <c r="DY36" i="21" s="1" a="1"/>
  <c r="DY36" i="21" s="1"/>
  <c r="DX36" i="21" s="1"/>
  <c r="DW36" i="21" s="1"/>
  <c r="DS36" i="21"/>
  <c r="DR36" i="21"/>
  <c r="DQ36" i="21"/>
  <c r="DP36" i="21"/>
  <c r="DO36" i="21"/>
  <c r="DN36" i="21"/>
  <c r="DM36" i="21"/>
  <c r="DL36" i="21"/>
  <c r="DK36" i="21"/>
  <c r="DJ36" i="21"/>
  <c r="DI36" i="21"/>
  <c r="DH36" i="21"/>
  <c r="DG36" i="21"/>
  <c r="DF36" i="21"/>
  <c r="DE36" i="21"/>
  <c r="DD36" i="21"/>
  <c r="DC36" i="21"/>
  <c r="DB36" i="21"/>
  <c r="DA36" i="21"/>
  <c r="CZ36" i="21"/>
  <c r="CY36" i="21"/>
  <c r="CX36" i="21"/>
  <c r="CW36" i="21"/>
  <c r="CV36" i="21"/>
  <c r="CU36" i="21"/>
  <c r="CT36" i="21"/>
  <c r="CS36" i="21"/>
  <c r="CR36" i="21"/>
  <c r="CQ36" i="21"/>
  <c r="CP36" i="21"/>
  <c r="CO36" i="21"/>
  <c r="CG36" i="21"/>
  <c r="CD36" i="21"/>
  <c r="CC36" i="21"/>
  <c r="CB36" i="21"/>
  <c r="CA36" i="21"/>
  <c r="BZ36" i="21"/>
  <c r="BY36" i="21"/>
  <c r="BX36" i="21"/>
  <c r="BW36" i="21"/>
  <c r="BV36" i="21"/>
  <c r="BU36" i="21"/>
  <c r="BT36" i="21"/>
  <c r="BS36" i="21"/>
  <c r="BR36" i="21"/>
  <c r="BQ36" i="21"/>
  <c r="BP36" i="21"/>
  <c r="BO36" i="21"/>
  <c r="BN36" i="21"/>
  <c r="BM36" i="21"/>
  <c r="BL36" i="21"/>
  <c r="BK36" i="21"/>
  <c r="BJ36" i="21"/>
  <c r="AI36" i="21" s="1"/>
  <c r="BI36" i="21"/>
  <c r="BE36" i="21"/>
  <c r="BE36" i="21" a="1"/>
  <c r="BD36" i="21" a="1"/>
  <c r="BD36" i="21" s="1"/>
  <c r="BC36" i="21"/>
  <c r="BC36" i="21" a="1"/>
  <c r="AZ36" i="21"/>
  <c r="BA36" i="21" s="1"/>
  <c r="BB36" i="21" s="1"/>
  <c r="AX36" i="21"/>
  <c r="L36" i="23" s="1"/>
  <c r="AW36" i="21"/>
  <c r="AV36" i="21"/>
  <c r="AU36" i="21"/>
  <c r="AT36" i="21"/>
  <c r="AS36" i="21"/>
  <c r="B65" i="23" s="1"/>
  <c r="C65" i="23" s="1"/>
  <c r="AR36" i="21"/>
  <c r="I36" i="21" s="1"/>
  <c r="AQ36" i="21"/>
  <c r="AP36" i="21"/>
  <c r="AH36" i="21"/>
  <c r="O36" i="21"/>
  <c r="N36" i="21"/>
  <c r="H36" i="23" s="1"/>
  <c r="L36" i="21"/>
  <c r="J36" i="21"/>
  <c r="H36" i="21"/>
  <c r="Q36" i="29" s="1"/>
  <c r="F36" i="21"/>
  <c r="G36" i="20" s="1"/>
  <c r="E36" i="21"/>
  <c r="D36" i="21"/>
  <c r="C36" i="21"/>
  <c r="II35" i="21"/>
  <c r="IH35" i="21"/>
  <c r="IG35" i="21"/>
  <c r="IF35" i="21"/>
  <c r="IE35" i="21"/>
  <c r="ID35" i="21"/>
  <c r="IC35" i="21"/>
  <c r="IB35" i="21"/>
  <c r="IA35" i="21"/>
  <c r="HV35" i="21"/>
  <c r="HU35" i="21"/>
  <c r="HT35" i="21"/>
  <c r="FC35" i="21"/>
  <c r="FB35" i="21" s="1"/>
  <c r="FA35" i="21" s="1"/>
  <c r="EZ35" i="21" s="1"/>
  <c r="EY35" i="21" s="1"/>
  <c r="EX35" i="21" s="1"/>
  <c r="EW35" i="21" s="1"/>
  <c r="EV35" i="21" s="1"/>
  <c r="EU35" i="21" s="1"/>
  <c r="ET35" i="21" s="1"/>
  <c r="ES35" i="21" s="1"/>
  <c r="ER35" i="21" s="1"/>
  <c r="EQ35" i="21" s="1"/>
  <c r="EP35" i="21" s="1"/>
  <c r="EO35" i="21" s="1"/>
  <c r="EN35" i="21" s="1"/>
  <c r="EM35" i="21" s="1"/>
  <c r="EL35" i="21" s="1"/>
  <c r="EK35" i="21" s="1"/>
  <c r="EJ35" i="21" s="1"/>
  <c r="EI35" i="21" s="1"/>
  <c r="EH35" i="21" s="1"/>
  <c r="EG35" i="21" s="1"/>
  <c r="EF35" i="21" s="1"/>
  <c r="EE35" i="21" s="1"/>
  <c r="ED35" i="21" s="1"/>
  <c r="EC35" i="21" s="1"/>
  <c r="EB35" i="21" s="1"/>
  <c r="EA35" i="21" s="1"/>
  <c r="DS35" i="21"/>
  <c r="DR35" i="21" s="1"/>
  <c r="DQ35" i="21" s="1"/>
  <c r="DP35" i="21" s="1"/>
  <c r="DO35" i="21" s="1"/>
  <c r="DN35" i="21" s="1"/>
  <c r="DM35" i="21" s="1"/>
  <c r="DL35" i="21" s="1"/>
  <c r="DK35" i="21" s="1"/>
  <c r="DJ35" i="21" s="1"/>
  <c r="DI35" i="21" s="1"/>
  <c r="DH35" i="21" s="1"/>
  <c r="DG35" i="21" s="1"/>
  <c r="DF35" i="21" s="1"/>
  <c r="DE35" i="21" s="1"/>
  <c r="DD35" i="21" s="1"/>
  <c r="DC35" i="21" s="1"/>
  <c r="DB35" i="21" s="1"/>
  <c r="DA35" i="21" s="1"/>
  <c r="CZ35" i="21" s="1"/>
  <c r="CY35" i="21" s="1"/>
  <c r="CX35" i="21" s="1"/>
  <c r="CW35" i="21" s="1"/>
  <c r="CV35" i="21" s="1"/>
  <c r="CU35" i="21" s="1"/>
  <c r="CT35" i="21" s="1"/>
  <c r="CS35" i="21" s="1"/>
  <c r="CR35" i="21" s="1"/>
  <c r="CQ35" i="21" s="1"/>
  <c r="CP35" i="21" s="1"/>
  <c r="CO35" i="21" s="1"/>
  <c r="CN35" i="21" s="1"/>
  <c r="CG35" i="21"/>
  <c r="CD35" i="21"/>
  <c r="CC35" i="21"/>
  <c r="CB35" i="21"/>
  <c r="CA35" i="21"/>
  <c r="BZ35" i="21"/>
  <c r="BY35" i="21"/>
  <c r="BX35" i="21"/>
  <c r="BW35" i="21"/>
  <c r="BV35" i="21"/>
  <c r="BU35" i="21"/>
  <c r="BT35" i="21"/>
  <c r="BS35" i="21"/>
  <c r="BR35" i="21"/>
  <c r="BQ35" i="21"/>
  <c r="BP35" i="21"/>
  <c r="BO35" i="21"/>
  <c r="BN35" i="21"/>
  <c r="BM35" i="21"/>
  <c r="BL35" i="21"/>
  <c r="BK35" i="21"/>
  <c r="BJ35" i="21"/>
  <c r="AI35" i="21" s="1"/>
  <c r="BI35" i="21"/>
  <c r="BE35" i="21"/>
  <c r="BE35" i="21" a="1"/>
  <c r="BD35" i="21" a="1"/>
  <c r="BD35" i="21" s="1"/>
  <c r="BC35" i="21"/>
  <c r="BC35" i="21" a="1"/>
  <c r="AZ35" i="21"/>
  <c r="BA35" i="21" s="1"/>
  <c r="BB35" i="21" s="1"/>
  <c r="AW35" i="21"/>
  <c r="N35" i="23" s="1"/>
  <c r="AV35" i="21"/>
  <c r="AU35" i="21"/>
  <c r="AT35" i="21"/>
  <c r="AR35" i="21"/>
  <c r="BH35" i="21" s="1"/>
  <c r="AQ35" i="21"/>
  <c r="AP35" i="21"/>
  <c r="AH35" i="21"/>
  <c r="L35" i="21"/>
  <c r="L35" i="20" s="1"/>
  <c r="J35" i="21"/>
  <c r="H35" i="21"/>
  <c r="Q35" i="29" s="1"/>
  <c r="F35" i="21"/>
  <c r="G35" i="20" s="1"/>
  <c r="E35" i="21"/>
  <c r="D35" i="21"/>
  <c r="O35" i="21" s="1"/>
  <c r="N35" i="20" s="1"/>
  <c r="C35" i="21"/>
  <c r="II34" i="21"/>
  <c r="IH34" i="21"/>
  <c r="IG34" i="21"/>
  <c r="IF34" i="21"/>
  <c r="IE34" i="21"/>
  <c r="ID34" i="21"/>
  <c r="IC34" i="21"/>
  <c r="IB34" i="21"/>
  <c r="IA34" i="21"/>
  <c r="HV34" i="21"/>
  <c r="HU34" i="21"/>
  <c r="HT34" i="21"/>
  <c r="FC34" i="21"/>
  <c r="FB34" i="21" s="1"/>
  <c r="FA34" i="21" s="1"/>
  <c r="EZ34" i="21" s="1"/>
  <c r="EY34" i="21" s="1"/>
  <c r="EX34" i="21" s="1"/>
  <c r="EW34" i="21" s="1"/>
  <c r="EV34" i="21" s="1"/>
  <c r="EU34" i="21" s="1"/>
  <c r="ET34" i="21" s="1"/>
  <c r="ES34" i="21" s="1"/>
  <c r="ER34" i="21" s="1"/>
  <c r="EQ34" i="21" s="1"/>
  <c r="EP34" i="21" s="1"/>
  <c r="EO34" i="21" s="1"/>
  <c r="EN34" i="21" s="1"/>
  <c r="EM34" i="21" s="1"/>
  <c r="EL34" i="21" s="1"/>
  <c r="EK34" i="21" s="1"/>
  <c r="EJ34" i="21" s="1"/>
  <c r="EI34" i="21" s="1"/>
  <c r="EH34" i="21" s="1"/>
  <c r="EG34" i="21" s="1"/>
  <c r="EF34" i="21" s="1"/>
  <c r="EE34" i="21" s="1"/>
  <c r="ED34" i="21" s="1"/>
  <c r="EC34" i="21" s="1"/>
  <c r="EB34" i="21" s="1"/>
  <c r="EA34" i="21" s="1"/>
  <c r="DZ34" i="21" s="1"/>
  <c r="DY34" i="21" s="1" a="1"/>
  <c r="DY34" i="21" s="1"/>
  <c r="DX34" i="21" s="1"/>
  <c r="DW34" i="21" s="1"/>
  <c r="DS34" i="21"/>
  <c r="DR34" i="21"/>
  <c r="DQ34" i="21"/>
  <c r="DP34" i="21"/>
  <c r="DO34" i="21"/>
  <c r="DN34" i="21"/>
  <c r="DM34" i="21"/>
  <c r="DL34" i="21"/>
  <c r="DK34" i="21"/>
  <c r="DJ34" i="21"/>
  <c r="DI34" i="21"/>
  <c r="DH34" i="21"/>
  <c r="DG34" i="21"/>
  <c r="DF34" i="21"/>
  <c r="DE34" i="21"/>
  <c r="DD34" i="21"/>
  <c r="DC34" i="21"/>
  <c r="DB34" i="21"/>
  <c r="DA34" i="21"/>
  <c r="CZ34" i="21"/>
  <c r="CY34" i="21"/>
  <c r="CX34" i="21"/>
  <c r="CW34" i="21"/>
  <c r="CV34" i="21"/>
  <c r="CU34" i="21"/>
  <c r="CT34" i="21"/>
  <c r="CS34" i="21"/>
  <c r="CR34" i="21"/>
  <c r="CQ34" i="21"/>
  <c r="CP34" i="21"/>
  <c r="CO34" i="21"/>
  <c r="CG34" i="21"/>
  <c r="CD34" i="21"/>
  <c r="CC34" i="21"/>
  <c r="CB34" i="21"/>
  <c r="CA34" i="21"/>
  <c r="BZ34" i="21"/>
  <c r="BY34" i="21"/>
  <c r="BX34" i="21"/>
  <c r="BW34" i="21"/>
  <c r="BV34" i="21"/>
  <c r="BU34" i="21"/>
  <c r="BT34" i="21"/>
  <c r="BS34" i="21"/>
  <c r="BR34" i="21"/>
  <c r="BQ34" i="21"/>
  <c r="BP34" i="21"/>
  <c r="BO34" i="21"/>
  <c r="BN34" i="21"/>
  <c r="BM34" i="21"/>
  <c r="BL34" i="21"/>
  <c r="BK34" i="21"/>
  <c r="BJ34" i="21"/>
  <c r="AI34" i="21" s="1"/>
  <c r="BI34" i="21"/>
  <c r="BE34" i="21"/>
  <c r="BE34" i="21" a="1"/>
  <c r="BD34" i="21" a="1"/>
  <c r="BD34" i="21" s="1"/>
  <c r="BC34" i="21"/>
  <c r="BC34" i="21" a="1"/>
  <c r="AZ34" i="21"/>
  <c r="BA34" i="21" s="1"/>
  <c r="BB34" i="21" s="1"/>
  <c r="AY34" i="21"/>
  <c r="AX34" i="21"/>
  <c r="L34" i="23" s="1"/>
  <c r="AW34" i="21"/>
  <c r="AV34" i="21"/>
  <c r="AU34" i="21"/>
  <c r="AT34" i="21"/>
  <c r="AS34" i="21"/>
  <c r="B63" i="23" s="1"/>
  <c r="C63" i="23" s="1"/>
  <c r="AR34" i="21"/>
  <c r="BH34" i="21" s="1"/>
  <c r="AQ34" i="21"/>
  <c r="AP34" i="21"/>
  <c r="AH34" i="21"/>
  <c r="O34" i="21"/>
  <c r="N34" i="21"/>
  <c r="H34" i="23" s="1"/>
  <c r="L34" i="21"/>
  <c r="J34" i="21"/>
  <c r="H34" i="21"/>
  <c r="Q34" i="29" s="1"/>
  <c r="F34" i="21"/>
  <c r="G34" i="20" s="1"/>
  <c r="E34" i="21"/>
  <c r="D34" i="21"/>
  <c r="C34" i="21"/>
  <c r="II33" i="21"/>
  <c r="IH33" i="21"/>
  <c r="IG33" i="21"/>
  <c r="IF33" i="21"/>
  <c r="IE33" i="21"/>
  <c r="ID33" i="21"/>
  <c r="IC33" i="21"/>
  <c r="IB33" i="21"/>
  <c r="IA33" i="21"/>
  <c r="HV33" i="21"/>
  <c r="HU33" i="21"/>
  <c r="HT33" i="21"/>
  <c r="FC33" i="21"/>
  <c r="FB33" i="21" s="1"/>
  <c r="FA33" i="21" s="1"/>
  <c r="EZ33" i="21" s="1"/>
  <c r="EY33" i="21" s="1"/>
  <c r="EX33" i="21" s="1"/>
  <c r="EW33" i="21" s="1"/>
  <c r="EV33" i="21" s="1"/>
  <c r="EU33" i="21" s="1"/>
  <c r="ET33" i="21" s="1"/>
  <c r="ES33" i="21" s="1"/>
  <c r="ER33" i="21" s="1"/>
  <c r="EQ33" i="21" s="1"/>
  <c r="EP33" i="21" s="1"/>
  <c r="EO33" i="21" s="1"/>
  <c r="EN33" i="21" s="1"/>
  <c r="EM33" i="21" s="1"/>
  <c r="EL33" i="21" s="1"/>
  <c r="EK33" i="21" s="1"/>
  <c r="EJ33" i="21" s="1"/>
  <c r="EI33" i="21" s="1"/>
  <c r="EH33" i="21" s="1"/>
  <c r="EG33" i="21" s="1"/>
  <c r="EF33" i="21" s="1"/>
  <c r="EE33" i="21" s="1"/>
  <c r="ED33" i="21" s="1"/>
  <c r="EC33" i="21" s="1"/>
  <c r="EB33" i="21" s="1"/>
  <c r="EA33" i="21" s="1"/>
  <c r="DZ33" i="21" s="1"/>
  <c r="DY33" i="21" s="1" a="1"/>
  <c r="DY33" i="21" s="1"/>
  <c r="DX33" i="21" s="1"/>
  <c r="DW33" i="21" s="1"/>
  <c r="DS33" i="21"/>
  <c r="DR33" i="21"/>
  <c r="DQ33" i="21"/>
  <c r="DP33" i="21"/>
  <c r="DO33" i="21"/>
  <c r="DN33" i="21"/>
  <c r="DM33" i="21"/>
  <c r="DL33" i="21"/>
  <c r="DK33" i="21"/>
  <c r="DJ33" i="21"/>
  <c r="DI33" i="21"/>
  <c r="DH33" i="21"/>
  <c r="DG33" i="21"/>
  <c r="DF33" i="21"/>
  <c r="DE33" i="21"/>
  <c r="DD33" i="21"/>
  <c r="DC33" i="21"/>
  <c r="DB33" i="21"/>
  <c r="DA33" i="21"/>
  <c r="CZ33" i="21"/>
  <c r="CY33" i="21"/>
  <c r="CX33" i="21"/>
  <c r="CW33" i="21"/>
  <c r="CV33" i="21"/>
  <c r="CU33" i="21"/>
  <c r="CT33" i="21"/>
  <c r="CS33" i="21"/>
  <c r="CR33" i="21"/>
  <c r="CQ33" i="21"/>
  <c r="CP33" i="21"/>
  <c r="CO33" i="21"/>
  <c r="CG33" i="21"/>
  <c r="CD33" i="21"/>
  <c r="CC33" i="21"/>
  <c r="CB33" i="21"/>
  <c r="CA33" i="21"/>
  <c r="BZ33" i="21"/>
  <c r="BY33" i="21"/>
  <c r="BX33" i="21"/>
  <c r="BW33" i="21"/>
  <c r="BV33" i="21"/>
  <c r="BU33" i="21"/>
  <c r="BT33" i="21"/>
  <c r="BS33" i="21"/>
  <c r="BR33" i="21"/>
  <c r="BQ33" i="21"/>
  <c r="BP33" i="21"/>
  <c r="BO33" i="21"/>
  <c r="BN33" i="21"/>
  <c r="BM33" i="21"/>
  <c r="BL33" i="21"/>
  <c r="BK33" i="21"/>
  <c r="BJ33" i="21"/>
  <c r="AI33" i="21" s="1"/>
  <c r="BI33" i="21"/>
  <c r="BE33" i="21"/>
  <c r="BE33" i="21" a="1"/>
  <c r="BD33" i="21" a="1"/>
  <c r="BD33" i="21" s="1"/>
  <c r="BC33" i="21"/>
  <c r="BC33" i="21" a="1"/>
  <c r="AZ33" i="21"/>
  <c r="BA33" i="21" s="1"/>
  <c r="BB33" i="21" s="1"/>
  <c r="AX33" i="21"/>
  <c r="L33" i="23" s="1"/>
  <c r="R33" i="23" s="1"/>
  <c r="AW33" i="21"/>
  <c r="AV33" i="21"/>
  <c r="AU33" i="21"/>
  <c r="AT33" i="21"/>
  <c r="AS33" i="21"/>
  <c r="B62" i="23" s="1"/>
  <c r="C62" i="23" s="1"/>
  <c r="AR33" i="21"/>
  <c r="BH33" i="21" s="1"/>
  <c r="AQ33" i="21"/>
  <c r="AP33" i="21"/>
  <c r="AH33" i="21"/>
  <c r="O33" i="21"/>
  <c r="N33" i="21"/>
  <c r="H33" i="23" s="1"/>
  <c r="L33" i="21"/>
  <c r="J33" i="21"/>
  <c r="H33" i="21"/>
  <c r="Q33" i="29" s="1"/>
  <c r="F33" i="21"/>
  <c r="E33" i="23" s="1"/>
  <c r="E33" i="21"/>
  <c r="D33" i="21"/>
  <c r="C33" i="21"/>
  <c r="II32" i="21"/>
  <c r="IH32" i="21"/>
  <c r="IG32" i="21"/>
  <c r="IF32" i="21"/>
  <c r="IE32" i="21"/>
  <c r="ID32" i="21"/>
  <c r="IC32" i="21"/>
  <c r="IB32" i="21"/>
  <c r="IA32" i="21"/>
  <c r="HV32" i="21"/>
  <c r="HU32" i="21"/>
  <c r="HT32" i="21"/>
  <c r="FC32" i="21"/>
  <c r="FB32" i="21" s="1"/>
  <c r="FA32" i="21" s="1"/>
  <c r="EZ32" i="21" s="1"/>
  <c r="EY32" i="21" s="1"/>
  <c r="EX32" i="21" s="1"/>
  <c r="EW32" i="21" s="1"/>
  <c r="EV32" i="21" s="1"/>
  <c r="EU32" i="21" s="1"/>
  <c r="ET32" i="21" s="1"/>
  <c r="ES32" i="21" s="1"/>
  <c r="ER32" i="21" s="1"/>
  <c r="EQ32" i="21" s="1"/>
  <c r="EP32" i="21" s="1"/>
  <c r="EO32" i="21" s="1"/>
  <c r="EN32" i="21" s="1"/>
  <c r="EM32" i="21" s="1"/>
  <c r="EL32" i="21" s="1"/>
  <c r="EK32" i="21" s="1"/>
  <c r="EJ32" i="21" s="1"/>
  <c r="EI32" i="21" s="1"/>
  <c r="EH32" i="21" s="1"/>
  <c r="EG32" i="21" s="1"/>
  <c r="EF32" i="21" s="1"/>
  <c r="EE32" i="21" s="1"/>
  <c r="ED32" i="21" s="1"/>
  <c r="EC32" i="21" s="1"/>
  <c r="EB32" i="21" s="1"/>
  <c r="EA32" i="21" s="1"/>
  <c r="DZ32" i="21" s="1"/>
  <c r="DY32" i="21" s="1" a="1"/>
  <c r="DY32" i="21" s="1"/>
  <c r="DX32" i="21" s="1"/>
  <c r="DW32" i="21" s="1"/>
  <c r="DS32" i="21"/>
  <c r="DR32" i="21"/>
  <c r="DQ32" i="21"/>
  <c r="DP32" i="21"/>
  <c r="DO32" i="21"/>
  <c r="DN32" i="21"/>
  <c r="DM32" i="21"/>
  <c r="DL32" i="21"/>
  <c r="DK32" i="21"/>
  <c r="DJ32" i="21"/>
  <c r="DI32" i="21"/>
  <c r="DH32" i="21"/>
  <c r="DG32" i="21"/>
  <c r="DF32" i="21"/>
  <c r="DE32" i="21"/>
  <c r="DD32" i="21"/>
  <c r="DC32" i="21"/>
  <c r="DB32" i="21"/>
  <c r="DA32" i="21"/>
  <c r="CZ32" i="21"/>
  <c r="CY32" i="21"/>
  <c r="CX32" i="21"/>
  <c r="CW32" i="21"/>
  <c r="CV32" i="21"/>
  <c r="CU32" i="21"/>
  <c r="CT32" i="21"/>
  <c r="CS32" i="21"/>
  <c r="CR32" i="21"/>
  <c r="CQ32" i="21"/>
  <c r="CP32" i="21"/>
  <c r="CO32" i="21"/>
  <c r="CG32" i="21"/>
  <c r="CD32" i="21"/>
  <c r="CC32" i="21"/>
  <c r="CB32" i="21"/>
  <c r="CA32" i="21"/>
  <c r="BZ32" i="21"/>
  <c r="BY32" i="21"/>
  <c r="BX32" i="21"/>
  <c r="BW32" i="21"/>
  <c r="BV32" i="21"/>
  <c r="BU32" i="21"/>
  <c r="BT32" i="21"/>
  <c r="BS32" i="21"/>
  <c r="BR32" i="21"/>
  <c r="BQ32" i="21"/>
  <c r="BP32" i="21"/>
  <c r="BO32" i="21"/>
  <c r="BN32" i="21"/>
  <c r="BM32" i="21"/>
  <c r="BL32" i="21"/>
  <c r="BK32" i="21"/>
  <c r="BJ32" i="21"/>
  <c r="AI32" i="21" s="1"/>
  <c r="BI32" i="21"/>
  <c r="BE32" i="21"/>
  <c r="BE32" i="21" a="1"/>
  <c r="BD32" i="21" a="1"/>
  <c r="BD32" i="21" s="1"/>
  <c r="BC32" i="21"/>
  <c r="BC32" i="21" a="1"/>
  <c r="AZ32" i="21"/>
  <c r="BA32" i="21" s="1"/>
  <c r="BB32" i="21" s="1"/>
  <c r="AX32" i="21"/>
  <c r="L32" i="23" s="1"/>
  <c r="AW32" i="21"/>
  <c r="AV32" i="21"/>
  <c r="AU32" i="21"/>
  <c r="AT32" i="21"/>
  <c r="AS32" i="21"/>
  <c r="B61" i="23" s="1"/>
  <c r="C61" i="23" s="1"/>
  <c r="AR32" i="21"/>
  <c r="I32" i="21" s="1"/>
  <c r="K32" i="21" s="1"/>
  <c r="AQ32" i="21"/>
  <c r="AP32" i="21"/>
  <c r="AH32" i="21"/>
  <c r="O32" i="21"/>
  <c r="N32" i="21"/>
  <c r="H32" i="23" s="1"/>
  <c r="L32" i="21"/>
  <c r="J32" i="21"/>
  <c r="H32" i="21"/>
  <c r="Q32" i="29" s="1"/>
  <c r="F32" i="21"/>
  <c r="G32" i="20" s="1"/>
  <c r="E32" i="21"/>
  <c r="D32" i="21"/>
  <c r="C32" i="21"/>
  <c r="II31" i="21"/>
  <c r="IH31" i="21"/>
  <c r="IG31" i="21"/>
  <c r="IF31" i="21"/>
  <c r="IE31" i="21"/>
  <c r="ID31" i="21"/>
  <c r="IC31" i="21"/>
  <c r="IB31" i="21"/>
  <c r="IA31" i="21"/>
  <c r="HV31" i="21"/>
  <c r="HU31" i="21"/>
  <c r="HT31" i="21"/>
  <c r="FC31" i="21"/>
  <c r="FB31" i="21" s="1"/>
  <c r="FA31" i="21" s="1"/>
  <c r="EZ31" i="21" s="1"/>
  <c r="EY31" i="21" s="1"/>
  <c r="EX31" i="21" s="1"/>
  <c r="EW31" i="21" s="1"/>
  <c r="EV31" i="21" s="1"/>
  <c r="EU31" i="21" s="1"/>
  <c r="ET31" i="21" s="1"/>
  <c r="ES31" i="21" s="1"/>
  <c r="ER31" i="21" s="1"/>
  <c r="EQ31" i="21" s="1"/>
  <c r="EP31" i="21" s="1"/>
  <c r="EO31" i="21" s="1"/>
  <c r="EN31" i="21" s="1"/>
  <c r="EM31" i="21" s="1"/>
  <c r="EL31" i="21" s="1"/>
  <c r="EK31" i="21" s="1"/>
  <c r="EJ31" i="21" s="1"/>
  <c r="EI31" i="21" s="1"/>
  <c r="EH31" i="21" s="1"/>
  <c r="EG31" i="21" s="1"/>
  <c r="EF31" i="21" s="1"/>
  <c r="EE31" i="21" s="1"/>
  <c r="ED31" i="21" s="1"/>
  <c r="EC31" i="21" s="1"/>
  <c r="EB31" i="21" s="1"/>
  <c r="EA31" i="21" s="1"/>
  <c r="DZ31" i="21" s="1"/>
  <c r="DY31" i="21" s="1" a="1"/>
  <c r="DY31" i="21" s="1"/>
  <c r="DX31" i="21" s="1"/>
  <c r="DW31" i="21" s="1"/>
  <c r="DS31" i="21"/>
  <c r="DR31" i="21"/>
  <c r="DQ31" i="21"/>
  <c r="DP31" i="21"/>
  <c r="DO31" i="21"/>
  <c r="DN31" i="21"/>
  <c r="DM31" i="21"/>
  <c r="DL31" i="21"/>
  <c r="DK31" i="21"/>
  <c r="DJ31" i="21"/>
  <c r="DI31" i="21"/>
  <c r="DH31" i="21"/>
  <c r="DG31" i="21"/>
  <c r="DF31" i="21"/>
  <c r="DE31" i="21"/>
  <c r="DD31" i="21"/>
  <c r="DC31" i="21"/>
  <c r="DB31" i="21"/>
  <c r="DA31" i="21"/>
  <c r="CZ31" i="21"/>
  <c r="CY31" i="21"/>
  <c r="CX31" i="21"/>
  <c r="CW31" i="21"/>
  <c r="CV31" i="21"/>
  <c r="CU31" i="21"/>
  <c r="CT31" i="21"/>
  <c r="CS31" i="21"/>
  <c r="CR31" i="21"/>
  <c r="CQ31" i="21"/>
  <c r="CP31" i="21"/>
  <c r="CO31" i="21"/>
  <c r="CG31" i="21"/>
  <c r="CD31" i="21"/>
  <c r="CC31" i="21"/>
  <c r="CB31" i="21"/>
  <c r="CA31" i="21"/>
  <c r="BZ31" i="21"/>
  <c r="BY31" i="21"/>
  <c r="BX31" i="21"/>
  <c r="BW31" i="21"/>
  <c r="BV31" i="21"/>
  <c r="BU31" i="21"/>
  <c r="BT31" i="21"/>
  <c r="BS31" i="21"/>
  <c r="BR31" i="21"/>
  <c r="BQ31" i="21"/>
  <c r="BP31" i="21"/>
  <c r="BO31" i="21"/>
  <c r="BN31" i="21"/>
  <c r="BM31" i="21"/>
  <c r="BL31" i="21"/>
  <c r="BK31" i="21"/>
  <c r="BJ31" i="21"/>
  <c r="BI31" i="21"/>
  <c r="BE31" i="21"/>
  <c r="BE31" i="21" a="1"/>
  <c r="BD31" i="21" a="1"/>
  <c r="BD31" i="21" s="1"/>
  <c r="BC31" i="21"/>
  <c r="BC31" i="21" a="1"/>
  <c r="AZ31" i="21"/>
  <c r="BA31" i="21" s="1"/>
  <c r="BB31" i="21" s="1"/>
  <c r="AX31" i="21"/>
  <c r="AW31" i="21"/>
  <c r="AV31" i="21"/>
  <c r="AU31" i="21"/>
  <c r="AT31" i="21"/>
  <c r="AS31" i="21"/>
  <c r="B60" i="23" s="1"/>
  <c r="C60" i="23" s="1"/>
  <c r="AR31" i="21"/>
  <c r="BH31" i="21" s="1"/>
  <c r="GG31" i="21" s="1"/>
  <c r="AQ31" i="21"/>
  <c r="AP31" i="21"/>
  <c r="AI31" i="21"/>
  <c r="AH31" i="21"/>
  <c r="O31" i="21"/>
  <c r="N31" i="21"/>
  <c r="H31" i="23" s="1"/>
  <c r="L31" i="21"/>
  <c r="J31" i="21"/>
  <c r="H31" i="21"/>
  <c r="Q31" i="29" s="1"/>
  <c r="F31" i="21"/>
  <c r="G31" i="20" s="1"/>
  <c r="E31" i="21"/>
  <c r="D31" i="21"/>
  <c r="C31" i="21"/>
  <c r="II30" i="21"/>
  <c r="IH30" i="21"/>
  <c r="IG30" i="21"/>
  <c r="IF30" i="21"/>
  <c r="IE30" i="21"/>
  <c r="ID30" i="21"/>
  <c r="IC30" i="21"/>
  <c r="IB30" i="21"/>
  <c r="IA30" i="21"/>
  <c r="HV30" i="21"/>
  <c r="HU30" i="21"/>
  <c r="HT30" i="21"/>
  <c r="FC30" i="21"/>
  <c r="FB30" i="21" s="1"/>
  <c r="FA30" i="21" s="1"/>
  <c r="EZ30" i="21" s="1"/>
  <c r="EY30" i="21" s="1"/>
  <c r="EX30" i="21" s="1"/>
  <c r="EW30" i="21" s="1"/>
  <c r="EV30" i="21" s="1"/>
  <c r="EU30" i="21" s="1"/>
  <c r="ET30" i="21" s="1"/>
  <c r="ES30" i="21" s="1"/>
  <c r="ER30" i="21" s="1"/>
  <c r="EQ30" i="21" s="1"/>
  <c r="EP30" i="21" s="1"/>
  <c r="EO30" i="21" s="1"/>
  <c r="EN30" i="21" s="1"/>
  <c r="EM30" i="21" s="1"/>
  <c r="EL30" i="21" s="1"/>
  <c r="EK30" i="21" s="1"/>
  <c r="EJ30" i="21" s="1"/>
  <c r="EI30" i="21" s="1"/>
  <c r="EH30" i="21" s="1"/>
  <c r="EG30" i="21" s="1"/>
  <c r="EF30" i="21" s="1"/>
  <c r="EE30" i="21" s="1"/>
  <c r="ED30" i="21" s="1"/>
  <c r="EC30" i="21" s="1"/>
  <c r="EB30" i="21" s="1"/>
  <c r="EA30" i="21" s="1"/>
  <c r="DZ30" i="21" s="1"/>
  <c r="DY30" i="21" s="1" a="1"/>
  <c r="DY30" i="21" s="1"/>
  <c r="DX30" i="21" s="1"/>
  <c r="DW30" i="21" s="1"/>
  <c r="DS30" i="21"/>
  <c r="DR30" i="21"/>
  <c r="DQ30" i="21"/>
  <c r="DP30" i="21"/>
  <c r="DO30" i="21"/>
  <c r="DN30" i="21"/>
  <c r="DM30" i="21"/>
  <c r="DL30" i="21"/>
  <c r="DK30" i="21"/>
  <c r="DJ30" i="21"/>
  <c r="DI30" i="21"/>
  <c r="DH30" i="21"/>
  <c r="DG30" i="21"/>
  <c r="DF30" i="21"/>
  <c r="DE30" i="21"/>
  <c r="DD30" i="21"/>
  <c r="DC30" i="21"/>
  <c r="DB30" i="21"/>
  <c r="DA30" i="21"/>
  <c r="CZ30" i="21"/>
  <c r="CY30" i="21"/>
  <c r="CX30" i="21"/>
  <c r="CW30" i="21"/>
  <c r="CV30" i="21"/>
  <c r="CU30" i="21"/>
  <c r="CT30" i="21"/>
  <c r="CS30" i="21"/>
  <c r="CR30" i="21"/>
  <c r="CQ30" i="21"/>
  <c r="CP30" i="21"/>
  <c r="CO30" i="21"/>
  <c r="CG30" i="21"/>
  <c r="CD30" i="21"/>
  <c r="CC30" i="21"/>
  <c r="CB30" i="21"/>
  <c r="CA30" i="21"/>
  <c r="BZ30" i="21"/>
  <c r="BY30" i="21"/>
  <c r="BX30" i="21"/>
  <c r="BW30" i="21"/>
  <c r="BV30" i="21"/>
  <c r="BU30" i="21"/>
  <c r="BT30" i="21"/>
  <c r="BS30" i="21"/>
  <c r="BR30" i="21"/>
  <c r="BQ30" i="21"/>
  <c r="BP30" i="21"/>
  <c r="BO30" i="21"/>
  <c r="BN30" i="21"/>
  <c r="BM30" i="21"/>
  <c r="BL30" i="21"/>
  <c r="BK30" i="21"/>
  <c r="BJ30" i="21"/>
  <c r="AI30" i="21" s="1"/>
  <c r="BI30" i="21"/>
  <c r="BE30" i="21"/>
  <c r="BE30" i="21" a="1"/>
  <c r="BD30" i="21" a="1"/>
  <c r="BD30" i="21" s="1"/>
  <c r="BC30" i="21"/>
  <c r="BC30" i="21" a="1"/>
  <c r="AZ30" i="21"/>
  <c r="BA30" i="21" s="1"/>
  <c r="BB30" i="21" s="1"/>
  <c r="AY30" i="21"/>
  <c r="AX30" i="21"/>
  <c r="L30" i="23" s="1"/>
  <c r="AW30" i="21"/>
  <c r="AV30" i="21"/>
  <c r="AU30" i="21"/>
  <c r="AT30" i="21"/>
  <c r="AS30" i="21"/>
  <c r="B59" i="23" s="1"/>
  <c r="C59" i="23" s="1"/>
  <c r="AR30" i="21"/>
  <c r="BH30" i="21" s="1"/>
  <c r="GH30" i="21" s="1"/>
  <c r="AQ30" i="21"/>
  <c r="AP30" i="21"/>
  <c r="AH30" i="21"/>
  <c r="O30" i="21"/>
  <c r="N30" i="21"/>
  <c r="H30" i="23" s="1"/>
  <c r="L30" i="21"/>
  <c r="J30" i="21"/>
  <c r="H30" i="21"/>
  <c r="Q30" i="29" s="1"/>
  <c r="F30" i="21"/>
  <c r="G30" i="20" s="1"/>
  <c r="E30" i="21"/>
  <c r="D30" i="21"/>
  <c r="C30" i="21"/>
  <c r="II29" i="21"/>
  <c r="IH29" i="21"/>
  <c r="IG29" i="21"/>
  <c r="IF29" i="21"/>
  <c r="IE29" i="21"/>
  <c r="ID29" i="21"/>
  <c r="IC29" i="21"/>
  <c r="IB29" i="21"/>
  <c r="IA29" i="21"/>
  <c r="HV29" i="21"/>
  <c r="HU29" i="21"/>
  <c r="HT29" i="21"/>
  <c r="FC29" i="21"/>
  <c r="FB29" i="21" s="1"/>
  <c r="FA29" i="21" s="1"/>
  <c r="EZ29" i="21" s="1"/>
  <c r="EY29" i="21" s="1"/>
  <c r="EX29" i="21" s="1"/>
  <c r="EW29" i="21" s="1"/>
  <c r="EV29" i="21" s="1"/>
  <c r="EU29" i="21" s="1"/>
  <c r="ET29" i="21" s="1"/>
  <c r="ES29" i="21" s="1"/>
  <c r="ER29" i="21" s="1"/>
  <c r="EQ29" i="21" s="1"/>
  <c r="EP29" i="21" s="1"/>
  <c r="EO29" i="21" s="1"/>
  <c r="EN29" i="21" s="1"/>
  <c r="EM29" i="21" s="1"/>
  <c r="EL29" i="21" s="1"/>
  <c r="EK29" i="21" s="1"/>
  <c r="EJ29" i="21" s="1"/>
  <c r="EI29" i="21" s="1"/>
  <c r="EH29" i="21" s="1"/>
  <c r="EG29" i="21" s="1"/>
  <c r="EF29" i="21" s="1"/>
  <c r="EE29" i="21" s="1"/>
  <c r="ED29" i="21" s="1"/>
  <c r="EC29" i="21" s="1"/>
  <c r="EB29" i="21" s="1"/>
  <c r="EA29" i="21" s="1"/>
  <c r="DZ29" i="21" s="1"/>
  <c r="DY29" i="21" s="1" a="1"/>
  <c r="DY29" i="21" s="1"/>
  <c r="DX29" i="21" s="1"/>
  <c r="DW29" i="21" s="1"/>
  <c r="DS29" i="21"/>
  <c r="DR29" i="21"/>
  <c r="DQ29" i="21"/>
  <c r="DP29" i="21"/>
  <c r="DO29" i="21"/>
  <c r="DN29" i="21"/>
  <c r="DM29" i="21"/>
  <c r="DL29" i="21"/>
  <c r="DK29" i="21"/>
  <c r="DJ29" i="21"/>
  <c r="DI29" i="21"/>
  <c r="DH29" i="21"/>
  <c r="DG29" i="21"/>
  <c r="DF29" i="21"/>
  <c r="DE29" i="21"/>
  <c r="DD29" i="21"/>
  <c r="DC29" i="21"/>
  <c r="DB29" i="21"/>
  <c r="DA29" i="21"/>
  <c r="CZ29" i="21"/>
  <c r="CY29" i="21"/>
  <c r="CX29" i="21"/>
  <c r="CW29" i="21"/>
  <c r="CV29" i="21"/>
  <c r="CU29" i="21"/>
  <c r="CT29" i="21"/>
  <c r="CS29" i="21"/>
  <c r="CR29" i="21"/>
  <c r="CQ29" i="21"/>
  <c r="CP29" i="21"/>
  <c r="CO29" i="21"/>
  <c r="CG29" i="21"/>
  <c r="CD29" i="21"/>
  <c r="CC29" i="21"/>
  <c r="CB29" i="21"/>
  <c r="CA29" i="21"/>
  <c r="BZ29" i="21"/>
  <c r="BY29" i="21"/>
  <c r="BX29" i="21"/>
  <c r="BW29" i="21"/>
  <c r="BV29" i="21"/>
  <c r="BU29" i="21"/>
  <c r="BT29" i="21"/>
  <c r="BS29" i="21"/>
  <c r="BR29" i="21"/>
  <c r="BQ29" i="21"/>
  <c r="BP29" i="21"/>
  <c r="BO29" i="21"/>
  <c r="BN29" i="21"/>
  <c r="BM29" i="21"/>
  <c r="BL29" i="21"/>
  <c r="BK29" i="21"/>
  <c r="BJ29" i="21"/>
  <c r="BI29" i="21"/>
  <c r="BE29" i="21"/>
  <c r="BE29" i="21" a="1"/>
  <c r="BD29" i="21" a="1"/>
  <c r="BD29" i="21" s="1"/>
  <c r="BC29" i="21"/>
  <c r="BC29" i="21" a="1"/>
  <c r="AZ29" i="21"/>
  <c r="BA29" i="21" s="1"/>
  <c r="BB29" i="21" s="1"/>
  <c r="AX29" i="21"/>
  <c r="L29" i="23" s="1"/>
  <c r="AW29" i="21"/>
  <c r="AV29" i="21"/>
  <c r="AU29" i="21"/>
  <c r="AT29" i="21"/>
  <c r="AS29" i="21"/>
  <c r="B58" i="23" s="1"/>
  <c r="C58" i="23" s="1"/>
  <c r="AR29" i="21"/>
  <c r="AN29" i="21" s="1"/>
  <c r="G29" i="21" s="1"/>
  <c r="H29" i="20" s="1"/>
  <c r="AQ29" i="21"/>
  <c r="AP29" i="21"/>
  <c r="AI29" i="21"/>
  <c r="AH29" i="21"/>
  <c r="O29" i="21"/>
  <c r="N29" i="21"/>
  <c r="H29" i="23" s="1"/>
  <c r="L29" i="21"/>
  <c r="J29" i="21"/>
  <c r="H29" i="21"/>
  <c r="Q29" i="29" s="1"/>
  <c r="F29" i="21"/>
  <c r="E29" i="23" s="1"/>
  <c r="E29" i="21"/>
  <c r="D29" i="21"/>
  <c r="C29" i="21"/>
  <c r="II28" i="21"/>
  <c r="IH28" i="21"/>
  <c r="IG28" i="21"/>
  <c r="IF28" i="21"/>
  <c r="IE28" i="21"/>
  <c r="ID28" i="21"/>
  <c r="IC28" i="21"/>
  <c r="IB28" i="21"/>
  <c r="IA28" i="21"/>
  <c r="HV28" i="21"/>
  <c r="HU28" i="21"/>
  <c r="HT28" i="21"/>
  <c r="FC28" i="21"/>
  <c r="FB28" i="21" s="1"/>
  <c r="FA28" i="21" s="1"/>
  <c r="EZ28" i="21" s="1"/>
  <c r="EY28" i="21" s="1"/>
  <c r="EX28" i="21" s="1"/>
  <c r="EW28" i="21" s="1"/>
  <c r="EV28" i="21" s="1"/>
  <c r="EU28" i="21" s="1"/>
  <c r="ET28" i="21" s="1"/>
  <c r="ES28" i="21" s="1"/>
  <c r="ER28" i="21" s="1"/>
  <c r="EQ28" i="21" s="1"/>
  <c r="EP28" i="21" s="1"/>
  <c r="EO28" i="21" s="1"/>
  <c r="EN28" i="21" s="1"/>
  <c r="EM28" i="21" s="1"/>
  <c r="EL28" i="21" s="1"/>
  <c r="EK28" i="21" s="1"/>
  <c r="EJ28" i="21" s="1"/>
  <c r="EI28" i="21" s="1"/>
  <c r="EH28" i="21" s="1"/>
  <c r="EG28" i="21" s="1"/>
  <c r="EF28" i="21" s="1"/>
  <c r="EE28" i="21" s="1"/>
  <c r="ED28" i="21" s="1"/>
  <c r="EC28" i="21" s="1"/>
  <c r="EB28" i="21" s="1"/>
  <c r="EA28" i="21" s="1"/>
  <c r="DZ28" i="21" s="1"/>
  <c r="DY28" i="21" s="1" a="1"/>
  <c r="DY28" i="21" s="1"/>
  <c r="DX28" i="21" s="1"/>
  <c r="DW28" i="21" s="1"/>
  <c r="DS28" i="21"/>
  <c r="DR28" i="21"/>
  <c r="DQ28" i="21"/>
  <c r="DP28" i="21"/>
  <c r="DO28" i="21"/>
  <c r="DN28" i="21"/>
  <c r="DM28" i="21"/>
  <c r="DL28" i="21"/>
  <c r="DK28" i="21"/>
  <c r="DJ28" i="21"/>
  <c r="DI28" i="21"/>
  <c r="DH28" i="21"/>
  <c r="DG28" i="21"/>
  <c r="DF28" i="21"/>
  <c r="DE28" i="21"/>
  <c r="DD28" i="21"/>
  <c r="DC28" i="21"/>
  <c r="DB28" i="21"/>
  <c r="DA28" i="21"/>
  <c r="CZ28" i="21"/>
  <c r="CY28" i="21"/>
  <c r="CX28" i="21"/>
  <c r="CW28" i="21"/>
  <c r="CV28" i="21"/>
  <c r="CU28" i="21"/>
  <c r="CT28" i="21"/>
  <c r="CS28" i="21"/>
  <c r="CR28" i="21"/>
  <c r="CQ28" i="21"/>
  <c r="CP28" i="21"/>
  <c r="CO28" i="21"/>
  <c r="CG28" i="21"/>
  <c r="CD28" i="21"/>
  <c r="CC28" i="21"/>
  <c r="CB28" i="21"/>
  <c r="CA28" i="21"/>
  <c r="BZ28" i="21"/>
  <c r="BY28" i="21"/>
  <c r="BX28" i="21"/>
  <c r="BW28" i="21"/>
  <c r="BV28" i="21"/>
  <c r="BU28" i="21"/>
  <c r="BT28" i="21"/>
  <c r="BS28" i="21"/>
  <c r="BR28" i="21"/>
  <c r="BQ28" i="21"/>
  <c r="BP28" i="21"/>
  <c r="BO28" i="21"/>
  <c r="BN28" i="21"/>
  <c r="BM28" i="21"/>
  <c r="BL28" i="21"/>
  <c r="BK28" i="21"/>
  <c r="BJ28" i="21"/>
  <c r="AI28" i="21" s="1"/>
  <c r="BI28" i="21"/>
  <c r="BE28" i="21"/>
  <c r="BE28" i="21" a="1"/>
  <c r="BD28" i="21"/>
  <c r="BD28" i="21" a="1"/>
  <c r="BC28" i="21"/>
  <c r="BC28" i="21" a="1"/>
  <c r="AZ28" i="21"/>
  <c r="BA28" i="21" s="1"/>
  <c r="BB28" i="21" s="1"/>
  <c r="AX28" i="21"/>
  <c r="AW28" i="21"/>
  <c r="AV28" i="21"/>
  <c r="AU28" i="21"/>
  <c r="AT28" i="21"/>
  <c r="AS28" i="21"/>
  <c r="B57" i="23" s="1"/>
  <c r="C57" i="23" s="1"/>
  <c r="AR28" i="21"/>
  <c r="I28" i="21" s="1"/>
  <c r="K28" i="21" s="1"/>
  <c r="AQ28" i="21"/>
  <c r="AP28" i="21"/>
  <c r="AH28" i="21"/>
  <c r="O28" i="21"/>
  <c r="N28" i="21"/>
  <c r="H28" i="23" s="1"/>
  <c r="L28" i="21"/>
  <c r="J28" i="21"/>
  <c r="H28" i="21"/>
  <c r="Q28" i="29" s="1"/>
  <c r="F28" i="21"/>
  <c r="G28" i="20" s="1"/>
  <c r="E28" i="21"/>
  <c r="D28" i="21"/>
  <c r="C28" i="21"/>
  <c r="II27" i="21"/>
  <c r="IH27" i="21"/>
  <c r="IG27" i="21"/>
  <c r="IF27" i="21"/>
  <c r="IE27" i="21"/>
  <c r="ID27" i="21"/>
  <c r="IC27" i="21"/>
  <c r="IB27" i="21"/>
  <c r="IA27" i="21"/>
  <c r="HV27" i="21"/>
  <c r="HU27" i="21"/>
  <c r="HT27" i="21"/>
  <c r="FC27" i="21"/>
  <c r="FB27" i="21" s="1"/>
  <c r="FA27" i="21" s="1"/>
  <c r="EZ27" i="21" s="1"/>
  <c r="EY27" i="21" s="1"/>
  <c r="EX27" i="21" s="1"/>
  <c r="EW27" i="21" s="1"/>
  <c r="EV27" i="21" s="1"/>
  <c r="EU27" i="21" s="1"/>
  <c r="ET27" i="21" s="1"/>
  <c r="ES27" i="21" s="1"/>
  <c r="ER27" i="21" s="1"/>
  <c r="EQ27" i="21" s="1"/>
  <c r="EP27" i="21" s="1"/>
  <c r="EO27" i="21" s="1"/>
  <c r="EN27" i="21" s="1"/>
  <c r="EM27" i="21" s="1"/>
  <c r="EL27" i="21" s="1"/>
  <c r="EK27" i="21" s="1"/>
  <c r="EJ27" i="21" s="1"/>
  <c r="EI27" i="21" s="1"/>
  <c r="EH27" i="21" s="1"/>
  <c r="EG27" i="21" s="1"/>
  <c r="EF27" i="21" s="1"/>
  <c r="EE27" i="21" s="1"/>
  <c r="ED27" i="21" s="1"/>
  <c r="EC27" i="21" s="1"/>
  <c r="EB27" i="21" s="1"/>
  <c r="EA27" i="21" s="1"/>
  <c r="DZ27" i="21" s="1"/>
  <c r="DY27" i="21" s="1" a="1"/>
  <c r="DY27" i="21" s="1"/>
  <c r="DX27" i="21" s="1"/>
  <c r="DW27" i="21" s="1"/>
  <c r="DS27" i="21"/>
  <c r="DR27" i="21"/>
  <c r="DQ27" i="21"/>
  <c r="DP27" i="21"/>
  <c r="DO27" i="21"/>
  <c r="DN27" i="21"/>
  <c r="DM27" i="21"/>
  <c r="DL27" i="21"/>
  <c r="DK27" i="21"/>
  <c r="DJ27" i="21"/>
  <c r="DI27" i="21"/>
  <c r="DH27" i="21"/>
  <c r="DG27" i="21"/>
  <c r="DF27" i="21"/>
  <c r="DE27" i="21"/>
  <c r="DD27" i="21"/>
  <c r="DC27" i="21"/>
  <c r="DB27" i="21"/>
  <c r="DA27" i="21"/>
  <c r="CZ27" i="21"/>
  <c r="CY27" i="21"/>
  <c r="CX27" i="21"/>
  <c r="CW27" i="21"/>
  <c r="CV27" i="21"/>
  <c r="CU27" i="21"/>
  <c r="CT27" i="21"/>
  <c r="CS27" i="21"/>
  <c r="CR27" i="21"/>
  <c r="CQ27" i="21"/>
  <c r="CP27" i="21"/>
  <c r="CO27" i="21"/>
  <c r="CG27" i="21"/>
  <c r="CD27" i="21"/>
  <c r="CC27" i="21"/>
  <c r="CB27" i="21"/>
  <c r="CA27" i="21"/>
  <c r="BZ27" i="21"/>
  <c r="BY27" i="21"/>
  <c r="BX27" i="21"/>
  <c r="BW27" i="21"/>
  <c r="BV27" i="21"/>
  <c r="BU27" i="21"/>
  <c r="BT27" i="21"/>
  <c r="BS27" i="21"/>
  <c r="BR27" i="21"/>
  <c r="BQ27" i="21"/>
  <c r="BP27" i="21"/>
  <c r="BO27" i="21"/>
  <c r="BN27" i="21"/>
  <c r="BM27" i="21"/>
  <c r="BL27" i="21"/>
  <c r="BK27" i="21"/>
  <c r="BJ27" i="21"/>
  <c r="AI27" i="21" s="1"/>
  <c r="BI27" i="21"/>
  <c r="BE27" i="21"/>
  <c r="BE27" i="21" a="1"/>
  <c r="BD27" i="21" a="1"/>
  <c r="BD27" i="21" s="1"/>
  <c r="BC27" i="21"/>
  <c r="BC27" i="21" a="1"/>
  <c r="AZ27" i="21"/>
  <c r="BA27" i="21" s="1"/>
  <c r="BB27" i="21" s="1"/>
  <c r="AY27" i="21"/>
  <c r="AX27" i="21"/>
  <c r="L27" i="23" s="1"/>
  <c r="AW27" i="21"/>
  <c r="AV27" i="21"/>
  <c r="AU27" i="21"/>
  <c r="AT27" i="21"/>
  <c r="AS27" i="21"/>
  <c r="B56" i="23" s="1"/>
  <c r="C56" i="23" s="1"/>
  <c r="AR27" i="21"/>
  <c r="BH27" i="21" s="1"/>
  <c r="AQ27" i="21"/>
  <c r="AP27" i="21"/>
  <c r="AH27" i="21"/>
  <c r="O27" i="21"/>
  <c r="N27" i="21"/>
  <c r="H27" i="23" s="1"/>
  <c r="L27" i="21"/>
  <c r="J27" i="21"/>
  <c r="H27" i="21"/>
  <c r="Q27" i="29" s="1"/>
  <c r="F27" i="21"/>
  <c r="G27" i="20" s="1"/>
  <c r="E27" i="21"/>
  <c r="D27" i="21"/>
  <c r="C27" i="21"/>
  <c r="II26" i="21"/>
  <c r="IH26" i="21"/>
  <c r="IG26" i="21"/>
  <c r="IF26" i="21"/>
  <c r="IE26" i="21"/>
  <c r="ID26" i="21"/>
  <c r="IC26" i="21"/>
  <c r="IB26" i="21"/>
  <c r="IA26" i="21"/>
  <c r="AH26" i="21" s="1"/>
  <c r="HV26" i="21"/>
  <c r="HU26" i="21"/>
  <c r="HT26" i="21"/>
  <c r="FC26" i="21"/>
  <c r="FB26" i="21" s="1"/>
  <c r="FA26" i="21" s="1"/>
  <c r="EZ26" i="21" s="1"/>
  <c r="EY26" i="21" s="1"/>
  <c r="EX26" i="21" s="1"/>
  <c r="EW26" i="21" s="1"/>
  <c r="EV26" i="21" s="1"/>
  <c r="EU26" i="21" s="1"/>
  <c r="ET26" i="21" s="1"/>
  <c r="DS26" i="21"/>
  <c r="DR26" i="21" s="1"/>
  <c r="DQ26" i="21" s="1"/>
  <c r="DP26" i="21" s="1"/>
  <c r="DO26" i="21" s="1"/>
  <c r="DN26" i="21" s="1"/>
  <c r="DM26" i="21" s="1"/>
  <c r="DL26" i="21" s="1"/>
  <c r="DK26" i="21" s="1"/>
  <c r="DJ26" i="21" s="1"/>
  <c r="DI26" i="21" s="1"/>
  <c r="DH26" i="21" s="1"/>
  <c r="DG26" i="21"/>
  <c r="DF26" i="21" s="1"/>
  <c r="DE26" i="21" s="1"/>
  <c r="DD26" i="21" s="1"/>
  <c r="DC26" i="21" s="1"/>
  <c r="DB26" i="21" s="1"/>
  <c r="DA26" i="21" s="1"/>
  <c r="CZ26" i="21" s="1"/>
  <c r="CY26" i="21" s="1"/>
  <c r="CX26" i="21" s="1"/>
  <c r="CW26" i="21" s="1"/>
  <c r="CV26" i="21" s="1"/>
  <c r="CU26" i="21" s="1"/>
  <c r="CT26" i="21" s="1"/>
  <c r="CS26" i="21" s="1"/>
  <c r="CR26" i="21" s="1"/>
  <c r="CQ26" i="21" s="1"/>
  <c r="CP26" i="21" s="1"/>
  <c r="CO26" i="21" s="1"/>
  <c r="CN26" i="21" s="1"/>
  <c r="CG26" i="21"/>
  <c r="CD26" i="21"/>
  <c r="CC26" i="21"/>
  <c r="CB26" i="21"/>
  <c r="CA26" i="21"/>
  <c r="BZ26" i="21"/>
  <c r="BY26" i="21"/>
  <c r="BX26" i="21"/>
  <c r="BW26" i="21"/>
  <c r="BV26" i="21"/>
  <c r="BU26" i="21"/>
  <c r="BT26" i="21"/>
  <c r="BS26" i="21"/>
  <c r="BR26" i="21"/>
  <c r="BQ26" i="21"/>
  <c r="BP26" i="21"/>
  <c r="BO26" i="21"/>
  <c r="BN26" i="21"/>
  <c r="BM26" i="21"/>
  <c r="BK26" i="21"/>
  <c r="BJ26" i="21"/>
  <c r="AI26" i="21" s="1"/>
  <c r="BI26" i="21"/>
  <c r="BE26" i="21" a="1"/>
  <c r="BE26" i="21" s="1"/>
  <c r="BL26" i="21" s="1"/>
  <c r="BD26" i="21" a="1"/>
  <c r="BD26" i="21" s="1"/>
  <c r="BC26" i="21"/>
  <c r="BC26" i="21" a="1"/>
  <c r="AZ26" i="21"/>
  <c r="AW26" i="21"/>
  <c r="N26" i="23" s="1"/>
  <c r="AT26" i="21"/>
  <c r="G55" i="23" s="1"/>
  <c r="O26" i="21"/>
  <c r="N26" i="20" s="1"/>
  <c r="J26" i="21"/>
  <c r="G26" i="23" s="1"/>
  <c r="F26" i="21"/>
  <c r="G26" i="20" s="1"/>
  <c r="E26" i="21"/>
  <c r="D26" i="21"/>
  <c r="E26" i="20" s="1"/>
  <c r="C26" i="21"/>
  <c r="II25" i="21"/>
  <c r="IH25" i="21"/>
  <c r="IG25" i="21"/>
  <c r="IF25" i="21"/>
  <c r="IE25" i="21"/>
  <c r="ID25" i="21"/>
  <c r="IC25" i="21"/>
  <c r="IB25" i="21"/>
  <c r="IA25" i="21"/>
  <c r="HV25" i="21"/>
  <c r="HU25" i="21"/>
  <c r="HT25" i="21"/>
  <c r="FC25" i="21"/>
  <c r="FB25" i="21" s="1"/>
  <c r="FA25" i="21" s="1"/>
  <c r="EZ25" i="21" s="1"/>
  <c r="EY25" i="21" s="1"/>
  <c r="EX25" i="21" s="1"/>
  <c r="EW25" i="21" s="1"/>
  <c r="EV25" i="21" s="1"/>
  <c r="EU25" i="21" s="1"/>
  <c r="ET25" i="21" s="1"/>
  <c r="ES25" i="21" s="1"/>
  <c r="ER25" i="21" s="1"/>
  <c r="EQ25" i="21" s="1"/>
  <c r="DS25" i="21"/>
  <c r="DR25" i="21"/>
  <c r="DQ25" i="21" s="1"/>
  <c r="DP25" i="21" s="1"/>
  <c r="DO25" i="21" s="1"/>
  <c r="DN25" i="21" s="1"/>
  <c r="DM25" i="21" s="1"/>
  <c r="DL25" i="21" s="1"/>
  <c r="DK25" i="21" s="1"/>
  <c r="DJ25" i="21" s="1"/>
  <c r="DI25" i="21" s="1"/>
  <c r="DH25" i="21" s="1"/>
  <c r="DG25" i="21" s="1"/>
  <c r="DF25" i="21"/>
  <c r="DE25" i="21" s="1"/>
  <c r="DD25" i="21" s="1"/>
  <c r="DC25" i="21" s="1"/>
  <c r="DB25" i="21" s="1"/>
  <c r="DA25" i="21" s="1"/>
  <c r="CZ25" i="21" s="1"/>
  <c r="CY25" i="21" s="1"/>
  <c r="CX25" i="21" s="1"/>
  <c r="CW25" i="21" s="1"/>
  <c r="CV25" i="21" s="1"/>
  <c r="CU25" i="21" s="1"/>
  <c r="CT25" i="21" s="1"/>
  <c r="CS25" i="21" s="1"/>
  <c r="CR25" i="21" s="1"/>
  <c r="CQ25" i="21" s="1"/>
  <c r="CP25" i="21" s="1"/>
  <c r="CO25" i="21" s="1"/>
  <c r="CN25" i="21" s="1"/>
  <c r="CG25" i="21"/>
  <c r="CD25" i="21"/>
  <c r="CC25" i="21"/>
  <c r="CB25" i="21"/>
  <c r="CA25" i="21"/>
  <c r="BZ25" i="21"/>
  <c r="BY25" i="21"/>
  <c r="BX25" i="21"/>
  <c r="BW25" i="21"/>
  <c r="BV25" i="21"/>
  <c r="BU25" i="21"/>
  <c r="BT25" i="21"/>
  <c r="BS25" i="21"/>
  <c r="BR25" i="21"/>
  <c r="BQ25" i="21"/>
  <c r="BP25" i="21"/>
  <c r="BO25" i="21"/>
  <c r="BN25" i="21"/>
  <c r="BM25" i="21"/>
  <c r="BK25" i="21"/>
  <c r="BJ25" i="21"/>
  <c r="BI25" i="21"/>
  <c r="BE25" i="21"/>
  <c r="BL25" i="21" s="1"/>
  <c r="BE25" i="21" a="1"/>
  <c r="BD25" i="21" a="1"/>
  <c r="BD25" i="21" s="1"/>
  <c r="BC25" i="21"/>
  <c r="BC25" i="21" a="1"/>
  <c r="AZ25" i="21"/>
  <c r="AW25" i="21"/>
  <c r="N25" i="23" s="1"/>
  <c r="AT25" i="21"/>
  <c r="G54" i="23" s="1"/>
  <c r="J25" i="21"/>
  <c r="K25" i="20" s="1"/>
  <c r="F25" i="21"/>
  <c r="E25" i="23" s="1"/>
  <c r="E25" i="21"/>
  <c r="D25" i="21"/>
  <c r="E25" i="20" s="1"/>
  <c r="C25" i="21"/>
  <c r="II24" i="21"/>
  <c r="IH24" i="21"/>
  <c r="IG24" i="21"/>
  <c r="IF24" i="21"/>
  <c r="IE24" i="21"/>
  <c r="ID24" i="21"/>
  <c r="IC24" i="21"/>
  <c r="IB24" i="21"/>
  <c r="IA24" i="21"/>
  <c r="AH24" i="21" s="1"/>
  <c r="HV24" i="21"/>
  <c r="HU24" i="21"/>
  <c r="HT24" i="21"/>
  <c r="FC24" i="21"/>
  <c r="FB24" i="21" s="1"/>
  <c r="FA24" i="21" s="1"/>
  <c r="EZ24" i="21" s="1"/>
  <c r="EY24" i="21" s="1"/>
  <c r="EX24" i="21" s="1"/>
  <c r="EW24" i="21" s="1"/>
  <c r="EV24" i="21" s="1"/>
  <c r="EU24" i="21" s="1"/>
  <c r="ET24" i="21" s="1"/>
  <c r="ES24" i="21" s="1"/>
  <c r="ER24" i="21" s="1"/>
  <c r="EQ24" i="21" s="1"/>
  <c r="EP24" i="21" s="1"/>
  <c r="DS24" i="21"/>
  <c r="DR24" i="21"/>
  <c r="DQ24" i="21" s="1"/>
  <c r="DP24" i="21" s="1"/>
  <c r="DO24" i="21" s="1"/>
  <c r="DN24" i="21" s="1"/>
  <c r="DM24" i="21" s="1"/>
  <c r="DL24" i="21" s="1"/>
  <c r="DK24" i="21" s="1"/>
  <c r="DJ24" i="21" s="1"/>
  <c r="DI24" i="21" s="1"/>
  <c r="DH24" i="21" s="1"/>
  <c r="DG24" i="21" s="1"/>
  <c r="DF24" i="21" s="1"/>
  <c r="DE24" i="21"/>
  <c r="DD24" i="21" s="1"/>
  <c r="DC24" i="21" s="1"/>
  <c r="DB24" i="21" s="1"/>
  <c r="DA24" i="21" s="1"/>
  <c r="CZ24" i="21" s="1"/>
  <c r="CY24" i="21" s="1"/>
  <c r="CX24" i="21" s="1"/>
  <c r="CW24" i="21" s="1"/>
  <c r="CV24" i="21" s="1"/>
  <c r="CU24" i="21" s="1"/>
  <c r="CT24" i="21" s="1"/>
  <c r="CS24" i="21" s="1"/>
  <c r="CR24" i="21" s="1"/>
  <c r="CQ24" i="21" s="1"/>
  <c r="CP24" i="21" s="1"/>
  <c r="CO24" i="21" s="1"/>
  <c r="CN24" i="21" s="1"/>
  <c r="CG24" i="21"/>
  <c r="CD24" i="21"/>
  <c r="CC24" i="21"/>
  <c r="CB24" i="21"/>
  <c r="CA24" i="21"/>
  <c r="BZ24" i="21"/>
  <c r="BY24" i="21"/>
  <c r="BX24" i="21"/>
  <c r="BW24" i="21"/>
  <c r="BV24" i="21"/>
  <c r="BU24" i="21"/>
  <c r="BT24" i="21"/>
  <c r="BS24" i="21"/>
  <c r="BR24" i="21"/>
  <c r="BQ24" i="21"/>
  <c r="BP24" i="21"/>
  <c r="BO24" i="21"/>
  <c r="BN24" i="21"/>
  <c r="BM24" i="21"/>
  <c r="BL24" i="21"/>
  <c r="BK24" i="21"/>
  <c r="BJ24" i="21"/>
  <c r="AI24" i="21" s="1"/>
  <c r="BI24" i="21"/>
  <c r="BE24" i="21"/>
  <c r="BE24" i="21" a="1"/>
  <c r="BD24" i="21" a="1"/>
  <c r="BD24" i="21" s="1"/>
  <c r="BC24" i="21"/>
  <c r="BC24" i="21" a="1"/>
  <c r="AW24" i="21"/>
  <c r="N24" i="23" s="1"/>
  <c r="AU24" i="21"/>
  <c r="AT24" i="21"/>
  <c r="G53" i="23" s="1"/>
  <c r="J24" i="21"/>
  <c r="K24" i="20" s="1"/>
  <c r="F24" i="21"/>
  <c r="G24" i="20" s="1"/>
  <c r="E24" i="21"/>
  <c r="D24" i="21"/>
  <c r="O24" i="21" s="1"/>
  <c r="N24" i="20" s="1"/>
  <c r="C24" i="21"/>
  <c r="II23" i="21"/>
  <c r="IH23" i="21"/>
  <c r="IG23" i="21"/>
  <c r="IF23" i="21"/>
  <c r="IE23" i="21"/>
  <c r="ID23" i="21"/>
  <c r="IC23" i="21"/>
  <c r="IB23" i="21"/>
  <c r="IA23" i="21"/>
  <c r="HV23" i="21"/>
  <c r="HU23" i="21"/>
  <c r="HT23" i="21"/>
  <c r="FC23" i="21"/>
  <c r="FB23" i="21" s="1"/>
  <c r="FA23" i="21" s="1"/>
  <c r="EZ23" i="21" s="1"/>
  <c r="EY23" i="21" s="1"/>
  <c r="EX23" i="21" s="1"/>
  <c r="EW23" i="21" s="1"/>
  <c r="EV23" i="21" s="1"/>
  <c r="EU23" i="21" s="1"/>
  <c r="ET23" i="21" s="1"/>
  <c r="ES23" i="21" s="1"/>
  <c r="ER23" i="21" s="1"/>
  <c r="EQ23" i="21" s="1"/>
  <c r="EP23" i="21" s="1"/>
  <c r="EO23" i="21" s="1"/>
  <c r="EN23" i="21" s="1"/>
  <c r="DS23" i="21"/>
  <c r="DR23" i="21" s="1"/>
  <c r="DQ23" i="21" s="1"/>
  <c r="DP23" i="21" s="1"/>
  <c r="DO23" i="21" s="1"/>
  <c r="DN23" i="21" s="1"/>
  <c r="DM23" i="21" s="1"/>
  <c r="DL23" i="21" s="1"/>
  <c r="DK23" i="21" s="1"/>
  <c r="DJ23" i="21" s="1"/>
  <c r="DI23" i="21" s="1"/>
  <c r="DH23" i="21" s="1"/>
  <c r="DG23" i="21" s="1"/>
  <c r="DF23" i="21" s="1"/>
  <c r="DE23" i="21" s="1"/>
  <c r="DD23" i="21" s="1"/>
  <c r="DC23" i="21" s="1"/>
  <c r="DB23" i="21" s="1"/>
  <c r="DA23" i="21" s="1"/>
  <c r="CZ23" i="21" s="1"/>
  <c r="CY23" i="21" s="1"/>
  <c r="CX23" i="21" s="1"/>
  <c r="CW23" i="21" s="1"/>
  <c r="CV23" i="21" s="1"/>
  <c r="CU23" i="21" s="1"/>
  <c r="CT23" i="21" s="1"/>
  <c r="CS23" i="21" s="1"/>
  <c r="CR23" i="21" s="1"/>
  <c r="CQ23" i="21" s="1"/>
  <c r="CP23" i="21" s="1"/>
  <c r="CO23" i="21" s="1"/>
  <c r="CN23" i="21" s="1"/>
  <c r="CG23" i="21"/>
  <c r="CD23" i="21"/>
  <c r="CC23" i="21"/>
  <c r="CB23" i="21"/>
  <c r="CA23" i="21"/>
  <c r="BZ23" i="21"/>
  <c r="BY23" i="21"/>
  <c r="BX23" i="21"/>
  <c r="BW23" i="21"/>
  <c r="BV23" i="21"/>
  <c r="BU23" i="21"/>
  <c r="BT23" i="21"/>
  <c r="BS23" i="21"/>
  <c r="BR23" i="21"/>
  <c r="BQ23" i="21"/>
  <c r="BP23" i="21"/>
  <c r="BO23" i="21"/>
  <c r="BN23" i="21"/>
  <c r="BM23" i="21"/>
  <c r="BK23" i="21"/>
  <c r="BJ23" i="21"/>
  <c r="BI23" i="21"/>
  <c r="BE23" i="21" a="1"/>
  <c r="BE23" i="21" s="1"/>
  <c r="BL23" i="21" s="1"/>
  <c r="BD23" i="21" a="1"/>
  <c r="BD23" i="21" s="1"/>
  <c r="BC23" i="21" a="1"/>
  <c r="BC23" i="21" s="1"/>
  <c r="AZ23" i="21"/>
  <c r="AW23" i="21"/>
  <c r="N23" i="23" s="1"/>
  <c r="AU23" i="21"/>
  <c r="AT23" i="21"/>
  <c r="G52" i="23" s="1"/>
  <c r="O23" i="21"/>
  <c r="N23" i="20" s="1"/>
  <c r="L23" i="21"/>
  <c r="L23" i="20" s="1"/>
  <c r="J23" i="21"/>
  <c r="G23" i="23" s="1"/>
  <c r="F23" i="21"/>
  <c r="G23" i="20" s="1"/>
  <c r="N17" i="27" s="1"/>
  <c r="E23" i="21"/>
  <c r="D23" i="21"/>
  <c r="C23" i="21"/>
  <c r="II22" i="21"/>
  <c r="IH22" i="21"/>
  <c r="IG22" i="21"/>
  <c r="IF22" i="21"/>
  <c r="IE22" i="21"/>
  <c r="ID22" i="21"/>
  <c r="IC22" i="21"/>
  <c r="IB22" i="21"/>
  <c r="IA22" i="21"/>
  <c r="AH22" i="21" s="1"/>
  <c r="HV22" i="21"/>
  <c r="HU22" i="21"/>
  <c r="HT22" i="21"/>
  <c r="FC22" i="21"/>
  <c r="FB22" i="21" s="1"/>
  <c r="FA22" i="21" s="1"/>
  <c r="EZ22" i="21" s="1"/>
  <c r="EY22" i="21" s="1"/>
  <c r="EX22" i="21" s="1"/>
  <c r="EW22" i="21" s="1"/>
  <c r="EV22" i="21" s="1"/>
  <c r="EU22" i="21" s="1"/>
  <c r="ET22" i="21" s="1"/>
  <c r="ES22" i="21" s="1"/>
  <c r="ER22" i="21" s="1"/>
  <c r="EQ22" i="21" s="1"/>
  <c r="EP22" i="21" s="1"/>
  <c r="EO22" i="21" s="1"/>
  <c r="EN22" i="21" s="1"/>
  <c r="EM22" i="21" s="1"/>
  <c r="DS22" i="21"/>
  <c r="DR22" i="21"/>
  <c r="DQ22" i="21" s="1"/>
  <c r="DP22" i="21" s="1"/>
  <c r="DO22" i="21" s="1"/>
  <c r="DN22" i="21" s="1"/>
  <c r="DM22" i="21" s="1"/>
  <c r="DL22" i="21" s="1"/>
  <c r="DK22" i="21" s="1"/>
  <c r="DJ22" i="21" s="1"/>
  <c r="DI22" i="21" s="1"/>
  <c r="DH22" i="21" s="1"/>
  <c r="DG22" i="21" s="1"/>
  <c r="DF22" i="21" s="1"/>
  <c r="DE22" i="21" s="1"/>
  <c r="DD22" i="21" s="1"/>
  <c r="DC22" i="21" s="1"/>
  <c r="DB22" i="21"/>
  <c r="DA22" i="21" s="1"/>
  <c r="CZ22" i="21" s="1"/>
  <c r="CY22" i="21" s="1"/>
  <c r="CX22" i="21" s="1"/>
  <c r="CW22" i="21" s="1"/>
  <c r="CV22" i="21" s="1"/>
  <c r="CU22" i="21" s="1"/>
  <c r="CT22" i="21" s="1"/>
  <c r="CS22" i="21" s="1"/>
  <c r="CR22" i="21" s="1"/>
  <c r="CQ22" i="21" s="1"/>
  <c r="CP22" i="21" s="1"/>
  <c r="CO22" i="21" s="1"/>
  <c r="CN22" i="21" s="1"/>
  <c r="CG22" i="21"/>
  <c r="CD22" i="21"/>
  <c r="CC22" i="21"/>
  <c r="CB22" i="21"/>
  <c r="CA22" i="21"/>
  <c r="BZ22" i="21"/>
  <c r="BY22" i="21"/>
  <c r="BX22" i="21"/>
  <c r="BW22" i="21"/>
  <c r="BV22" i="21"/>
  <c r="BU22" i="21"/>
  <c r="BT22" i="21"/>
  <c r="BS22" i="21"/>
  <c r="BR22" i="21"/>
  <c r="BQ22" i="21"/>
  <c r="BP22" i="21"/>
  <c r="BO22" i="21"/>
  <c r="BN22" i="21"/>
  <c r="BM22" i="21"/>
  <c r="BK22" i="21"/>
  <c r="BJ22" i="21"/>
  <c r="BI22" i="21"/>
  <c r="BE22" i="21" a="1"/>
  <c r="BE22" i="21" s="1"/>
  <c r="BL22" i="21" s="1"/>
  <c r="BD22" i="21" a="1"/>
  <c r="BD22" i="21" s="1"/>
  <c r="BC22" i="21"/>
  <c r="BC22" i="21" a="1"/>
  <c r="AZ22" i="21"/>
  <c r="AW22" i="21"/>
  <c r="N22" i="23" s="1"/>
  <c r="AT22" i="21"/>
  <c r="G51" i="23" s="1"/>
  <c r="J22" i="21"/>
  <c r="K22" i="20" s="1"/>
  <c r="F22" i="21"/>
  <c r="G22" i="20" s="1"/>
  <c r="E22" i="21"/>
  <c r="D22" i="21"/>
  <c r="E22" i="20" s="1"/>
  <c r="C22" i="21"/>
  <c r="II21" i="21"/>
  <c r="IH21" i="21"/>
  <c r="IG21" i="21"/>
  <c r="IF21" i="21"/>
  <c r="IE21" i="21"/>
  <c r="ID21" i="21"/>
  <c r="IC21" i="21"/>
  <c r="IB21" i="21"/>
  <c r="IA21" i="21"/>
  <c r="AH21" i="21" s="1"/>
  <c r="HV21" i="21"/>
  <c r="HU21" i="21"/>
  <c r="HT21" i="21"/>
  <c r="FC21" i="21"/>
  <c r="FB21" i="21" s="1"/>
  <c r="FA21" i="21" s="1"/>
  <c r="EZ21" i="21" s="1"/>
  <c r="EY21" i="21" s="1"/>
  <c r="EX21" i="21" s="1"/>
  <c r="EW21" i="21" s="1"/>
  <c r="EV21" i="21" s="1"/>
  <c r="EU21" i="21" s="1"/>
  <c r="ET21" i="21" s="1"/>
  <c r="ES21" i="21" s="1"/>
  <c r="ER21" i="21" s="1"/>
  <c r="EQ21" i="21" s="1"/>
  <c r="EP21" i="21" s="1"/>
  <c r="EO21" i="21" s="1"/>
  <c r="EN21" i="21" s="1"/>
  <c r="EM21" i="21" s="1"/>
  <c r="EL21" i="21" s="1"/>
  <c r="EK21" i="21" s="1"/>
  <c r="EJ21" i="21" s="1"/>
  <c r="EI21" i="21" s="1"/>
  <c r="EH21" i="21" s="1"/>
  <c r="EG21" i="21" s="1"/>
  <c r="EF21" i="21" s="1"/>
  <c r="EE21" i="21" s="1"/>
  <c r="ED21" i="21" s="1"/>
  <c r="EC21" i="21" s="1"/>
  <c r="DS21" i="21"/>
  <c r="DR21" i="21" s="1"/>
  <c r="DQ21" i="21" s="1"/>
  <c r="DP21" i="21" s="1"/>
  <c r="DO21" i="21" s="1"/>
  <c r="DN21" i="21" s="1"/>
  <c r="DM21" i="21" s="1"/>
  <c r="DL21" i="21" s="1"/>
  <c r="DK21" i="21" s="1"/>
  <c r="DJ21" i="21" s="1"/>
  <c r="DI21" i="21" s="1"/>
  <c r="DH21" i="21" s="1"/>
  <c r="DG21" i="21" s="1"/>
  <c r="DF21" i="21" s="1"/>
  <c r="DE21" i="21" s="1"/>
  <c r="DD21" i="21" s="1"/>
  <c r="DC21" i="21" s="1"/>
  <c r="DB21" i="21" s="1"/>
  <c r="DA21" i="21" s="1"/>
  <c r="CZ21" i="21" s="1"/>
  <c r="CY21" i="21" s="1"/>
  <c r="CX21" i="21" s="1"/>
  <c r="CW21" i="21" s="1"/>
  <c r="CV21" i="21" s="1"/>
  <c r="CU21" i="21" s="1"/>
  <c r="CT21" i="21" s="1"/>
  <c r="CS21" i="21" s="1"/>
  <c r="CR21" i="21"/>
  <c r="CQ21" i="21" s="1"/>
  <c r="CP21" i="21" s="1"/>
  <c r="CO21" i="21" s="1"/>
  <c r="CN21" i="21" s="1"/>
  <c r="CG21" i="21"/>
  <c r="CD21" i="21"/>
  <c r="CC21" i="21"/>
  <c r="CB21" i="21"/>
  <c r="CA21" i="21"/>
  <c r="BZ21" i="21"/>
  <c r="BY21" i="21"/>
  <c r="BX21" i="21"/>
  <c r="BW21" i="21"/>
  <c r="BV21" i="21"/>
  <c r="BU21" i="21"/>
  <c r="BT21" i="21"/>
  <c r="BS21" i="21"/>
  <c r="BR21" i="21"/>
  <c r="BQ21" i="21"/>
  <c r="BP21" i="21"/>
  <c r="BO21" i="21"/>
  <c r="BN21" i="21"/>
  <c r="BM21" i="21"/>
  <c r="BK21" i="21"/>
  <c r="BJ21" i="21"/>
  <c r="BI21" i="21"/>
  <c r="BE21" i="21"/>
  <c r="BL21" i="21" s="1"/>
  <c r="BE21" i="21" a="1"/>
  <c r="BD21" i="21" a="1"/>
  <c r="BD21" i="21" s="1"/>
  <c r="BC21" i="21"/>
  <c r="BC21" i="21" a="1"/>
  <c r="AZ21" i="21"/>
  <c r="AW21" i="21"/>
  <c r="N21" i="23" s="1"/>
  <c r="AU21" i="21"/>
  <c r="AT21" i="21"/>
  <c r="G50" i="23" s="1"/>
  <c r="O21" i="21"/>
  <c r="N21" i="20" s="1"/>
  <c r="J21" i="21"/>
  <c r="K21" i="20" s="1"/>
  <c r="F21" i="21"/>
  <c r="G21" i="20" s="1"/>
  <c r="E21" i="21"/>
  <c r="D21" i="21"/>
  <c r="E21" i="20" s="1"/>
  <c r="C21" i="21"/>
  <c r="II20" i="21"/>
  <c r="IH20" i="21"/>
  <c r="IG20" i="21"/>
  <c r="IF20" i="21"/>
  <c r="IE20" i="21"/>
  <c r="ID20" i="21"/>
  <c r="IC20" i="21"/>
  <c r="IB20" i="21"/>
  <c r="IA20" i="21"/>
  <c r="HV20" i="21"/>
  <c r="HU20" i="21"/>
  <c r="HT20" i="21"/>
  <c r="FC20" i="21"/>
  <c r="FB20" i="21" s="1"/>
  <c r="FA20" i="21" s="1"/>
  <c r="EZ20" i="21" s="1"/>
  <c r="EY20" i="21" s="1"/>
  <c r="EX20" i="21" s="1"/>
  <c r="EW20" i="21" s="1"/>
  <c r="EV20" i="21" s="1"/>
  <c r="DS20" i="21"/>
  <c r="DR20" i="21"/>
  <c r="DQ20" i="21" s="1"/>
  <c r="DP20" i="21" s="1"/>
  <c r="DO20" i="21" s="1"/>
  <c r="DN20" i="21" s="1"/>
  <c r="DM20" i="21" s="1"/>
  <c r="DL20" i="21" s="1"/>
  <c r="DK20" i="21"/>
  <c r="DJ20" i="21" s="1"/>
  <c r="DI20" i="21" s="1"/>
  <c r="DH20" i="21" s="1"/>
  <c r="DG20" i="21" s="1"/>
  <c r="DF20" i="21" s="1"/>
  <c r="DE20" i="21" s="1"/>
  <c r="DD20" i="21" s="1"/>
  <c r="DC20" i="21" s="1"/>
  <c r="DB20" i="21" s="1"/>
  <c r="DA20" i="21" s="1"/>
  <c r="CZ20" i="21" s="1"/>
  <c r="CY20" i="21" s="1"/>
  <c r="CX20" i="21" s="1"/>
  <c r="CW20" i="21" s="1"/>
  <c r="CV20" i="21" s="1"/>
  <c r="CU20" i="21" s="1"/>
  <c r="CT20" i="21" s="1"/>
  <c r="CS20" i="21" s="1"/>
  <c r="CR20" i="21" s="1"/>
  <c r="CQ20" i="21" s="1"/>
  <c r="CP20" i="21" s="1"/>
  <c r="CO20" i="21" s="1"/>
  <c r="CN20" i="21" s="1"/>
  <c r="CG20" i="21"/>
  <c r="CD20" i="21"/>
  <c r="CC20" i="21"/>
  <c r="CB20" i="21"/>
  <c r="CA20" i="21"/>
  <c r="BZ20" i="21"/>
  <c r="BY20" i="21"/>
  <c r="BX20" i="21"/>
  <c r="BW20" i="21"/>
  <c r="BV20" i="21"/>
  <c r="BU20" i="21"/>
  <c r="BT20" i="21"/>
  <c r="BS20" i="21"/>
  <c r="BR20" i="21"/>
  <c r="BQ20" i="21"/>
  <c r="BP20" i="21"/>
  <c r="BO20" i="21"/>
  <c r="BN20" i="21"/>
  <c r="BM20" i="21"/>
  <c r="BK20" i="21"/>
  <c r="BJ20" i="21"/>
  <c r="AI20" i="21" s="1"/>
  <c r="BI20" i="21"/>
  <c r="BE20" i="21" a="1"/>
  <c r="BE20" i="21" s="1"/>
  <c r="BL20" i="21" s="1"/>
  <c r="BD20" i="21" a="1"/>
  <c r="BD20" i="21" s="1"/>
  <c r="BC20" i="21"/>
  <c r="BC20" i="21" a="1"/>
  <c r="AZ20" i="21"/>
  <c r="AW20" i="21"/>
  <c r="N20" i="23" s="1"/>
  <c r="AT20" i="21"/>
  <c r="G49" i="23" s="1"/>
  <c r="O20" i="21"/>
  <c r="N20" i="20" s="1"/>
  <c r="J20" i="21"/>
  <c r="G20" i="24" s="1"/>
  <c r="F20" i="21"/>
  <c r="G20" i="20" s="1"/>
  <c r="E20" i="21"/>
  <c r="D20" i="24" s="1"/>
  <c r="D20" i="21"/>
  <c r="L20" i="21" s="1"/>
  <c r="L20" i="20" s="1"/>
  <c r="C20" i="21"/>
  <c r="II19" i="21"/>
  <c r="IH19" i="21"/>
  <c r="IG19" i="21"/>
  <c r="IF19" i="21"/>
  <c r="IE19" i="21"/>
  <c r="ID19" i="21"/>
  <c r="IC19" i="21"/>
  <c r="IB19" i="21"/>
  <c r="IA19" i="21"/>
  <c r="AH19" i="21" s="1"/>
  <c r="HV19" i="21"/>
  <c r="HU19" i="21"/>
  <c r="HT19" i="21"/>
  <c r="FC19" i="21"/>
  <c r="FB19" i="21" s="1"/>
  <c r="FA19" i="21" s="1"/>
  <c r="EZ19" i="21" s="1"/>
  <c r="EY19" i="21" s="1"/>
  <c r="EX19" i="21" s="1"/>
  <c r="EW19" i="21" s="1"/>
  <c r="DS19" i="21"/>
  <c r="DR19" i="21" s="1"/>
  <c r="DQ19" i="21" s="1"/>
  <c r="DP19" i="21" s="1"/>
  <c r="DO19" i="21" s="1"/>
  <c r="DN19" i="21" s="1"/>
  <c r="DM19" i="21" s="1"/>
  <c r="DL19" i="21"/>
  <c r="DK19" i="21" s="1"/>
  <c r="DJ19" i="21" s="1"/>
  <c r="DI19" i="21" s="1"/>
  <c r="DH19" i="21" s="1"/>
  <c r="DG19" i="21" s="1"/>
  <c r="DF19" i="21" s="1"/>
  <c r="DE19" i="21" s="1"/>
  <c r="DD19" i="21" s="1"/>
  <c r="DC19" i="21" s="1"/>
  <c r="DB19" i="21" s="1"/>
  <c r="DA19" i="21" s="1"/>
  <c r="CZ19" i="21" s="1"/>
  <c r="CY19" i="21" s="1"/>
  <c r="CX19" i="21" s="1"/>
  <c r="CW19" i="21" s="1"/>
  <c r="CV19" i="21" s="1"/>
  <c r="CU19" i="21" s="1"/>
  <c r="CT19" i="21" s="1"/>
  <c r="CS19" i="21" s="1"/>
  <c r="CR19" i="21" s="1"/>
  <c r="CQ19" i="21" s="1"/>
  <c r="CP19" i="21" s="1"/>
  <c r="CO19" i="21" s="1"/>
  <c r="CN19" i="21" s="1"/>
  <c r="CG19" i="21"/>
  <c r="CD19" i="21"/>
  <c r="CC19" i="21"/>
  <c r="CB19" i="21"/>
  <c r="CA19" i="21"/>
  <c r="BZ19" i="21"/>
  <c r="BY19" i="21"/>
  <c r="BX19" i="21"/>
  <c r="BW19" i="21"/>
  <c r="BV19" i="21"/>
  <c r="BU19" i="21"/>
  <c r="BT19" i="21"/>
  <c r="BS19" i="21"/>
  <c r="BR19" i="21"/>
  <c r="BQ19" i="21"/>
  <c r="BP19" i="21"/>
  <c r="BO19" i="21"/>
  <c r="BN19" i="21"/>
  <c r="BM19" i="21"/>
  <c r="BK19" i="21"/>
  <c r="BJ19" i="21"/>
  <c r="BI19" i="21"/>
  <c r="BE19" i="21" a="1"/>
  <c r="BE19" i="21" s="1"/>
  <c r="BL19" i="21" s="1"/>
  <c r="BD19" i="21" a="1"/>
  <c r="BD19" i="21" s="1"/>
  <c r="BC19" i="21"/>
  <c r="BC19" i="21" a="1"/>
  <c r="AZ19" i="21"/>
  <c r="AW19" i="21"/>
  <c r="N19" i="23" s="1"/>
  <c r="AT19" i="21"/>
  <c r="G48" i="23" s="1"/>
  <c r="O19" i="21"/>
  <c r="L19" i="21"/>
  <c r="L19" i="20" s="1"/>
  <c r="J19" i="21"/>
  <c r="G19" i="23" s="1"/>
  <c r="F19" i="21"/>
  <c r="G19" i="20" s="1"/>
  <c r="E19" i="21"/>
  <c r="D19" i="21"/>
  <c r="C19" i="21"/>
  <c r="II18" i="21"/>
  <c r="IH18" i="21"/>
  <c r="IG18" i="21"/>
  <c r="IF18" i="21"/>
  <c r="IE18" i="21"/>
  <c r="ID18" i="21"/>
  <c r="IC18" i="21"/>
  <c r="IB18" i="21"/>
  <c r="AH18" i="21" s="1"/>
  <c r="IA18" i="21"/>
  <c r="HV18" i="21"/>
  <c r="HU18" i="21"/>
  <c r="HT18" i="21"/>
  <c r="FC18" i="21"/>
  <c r="FB18" i="21" s="1"/>
  <c r="FA18" i="21" s="1"/>
  <c r="EZ18" i="21" s="1"/>
  <c r="EY18" i="21" s="1"/>
  <c r="EX18" i="21" s="1"/>
  <c r="EW18" i="21" s="1"/>
  <c r="EV18" i="21" s="1"/>
  <c r="EU18" i="21" s="1"/>
  <c r="DS18" i="21"/>
  <c r="DR18" i="21" s="1"/>
  <c r="DQ18" i="21" s="1"/>
  <c r="DP18" i="21" s="1"/>
  <c r="DO18" i="21" s="1"/>
  <c r="DN18" i="21" s="1"/>
  <c r="DM18" i="21" s="1"/>
  <c r="DL18" i="21" s="1"/>
  <c r="DK18" i="21" s="1"/>
  <c r="DJ18" i="21"/>
  <c r="DI18" i="21"/>
  <c r="DH18" i="21" s="1"/>
  <c r="DG18" i="21" s="1"/>
  <c r="DF18" i="21" s="1"/>
  <c r="DE18" i="21" s="1"/>
  <c r="DD18" i="21" s="1"/>
  <c r="DC18" i="21" s="1"/>
  <c r="DB18" i="21" s="1"/>
  <c r="DA18" i="21" s="1"/>
  <c r="CZ18" i="21" s="1"/>
  <c r="CY18" i="21" s="1"/>
  <c r="CX18" i="21" s="1"/>
  <c r="CW18" i="21" s="1"/>
  <c r="CV18" i="21" s="1"/>
  <c r="CU18" i="21" s="1"/>
  <c r="CT18" i="21" s="1"/>
  <c r="CS18" i="21" s="1"/>
  <c r="CR18" i="21" s="1"/>
  <c r="CQ18" i="21" s="1"/>
  <c r="CP18" i="21" s="1"/>
  <c r="CO18" i="21" s="1"/>
  <c r="CN18" i="21" s="1"/>
  <c r="CG18" i="21"/>
  <c r="CD18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BP18" i="21"/>
  <c r="BO18" i="21"/>
  <c r="BN18" i="21"/>
  <c r="BM18" i="21"/>
  <c r="BK18" i="21"/>
  <c r="BJ18" i="21"/>
  <c r="BI18" i="21"/>
  <c r="BE18" i="21"/>
  <c r="BL18" i="21" s="1"/>
  <c r="BE18" i="21" a="1"/>
  <c r="BD18" i="21" a="1"/>
  <c r="BD18" i="21" s="1"/>
  <c r="BC18" i="21"/>
  <c r="BC18" i="21" a="1"/>
  <c r="AZ18" i="21"/>
  <c r="AW18" i="21"/>
  <c r="N18" i="23" s="1"/>
  <c r="AT18" i="21"/>
  <c r="G47" i="23" s="1"/>
  <c r="J18" i="21"/>
  <c r="G18" i="24" s="1"/>
  <c r="F18" i="21"/>
  <c r="G18" i="20" s="1"/>
  <c r="E18" i="21"/>
  <c r="D18" i="21"/>
  <c r="E18" i="20" s="1"/>
  <c r="C18" i="21"/>
  <c r="II17" i="21"/>
  <c r="IH17" i="21"/>
  <c r="IG17" i="21"/>
  <c r="IF17" i="21"/>
  <c r="IE17" i="21"/>
  <c r="ID17" i="21"/>
  <c r="IC17" i="21"/>
  <c r="IB17" i="21"/>
  <c r="IA17" i="21"/>
  <c r="AH17" i="21" s="1"/>
  <c r="HV17" i="21"/>
  <c r="HU17" i="21"/>
  <c r="HT17" i="21"/>
  <c r="FC17" i="21"/>
  <c r="FB17" i="21" s="1"/>
  <c r="FA17" i="21" s="1"/>
  <c r="EZ17" i="21" s="1"/>
  <c r="EY17" i="21" s="1"/>
  <c r="EX17" i="21" s="1"/>
  <c r="EW17" i="21" s="1"/>
  <c r="EV17" i="21" s="1"/>
  <c r="EU17" i="21" s="1"/>
  <c r="ET17" i="21" s="1"/>
  <c r="ES17" i="21" s="1"/>
  <c r="ER17" i="21" s="1"/>
  <c r="EQ17" i="21" s="1"/>
  <c r="EP17" i="21" s="1"/>
  <c r="EO17" i="21" s="1"/>
  <c r="EN17" i="21" s="1"/>
  <c r="EM17" i="21" s="1"/>
  <c r="EL17" i="21" s="1"/>
  <c r="EK17" i="21" s="1"/>
  <c r="EJ17" i="21" s="1"/>
  <c r="EI17" i="21" s="1"/>
  <c r="EH17" i="21" s="1"/>
  <c r="EG17" i="21" s="1"/>
  <c r="EF17" i="21" s="1"/>
  <c r="EE17" i="21" s="1"/>
  <c r="ED17" i="21" s="1"/>
  <c r="DS17" i="21"/>
  <c r="DR17" i="21"/>
  <c r="DQ17" i="21" s="1"/>
  <c r="DP17" i="21" s="1"/>
  <c r="DO17" i="21" s="1"/>
  <c r="DN17" i="21" s="1"/>
  <c r="DM17" i="21" s="1"/>
  <c r="DL17" i="21" s="1"/>
  <c r="DK17" i="21" s="1"/>
  <c r="DJ17" i="21" s="1"/>
  <c r="DI17" i="21" s="1"/>
  <c r="DH17" i="21" s="1"/>
  <c r="DG17" i="21" s="1"/>
  <c r="DF17" i="21" s="1"/>
  <c r="DE17" i="21" s="1"/>
  <c r="DD17" i="21" s="1"/>
  <c r="DC17" i="21" s="1"/>
  <c r="DB17" i="21" s="1"/>
  <c r="DA17" i="21" s="1"/>
  <c r="CZ17" i="21" s="1"/>
  <c r="CY17" i="21" s="1"/>
  <c r="CX17" i="21" s="1"/>
  <c r="CW17" i="21" s="1"/>
  <c r="CV17" i="21" s="1"/>
  <c r="CU17" i="21" s="1"/>
  <c r="CT17" i="21" s="1"/>
  <c r="CS17" i="21" s="1"/>
  <c r="CR17" i="21" s="1"/>
  <c r="CQ17" i="21" s="1"/>
  <c r="CP17" i="21" s="1"/>
  <c r="CO17" i="21" s="1"/>
  <c r="CN17" i="21" s="1"/>
  <c r="CG17" i="21"/>
  <c r="CD17" i="21"/>
  <c r="CC17" i="21"/>
  <c r="CB17" i="21"/>
  <c r="CA17" i="21"/>
  <c r="BZ17" i="21"/>
  <c r="BY17" i="21"/>
  <c r="BX17" i="21"/>
  <c r="BW17" i="21"/>
  <c r="BV17" i="21"/>
  <c r="BU17" i="21"/>
  <c r="BT17" i="21"/>
  <c r="BS17" i="21"/>
  <c r="BR17" i="21"/>
  <c r="BQ17" i="21"/>
  <c r="BP17" i="21"/>
  <c r="BO17" i="21"/>
  <c r="BN17" i="21"/>
  <c r="BM17" i="21"/>
  <c r="BK17" i="21"/>
  <c r="BJ17" i="21"/>
  <c r="BI17" i="21"/>
  <c r="BE17" i="21"/>
  <c r="BL17" i="21" s="1"/>
  <c r="BE17" i="21" a="1"/>
  <c r="BD17" i="21" a="1"/>
  <c r="BD17" i="21" s="1"/>
  <c r="BC17" i="21"/>
  <c r="BC17" i="21" a="1"/>
  <c r="AW17" i="21"/>
  <c r="N17" i="23" s="1"/>
  <c r="AT17" i="21"/>
  <c r="G46" i="23" s="1"/>
  <c r="O17" i="21"/>
  <c r="N17" i="20" s="1"/>
  <c r="J17" i="21"/>
  <c r="G17" i="24" s="1"/>
  <c r="F17" i="21"/>
  <c r="G17" i="20" s="1"/>
  <c r="E17" i="21"/>
  <c r="D17" i="21"/>
  <c r="E17" i="20" s="1"/>
  <c r="C17" i="21"/>
  <c r="II16" i="21"/>
  <c r="IH16" i="21"/>
  <c r="IG16" i="21"/>
  <c r="IF16" i="21"/>
  <c r="IE16" i="21"/>
  <c r="ID16" i="21"/>
  <c r="IC16" i="21"/>
  <c r="IB16" i="21"/>
  <c r="IA16" i="21"/>
  <c r="HV16" i="21"/>
  <c r="HU16" i="21"/>
  <c r="HT16" i="21"/>
  <c r="FC16" i="21"/>
  <c r="FB16" i="21" s="1"/>
  <c r="FA16" i="21" s="1"/>
  <c r="EZ16" i="21" s="1"/>
  <c r="EY16" i="21" s="1"/>
  <c r="EX16" i="21" s="1"/>
  <c r="EW16" i="21" s="1"/>
  <c r="EV16" i="21" s="1"/>
  <c r="EU16" i="21" s="1"/>
  <c r="ET16" i="21" s="1"/>
  <c r="ES16" i="21" s="1"/>
  <c r="ER16" i="21" s="1"/>
  <c r="EQ16" i="21" s="1"/>
  <c r="EP16" i="21" s="1"/>
  <c r="EO16" i="21" s="1"/>
  <c r="EN16" i="21" s="1"/>
  <c r="EM16" i="21" s="1"/>
  <c r="EL16" i="21" s="1"/>
  <c r="EK16" i="21" s="1"/>
  <c r="EJ16" i="21" s="1"/>
  <c r="EI16" i="21" s="1"/>
  <c r="EH16" i="21" s="1"/>
  <c r="EG16" i="21" s="1"/>
  <c r="EF16" i="21" s="1"/>
  <c r="EE16" i="21" s="1"/>
  <c r="ED16" i="21" s="1"/>
  <c r="EC16" i="21" s="1"/>
  <c r="EB16" i="21" s="1"/>
  <c r="EA16" i="21" s="1"/>
  <c r="DZ16" i="21" s="1"/>
  <c r="DS16" i="21"/>
  <c r="DR16" i="21" s="1"/>
  <c r="DQ16" i="21" s="1"/>
  <c r="DP16" i="21" s="1"/>
  <c r="DO16" i="21" s="1"/>
  <c r="DN16" i="21" s="1"/>
  <c r="DM16" i="21" s="1"/>
  <c r="DL16" i="21" s="1"/>
  <c r="DK16" i="21" s="1"/>
  <c r="DJ16" i="21" s="1"/>
  <c r="DI16" i="21" s="1"/>
  <c r="DH16" i="21" s="1"/>
  <c r="DG16" i="21" s="1"/>
  <c r="DF16" i="21" s="1"/>
  <c r="DE16" i="21" s="1"/>
  <c r="DD16" i="21" s="1"/>
  <c r="DC16" i="21" s="1"/>
  <c r="DB16" i="21" s="1"/>
  <c r="DA16" i="21" s="1"/>
  <c r="CZ16" i="21" s="1"/>
  <c r="CY16" i="21" s="1"/>
  <c r="CX16" i="21" s="1"/>
  <c r="CW16" i="21" s="1"/>
  <c r="CV16" i="21" s="1"/>
  <c r="CU16" i="21" s="1"/>
  <c r="CT16" i="21" s="1"/>
  <c r="CS16" i="21" s="1"/>
  <c r="CR16" i="21" s="1"/>
  <c r="CQ16" i="21" s="1"/>
  <c r="CP16" i="21" s="1"/>
  <c r="CO16" i="21" s="1"/>
  <c r="CN16" i="21" s="1"/>
  <c r="CG16" i="21"/>
  <c r="CD16" i="21"/>
  <c r="CC16" i="21"/>
  <c r="CB16" i="21"/>
  <c r="CA16" i="21"/>
  <c r="BZ16" i="21"/>
  <c r="BY16" i="21"/>
  <c r="BX16" i="21"/>
  <c r="BW16" i="21"/>
  <c r="BV16" i="21"/>
  <c r="BU16" i="21"/>
  <c r="BT16" i="21"/>
  <c r="BS16" i="21"/>
  <c r="BR16" i="21"/>
  <c r="BQ16" i="21"/>
  <c r="BP16" i="21"/>
  <c r="BO16" i="21"/>
  <c r="BN16" i="21"/>
  <c r="BM16" i="21"/>
  <c r="BK16" i="21"/>
  <c r="BJ16" i="21"/>
  <c r="BI16" i="21"/>
  <c r="BE16" i="21" a="1"/>
  <c r="BE16" i="21" s="1"/>
  <c r="BL16" i="21" s="1"/>
  <c r="BD16" i="21" a="1"/>
  <c r="BD16" i="21" s="1"/>
  <c r="BC16" i="21"/>
  <c r="BC16" i="21" a="1"/>
  <c r="AW16" i="21"/>
  <c r="N16" i="23" s="1"/>
  <c r="AT16" i="21"/>
  <c r="G45" i="23" s="1"/>
  <c r="O16" i="21"/>
  <c r="N16" i="20" s="1"/>
  <c r="L16" i="21"/>
  <c r="L16" i="20" s="1"/>
  <c r="J16" i="21"/>
  <c r="G16" i="24" s="1"/>
  <c r="F16" i="21"/>
  <c r="G16" i="20" s="1"/>
  <c r="E16" i="21"/>
  <c r="D16" i="23" s="1"/>
  <c r="D16" i="21"/>
  <c r="E16" i="20" s="1"/>
  <c r="C16" i="21"/>
  <c r="II15" i="21"/>
  <c r="IF15" i="21"/>
  <c r="IE15" i="21"/>
  <c r="ID15" i="21"/>
  <c r="IC15" i="21"/>
  <c r="IB15" i="21"/>
  <c r="IA15" i="21"/>
  <c r="HV15" i="21"/>
  <c r="HU15" i="21"/>
  <c r="HT15" i="21"/>
  <c r="FC15" i="21"/>
  <c r="DS15" i="21"/>
  <c r="DR15" i="21" s="1"/>
  <c r="DQ15" i="21" s="1"/>
  <c r="DP15" i="21" s="1"/>
  <c r="DO15" i="21" s="1"/>
  <c r="DN15" i="21" s="1"/>
  <c r="DM15" i="21" s="1"/>
  <c r="DL15" i="21" s="1"/>
  <c r="DK15" i="21" s="1"/>
  <c r="DJ15" i="21" s="1"/>
  <c r="DI15" i="21" s="1"/>
  <c r="DH15" i="21" s="1"/>
  <c r="DG15" i="21" s="1"/>
  <c r="DF15" i="21" s="1"/>
  <c r="DE15" i="21" s="1"/>
  <c r="DD15" i="21" s="1"/>
  <c r="DC15" i="21" s="1"/>
  <c r="DB15" i="21" s="1"/>
  <c r="DA15" i="21" s="1"/>
  <c r="CZ15" i="21" s="1"/>
  <c r="CY15" i="21" s="1"/>
  <c r="CX15" i="21" s="1"/>
  <c r="CW15" i="21" s="1"/>
  <c r="CV15" i="21" s="1"/>
  <c r="CU15" i="21" s="1"/>
  <c r="CT15" i="21" s="1"/>
  <c r="CS15" i="21" s="1"/>
  <c r="CR15" i="21" s="1"/>
  <c r="CQ15" i="21" s="1"/>
  <c r="CP15" i="21" s="1"/>
  <c r="CO15" i="21" s="1"/>
  <c r="CN15" i="21" s="1"/>
  <c r="CG15" i="21"/>
  <c r="CD15" i="21"/>
  <c r="CC15" i="21"/>
  <c r="CB15" i="21"/>
  <c r="CA15" i="21"/>
  <c r="BZ15" i="21"/>
  <c r="BY15" i="21"/>
  <c r="BX15" i="21"/>
  <c r="BW15" i="21"/>
  <c r="BV15" i="21"/>
  <c r="BU15" i="21"/>
  <c r="BT15" i="21"/>
  <c r="BS15" i="21"/>
  <c r="BR15" i="21"/>
  <c r="BQ15" i="21"/>
  <c r="BP15" i="21"/>
  <c r="BO15" i="21"/>
  <c r="BN15" i="21"/>
  <c r="BM15" i="21"/>
  <c r="BK15" i="21"/>
  <c r="BJ15" i="21"/>
  <c r="BE15" i="21" a="1"/>
  <c r="BE15" i="21" s="1"/>
  <c r="BC15" i="21" a="1"/>
  <c r="BC15" i="21" s="1"/>
  <c r="AW15" i="21"/>
  <c r="N15" i="23" s="1"/>
  <c r="AT15" i="21"/>
  <c r="AU15" i="21" s="1"/>
  <c r="F15" i="21"/>
  <c r="E15" i="23" s="1"/>
  <c r="O15" i="21"/>
  <c r="N15" i="20" s="1"/>
  <c r="J15" i="21"/>
  <c r="K15" i="20" s="1"/>
  <c r="E15" i="21"/>
  <c r="F15" i="20" s="1"/>
  <c r="D15" i="21"/>
  <c r="E15" i="20" s="1"/>
  <c r="C15" i="21"/>
  <c r="II14" i="21"/>
  <c r="IH14" i="21"/>
  <c r="IF14" i="21"/>
  <c r="IE14" i="21"/>
  <c r="ID14" i="21"/>
  <c r="IC14" i="21"/>
  <c r="IB14" i="21"/>
  <c r="IA14" i="21"/>
  <c r="HV14" i="21"/>
  <c r="HU14" i="21"/>
  <c r="HT14" i="21"/>
  <c r="FC14" i="21"/>
  <c r="DS14" i="21"/>
  <c r="DR14" i="21" s="1"/>
  <c r="DQ14" i="21" s="1"/>
  <c r="DP14" i="21" s="1"/>
  <c r="DO14" i="21" s="1"/>
  <c r="DN14" i="21" s="1"/>
  <c r="DM14" i="21" s="1"/>
  <c r="DL14" i="21" s="1"/>
  <c r="DK14" i="21" s="1"/>
  <c r="DJ14" i="21" s="1"/>
  <c r="DI14" i="21" s="1"/>
  <c r="DH14" i="21" s="1"/>
  <c r="DG14" i="21" s="1"/>
  <c r="DF14" i="21" s="1"/>
  <c r="DE14" i="21" s="1"/>
  <c r="DD14" i="21" s="1"/>
  <c r="DC14" i="21" s="1"/>
  <c r="DB14" i="21" s="1"/>
  <c r="DA14" i="21" s="1"/>
  <c r="CZ14" i="21" s="1"/>
  <c r="CY14" i="21" s="1"/>
  <c r="CX14" i="21" s="1"/>
  <c r="CW14" i="21" s="1"/>
  <c r="CV14" i="21" s="1"/>
  <c r="CU14" i="21" s="1"/>
  <c r="CT14" i="21" s="1"/>
  <c r="CS14" i="21" s="1"/>
  <c r="CR14" i="21" s="1"/>
  <c r="CQ14" i="21" s="1"/>
  <c r="CP14" i="21" s="1"/>
  <c r="CO14" i="21" s="1"/>
  <c r="CN14" i="21" s="1"/>
  <c r="CG14" i="21"/>
  <c r="CD14" i="21"/>
  <c r="CC14" i="21"/>
  <c r="CB14" i="21"/>
  <c r="CA14" i="21"/>
  <c r="BZ14" i="21"/>
  <c r="BY14" i="21"/>
  <c r="BX14" i="21"/>
  <c r="BW14" i="21"/>
  <c r="BV14" i="21"/>
  <c r="BU14" i="21"/>
  <c r="BT14" i="21"/>
  <c r="BS14" i="21"/>
  <c r="BR14" i="21"/>
  <c r="BQ14" i="21"/>
  <c r="BP14" i="21"/>
  <c r="BO14" i="21"/>
  <c r="BN14" i="21"/>
  <c r="BM14" i="21"/>
  <c r="BK14" i="21"/>
  <c r="BD14" i="21" s="1" a="1"/>
  <c r="BD14" i="21" s="1"/>
  <c r="BJ14" i="21"/>
  <c r="BI14" i="21"/>
  <c r="BE14" i="21" a="1"/>
  <c r="BE14" i="21" s="1"/>
  <c r="BC14" i="21" a="1"/>
  <c r="BC14" i="21" s="1"/>
  <c r="AW14" i="21"/>
  <c r="N14" i="23" s="1"/>
  <c r="AT14" i="21"/>
  <c r="G43" i="23" s="1"/>
  <c r="F14" i="21"/>
  <c r="G14" i="20" s="1"/>
  <c r="N8" i="27" s="1"/>
  <c r="J14" i="21"/>
  <c r="K14" i="20" s="1"/>
  <c r="E14" i="21"/>
  <c r="F14" i="20" s="1"/>
  <c r="D14" i="21"/>
  <c r="O14" i="21" s="1"/>
  <c r="N14" i="20" s="1"/>
  <c r="C14" i="21"/>
  <c r="DB6" i="21"/>
  <c r="F58" i="23" l="1"/>
  <c r="F56" i="23"/>
  <c r="F65" i="23"/>
  <c r="F59" i="23"/>
  <c r="F64" i="23"/>
  <c r="F66" i="23"/>
  <c r="I38" i="20"/>
  <c r="Q38" i="29"/>
  <c r="F67" i="23"/>
  <c r="F57" i="23"/>
  <c r="F60" i="23"/>
  <c r="F61" i="23"/>
  <c r="F62" i="23"/>
  <c r="F63" i="23"/>
  <c r="AU18" i="21"/>
  <c r="D52" i="23"/>
  <c r="Q52" i="23" s="1"/>
  <c r="AI18" i="21"/>
  <c r="G17" i="23"/>
  <c r="G21" i="23"/>
  <c r="G24" i="23"/>
  <c r="G19" i="24"/>
  <c r="G22" i="24"/>
  <c r="K17" i="20"/>
  <c r="K18" i="20"/>
  <c r="G25" i="23"/>
  <c r="G20" i="23"/>
  <c r="G21" i="24"/>
  <c r="K19" i="20"/>
  <c r="K20" i="20"/>
  <c r="K26" i="20"/>
  <c r="BN39" i="21"/>
  <c r="J370" i="21" s="1"/>
  <c r="M370" i="21" s="1"/>
  <c r="O370" i="21" s="1"/>
  <c r="BR39" i="21"/>
  <c r="J374" i="21" s="1"/>
  <c r="M374" i="21" s="1"/>
  <c r="O374" i="21" s="1"/>
  <c r="B374" i="21" s="1"/>
  <c r="BV39" i="21"/>
  <c r="J378" i="21" s="1"/>
  <c r="M378" i="21" s="1"/>
  <c r="O378" i="21" s="1"/>
  <c r="BZ39" i="21"/>
  <c r="J382" i="21" s="1"/>
  <c r="M382" i="21" s="1"/>
  <c r="O382" i="21" s="1"/>
  <c r="CD39" i="21"/>
  <c r="J386" i="21" s="1"/>
  <c r="M386" i="21" s="1"/>
  <c r="O386" i="21" s="1"/>
  <c r="AU17" i="21"/>
  <c r="AI16" i="21"/>
  <c r="D49" i="23"/>
  <c r="D55" i="23"/>
  <c r="Q55" i="23" s="1"/>
  <c r="AU16" i="21"/>
  <c r="AI19" i="21"/>
  <c r="AH20" i="21"/>
  <c r="AU25" i="21"/>
  <c r="AU26" i="21"/>
  <c r="D48" i="23"/>
  <c r="D54" i="23"/>
  <c r="G31" i="24"/>
  <c r="Q31" i="24" s="1"/>
  <c r="D32" i="24"/>
  <c r="P32" i="24" s="1"/>
  <c r="G33" i="24"/>
  <c r="Q33" i="24" s="1"/>
  <c r="D34" i="24"/>
  <c r="P34" i="24" s="1"/>
  <c r="G35" i="24"/>
  <c r="Q35" i="24" s="1"/>
  <c r="G37" i="24"/>
  <c r="Q37" i="24" s="1"/>
  <c r="AI17" i="21"/>
  <c r="AU20" i="21"/>
  <c r="AI21" i="21"/>
  <c r="D47" i="23"/>
  <c r="Q47" i="23" s="1"/>
  <c r="AU19" i="21"/>
  <c r="AH23" i="21"/>
  <c r="AI25" i="21"/>
  <c r="AH25" i="21"/>
  <c r="D46" i="23"/>
  <c r="D50" i="23"/>
  <c r="D31" i="24"/>
  <c r="P31" i="24" s="1"/>
  <c r="G32" i="24"/>
  <c r="Q32" i="24" s="1"/>
  <c r="D33" i="24"/>
  <c r="P33" i="24" s="1"/>
  <c r="G34" i="24"/>
  <c r="Q34" i="24" s="1"/>
  <c r="D35" i="24"/>
  <c r="P35" i="24" s="1"/>
  <c r="D37" i="24"/>
  <c r="P37" i="24" s="1"/>
  <c r="L26" i="21"/>
  <c r="L26" i="20" s="1"/>
  <c r="CM26" i="21"/>
  <c r="AS26" i="21"/>
  <c r="AP26" i="21" s="1"/>
  <c r="AQ26" i="21" s="1"/>
  <c r="AR26" i="21" s="1"/>
  <c r="I26" i="21" s="1"/>
  <c r="K26" i="21" s="1"/>
  <c r="N26" i="21" s="1"/>
  <c r="H26" i="23" s="1"/>
  <c r="AS25" i="21"/>
  <c r="AP25" i="21" s="1"/>
  <c r="AQ25" i="21" s="1"/>
  <c r="AR25" i="21" s="1"/>
  <c r="BH25" i="21" s="1"/>
  <c r="FJ25" i="21" s="1"/>
  <c r="CM25" i="21"/>
  <c r="L25" i="21"/>
  <c r="L25" i="20" s="1"/>
  <c r="O25" i="21"/>
  <c r="N25" i="20" s="1"/>
  <c r="AS24" i="21"/>
  <c r="AP24" i="21" s="1"/>
  <c r="AQ24" i="21" s="1"/>
  <c r="AR24" i="21" s="1"/>
  <c r="BH24" i="21" s="1"/>
  <c r="CM24" i="21"/>
  <c r="E24" i="20"/>
  <c r="L24" i="21"/>
  <c r="L24" i="20" s="1"/>
  <c r="EO24" i="21"/>
  <c r="EN24" i="21" s="1"/>
  <c r="EM24" i="21" s="1"/>
  <c r="EL24" i="21" s="1"/>
  <c r="EK24" i="21" s="1"/>
  <c r="EJ24" i="21" s="1"/>
  <c r="EI24" i="21" s="1"/>
  <c r="EH24" i="21" s="1"/>
  <c r="EG24" i="21" s="1"/>
  <c r="EF24" i="21" s="1"/>
  <c r="EE24" i="21" s="1"/>
  <c r="ED24" i="21" s="1"/>
  <c r="EC24" i="21" s="1"/>
  <c r="EB24" i="21" s="1"/>
  <c r="EA24" i="21" s="1"/>
  <c r="DZ24" i="21" s="1"/>
  <c r="DY24" i="21" s="1" a="1"/>
  <c r="DY24" i="21" s="1"/>
  <c r="DX24" i="21" s="1"/>
  <c r="DW24" i="21" s="1"/>
  <c r="AV24" i="21" s="1"/>
  <c r="D53" i="23"/>
  <c r="CM22" i="21"/>
  <c r="AS22" i="21"/>
  <c r="B51" i="23" s="1"/>
  <c r="C51" i="23" s="1"/>
  <c r="AI22" i="21"/>
  <c r="AU22" i="21"/>
  <c r="D51" i="23"/>
  <c r="Q51" i="23" s="1"/>
  <c r="L22" i="21"/>
  <c r="L22" i="20" s="1"/>
  <c r="G36" i="24"/>
  <c r="Q36" i="24" s="1"/>
  <c r="O22" i="21"/>
  <c r="N22" i="20" s="1"/>
  <c r="D36" i="24"/>
  <c r="P36" i="24" s="1"/>
  <c r="CM21" i="21"/>
  <c r="AS21" i="21"/>
  <c r="B35" i="24" s="1"/>
  <c r="C35" i="24" s="1"/>
  <c r="L21" i="21"/>
  <c r="L21" i="20" s="1"/>
  <c r="AS20" i="21"/>
  <c r="B49" i="23" s="1"/>
  <c r="C49" i="23" s="1"/>
  <c r="CM20" i="21"/>
  <c r="E20" i="20"/>
  <c r="F20" i="20"/>
  <c r="CM19" i="21"/>
  <c r="AS19" i="21"/>
  <c r="B33" i="24" s="1"/>
  <c r="C33" i="24" s="1"/>
  <c r="AS18" i="21"/>
  <c r="B32" i="24" s="1"/>
  <c r="C32" i="24" s="1"/>
  <c r="CM18" i="21"/>
  <c r="L18" i="21"/>
  <c r="L18" i="20" s="1"/>
  <c r="O18" i="21"/>
  <c r="N18" i="20" s="1"/>
  <c r="CM17" i="21"/>
  <c r="AS17" i="21"/>
  <c r="EC17" i="21"/>
  <c r="EB17" i="21" s="1"/>
  <c r="EA17" i="21" s="1"/>
  <c r="L17" i="21"/>
  <c r="L17" i="20" s="1"/>
  <c r="AN32" i="21"/>
  <c r="G32" i="21" s="1"/>
  <c r="H32" i="20" s="1"/>
  <c r="E34" i="23"/>
  <c r="AN34" i="21"/>
  <c r="G34" i="21" s="1"/>
  <c r="H34" i="20" s="1"/>
  <c r="AN36" i="21"/>
  <c r="G36" i="21" s="1"/>
  <c r="H36" i="20" s="1"/>
  <c r="E26" i="23"/>
  <c r="AN38" i="21"/>
  <c r="G38" i="21" s="1"/>
  <c r="H38" i="20" s="1"/>
  <c r="E30" i="23"/>
  <c r="E21" i="23"/>
  <c r="E36" i="23"/>
  <c r="AN28" i="21"/>
  <c r="G28" i="21" s="1"/>
  <c r="H28" i="20" s="1"/>
  <c r="AN30" i="21"/>
  <c r="G30" i="21" s="1"/>
  <c r="H30" i="20" s="1"/>
  <c r="AN31" i="21"/>
  <c r="G31" i="21" s="1"/>
  <c r="H31" i="20" s="1"/>
  <c r="AN33" i="21"/>
  <c r="G33" i="21" s="1"/>
  <c r="H33" i="20" s="1"/>
  <c r="E18" i="23"/>
  <c r="E22" i="23"/>
  <c r="E27" i="23"/>
  <c r="E31" i="23"/>
  <c r="E37" i="23"/>
  <c r="E17" i="23"/>
  <c r="I31" i="21"/>
  <c r="J31" i="20" s="1"/>
  <c r="M31" i="20" s="1"/>
  <c r="O31" i="20" s="1"/>
  <c r="AN37" i="21"/>
  <c r="G37" i="21" s="1"/>
  <c r="H37" i="20" s="1"/>
  <c r="E19" i="23"/>
  <c r="E23" i="23"/>
  <c r="E24" i="23"/>
  <c r="E28" i="23"/>
  <c r="E32" i="23"/>
  <c r="E38" i="23"/>
  <c r="E17" i="24"/>
  <c r="E18" i="24"/>
  <c r="E19" i="24"/>
  <c r="E20" i="24"/>
  <c r="E21" i="24"/>
  <c r="E22" i="24"/>
  <c r="E23" i="24"/>
  <c r="G25" i="20"/>
  <c r="G29" i="20"/>
  <c r="G33" i="20"/>
  <c r="AN27" i="21"/>
  <c r="G27" i="21" s="1"/>
  <c r="H27" i="20" s="1"/>
  <c r="E20" i="23"/>
  <c r="AU14" i="21"/>
  <c r="CM16" i="21"/>
  <c r="AS16" i="21"/>
  <c r="E16" i="23"/>
  <c r="D16" i="24"/>
  <c r="G30" i="24"/>
  <c r="Q30" i="24" s="1"/>
  <c r="K16" i="20"/>
  <c r="G29" i="24"/>
  <c r="Q29" i="24" s="1"/>
  <c r="G44" i="23"/>
  <c r="R44" i="23" s="1"/>
  <c r="G15" i="23"/>
  <c r="G16" i="23"/>
  <c r="D45" i="23"/>
  <c r="Q45" i="23" s="1"/>
  <c r="D15" i="24"/>
  <c r="E16" i="24"/>
  <c r="II40" i="21"/>
  <c r="J391" i="21" s="1"/>
  <c r="M391" i="21" s="1"/>
  <c r="O391" i="21" s="1"/>
  <c r="A391" i="21" s="1"/>
  <c r="CA39" i="21"/>
  <c r="J383" i="21" s="1"/>
  <c r="M383" i="21" s="1"/>
  <c r="O383" i="21" s="1"/>
  <c r="B383" i="21" s="1"/>
  <c r="G15" i="24"/>
  <c r="D30" i="24"/>
  <c r="P30" i="24" s="1"/>
  <c r="F16" i="20"/>
  <c r="BW39" i="21"/>
  <c r="J379" i="21" s="1"/>
  <c r="M379" i="21" s="1"/>
  <c r="O379" i="21" s="1"/>
  <c r="B379" i="21" s="1"/>
  <c r="D29" i="24"/>
  <c r="P29" i="24" s="1"/>
  <c r="H38" i="24"/>
  <c r="CM35" i="21"/>
  <c r="AS35" i="21"/>
  <c r="AN35" i="21"/>
  <c r="G35" i="21" s="1"/>
  <c r="H35" i="20" s="1"/>
  <c r="E35" i="23"/>
  <c r="E35" i="20"/>
  <c r="I35" i="21"/>
  <c r="J35" i="20" s="1"/>
  <c r="M35" i="20" s="1"/>
  <c r="O35" i="20" s="1"/>
  <c r="DZ35" i="21"/>
  <c r="DY35" i="21" s="1" a="1"/>
  <c r="DY35" i="21" s="1"/>
  <c r="DX35" i="21" s="1"/>
  <c r="DW35" i="21" s="1"/>
  <c r="R34" i="23"/>
  <c r="Q64" i="23"/>
  <c r="Q65" i="23"/>
  <c r="D14" i="23"/>
  <c r="S5" i="27" s="1"/>
  <c r="D14" i="24"/>
  <c r="E38" i="24"/>
  <c r="AI23" i="21"/>
  <c r="BM39" i="21"/>
  <c r="J369" i="21" s="1"/>
  <c r="M369" i="21" s="1"/>
  <c r="O369" i="21" s="1"/>
  <c r="A369" i="21" s="1"/>
  <c r="BQ39" i="21"/>
  <c r="J373" i="21" s="1"/>
  <c r="M373" i="21" s="1"/>
  <c r="O373" i="21" s="1"/>
  <c r="A373" i="21" s="1"/>
  <c r="BU39" i="21"/>
  <c r="J377" i="21" s="1"/>
  <c r="M377" i="21" s="1"/>
  <c r="O377" i="21" s="1"/>
  <c r="BY39" i="21"/>
  <c r="J381" i="21" s="1"/>
  <c r="M381" i="21" s="1"/>
  <c r="O381" i="21" s="1"/>
  <c r="A381" i="21" s="1"/>
  <c r="HU39" i="21"/>
  <c r="IC39" i="21"/>
  <c r="U39" i="21" s="1"/>
  <c r="K23" i="20"/>
  <c r="K39" i="20" s="1"/>
  <c r="BO39" i="21"/>
  <c r="J371" i="21" s="1"/>
  <c r="M371" i="21" s="1"/>
  <c r="O371" i="21" s="1"/>
  <c r="A371" i="21" s="1"/>
  <c r="BS39" i="21"/>
  <c r="J375" i="21" s="1"/>
  <c r="M375" i="21" s="1"/>
  <c r="O375" i="21" s="1"/>
  <c r="A375" i="21" s="1"/>
  <c r="IE39" i="21"/>
  <c r="J62" i="21" s="1"/>
  <c r="M62" i="21" s="1"/>
  <c r="O62" i="21" s="1"/>
  <c r="B62" i="21" s="1"/>
  <c r="BT39" i="21"/>
  <c r="J376" i="21" s="1"/>
  <c r="M376" i="21" s="1"/>
  <c r="O376" i="21" s="1"/>
  <c r="G23" i="24"/>
  <c r="BP39" i="21"/>
  <c r="J372" i="21" s="1"/>
  <c r="M372" i="21" s="1"/>
  <c r="O372" i="21" s="1"/>
  <c r="B372" i="21" s="1"/>
  <c r="BX39" i="21"/>
  <c r="J380" i="21" s="1"/>
  <c r="M380" i="21" s="1"/>
  <c r="O380" i="21" s="1"/>
  <c r="B380" i="21" s="1"/>
  <c r="CM23" i="21"/>
  <c r="AS23" i="21"/>
  <c r="R49" i="23"/>
  <c r="Q46" i="23"/>
  <c r="Q49" i="23"/>
  <c r="Q53" i="23"/>
  <c r="Q56" i="23"/>
  <c r="Q57" i="23"/>
  <c r="Q60" i="23"/>
  <c r="Q61" i="23"/>
  <c r="R50" i="23"/>
  <c r="R51" i="23"/>
  <c r="R54" i="23"/>
  <c r="R55" i="23"/>
  <c r="R57" i="23"/>
  <c r="R62" i="23"/>
  <c r="R63" i="23"/>
  <c r="R65" i="23"/>
  <c r="R47" i="23"/>
  <c r="R58" i="23"/>
  <c r="R59" i="23"/>
  <c r="R66" i="23"/>
  <c r="R67" i="23"/>
  <c r="R29" i="23"/>
  <c r="R37" i="23"/>
  <c r="R45" i="23"/>
  <c r="R48" i="23"/>
  <c r="R53" i="23"/>
  <c r="R61" i="23"/>
  <c r="H68" i="23"/>
  <c r="R46" i="23"/>
  <c r="Q50" i="23"/>
  <c r="R52" i="23"/>
  <c r="Q58" i="23"/>
  <c r="Q59" i="23"/>
  <c r="R60" i="23"/>
  <c r="Q66" i="23"/>
  <c r="Q67" i="23"/>
  <c r="R36" i="23"/>
  <c r="Q48" i="23"/>
  <c r="Q54" i="23"/>
  <c r="R56" i="23"/>
  <c r="Q62" i="23"/>
  <c r="Q63" i="23"/>
  <c r="R64" i="23"/>
  <c r="CG39" i="21"/>
  <c r="J137" i="21" s="1"/>
  <c r="M137" i="21" s="1"/>
  <c r="O137" i="21" s="1"/>
  <c r="AI15" i="21"/>
  <c r="CF39" i="21"/>
  <c r="J136" i="21" s="1"/>
  <c r="M136" i="21" s="1"/>
  <c r="O136" i="21" s="1"/>
  <c r="BE39" i="21"/>
  <c r="CE39" i="21"/>
  <c r="J135" i="21" s="1"/>
  <c r="M135" i="21" s="1"/>
  <c r="O135" i="21" s="1"/>
  <c r="A135" i="21" s="1"/>
  <c r="CB39" i="21"/>
  <c r="J384" i="21" s="1"/>
  <c r="M384" i="21" s="1"/>
  <c r="O384" i="21" s="1"/>
  <c r="B384" i="21" s="1"/>
  <c r="CC39" i="21"/>
  <c r="J385" i="21" s="1"/>
  <c r="M385" i="21" s="1"/>
  <c r="O385" i="21" s="1"/>
  <c r="A385" i="21" s="1"/>
  <c r="A379" i="21"/>
  <c r="B371" i="21"/>
  <c r="B370" i="21"/>
  <c r="A370" i="21"/>
  <c r="A374" i="21"/>
  <c r="B378" i="21"/>
  <c r="A378" i="21"/>
  <c r="A386" i="21"/>
  <c r="B386" i="21"/>
  <c r="G14" i="24"/>
  <c r="G24" i="24" s="1"/>
  <c r="AI14" i="21"/>
  <c r="J39" i="21"/>
  <c r="G14" i="23"/>
  <c r="G39" i="23" s="1"/>
  <c r="E68" i="23"/>
  <c r="R43" i="23"/>
  <c r="R30" i="23"/>
  <c r="R27" i="23"/>
  <c r="R32" i="23"/>
  <c r="R38" i="23"/>
  <c r="BH32" i="21"/>
  <c r="GK31" i="21"/>
  <c r="AY38" i="21"/>
  <c r="D44" i="23"/>
  <c r="Q44" i="23" s="1"/>
  <c r="G15" i="20"/>
  <c r="HT39" i="21"/>
  <c r="E15" i="24"/>
  <c r="L15" i="21"/>
  <c r="L15" i="20" s="1"/>
  <c r="D28" i="24"/>
  <c r="P28" i="24" s="1"/>
  <c r="D43" i="23"/>
  <c r="Q43" i="23" s="1"/>
  <c r="G28" i="24"/>
  <c r="Q28" i="24" s="1"/>
  <c r="L14" i="21"/>
  <c r="L14" i="20" s="1"/>
  <c r="I59" i="21"/>
  <c r="M59" i="21" s="1"/>
  <c r="O59" i="21" s="1"/>
  <c r="B59" i="21" s="1"/>
  <c r="E14" i="20"/>
  <c r="I54" i="21"/>
  <c r="M54" i="21" s="1"/>
  <c r="O54" i="21" s="1"/>
  <c r="B54" i="21" s="1"/>
  <c r="I53" i="21"/>
  <c r="M53" i="21" s="1"/>
  <c r="O53" i="21" s="1"/>
  <c r="B53" i="21" s="1"/>
  <c r="I57" i="21"/>
  <c r="M57" i="21" s="1"/>
  <c r="O57" i="21" s="1"/>
  <c r="B57" i="21" s="1"/>
  <c r="I61" i="21"/>
  <c r="M61" i="21" s="1"/>
  <c r="O61" i="21" s="1"/>
  <c r="B61" i="21" s="1"/>
  <c r="E14" i="23"/>
  <c r="I55" i="21"/>
  <c r="M55" i="21" s="1"/>
  <c r="O55" i="21" s="1"/>
  <c r="B55" i="21" s="1"/>
  <c r="I58" i="21"/>
  <c r="M58" i="21" s="1"/>
  <c r="O58" i="21" s="1"/>
  <c r="B58" i="21" s="1"/>
  <c r="I52" i="21"/>
  <c r="M52" i="21" s="1"/>
  <c r="O52" i="21" s="1"/>
  <c r="I56" i="21"/>
  <c r="M56" i="21" s="1"/>
  <c r="O56" i="21" s="1"/>
  <c r="B56" i="21" s="1"/>
  <c r="I60" i="21"/>
  <c r="M60" i="21" s="1"/>
  <c r="O60" i="21" s="1"/>
  <c r="B60" i="21" s="1"/>
  <c r="E14" i="24"/>
  <c r="HD35" i="21"/>
  <c r="GK35" i="21"/>
  <c r="GG35" i="21"/>
  <c r="FN35" i="21"/>
  <c r="HB35" i="21"/>
  <c r="FJ35" i="21"/>
  <c r="FO30" i="21"/>
  <c r="HB31" i="21"/>
  <c r="AY33" i="21"/>
  <c r="BH38" i="21"/>
  <c r="AY29" i="21"/>
  <c r="FJ31" i="21"/>
  <c r="I34" i="21"/>
  <c r="J34" i="20" s="1"/>
  <c r="M34" i="20" s="1"/>
  <c r="O34" i="20" s="1"/>
  <c r="BH26" i="21"/>
  <c r="HC26" i="21" s="1"/>
  <c r="BH28" i="21"/>
  <c r="GY28" i="21" s="1"/>
  <c r="I30" i="21"/>
  <c r="BH36" i="21"/>
  <c r="HC36" i="21" s="1"/>
  <c r="AY37" i="21"/>
  <c r="M42" i="20"/>
  <c r="O42" i="20" s="1"/>
  <c r="IF40" i="21"/>
  <c r="J388" i="21" s="1"/>
  <c r="M388" i="21" s="1"/>
  <c r="O388" i="21" s="1"/>
  <c r="A388" i="21" s="1"/>
  <c r="L33" i="24"/>
  <c r="K33" i="24"/>
  <c r="J33" i="24"/>
  <c r="M33" i="24" s="1"/>
  <c r="K48" i="23"/>
  <c r="J48" i="23"/>
  <c r="M48" i="23" s="1"/>
  <c r="M26" i="21"/>
  <c r="HD27" i="21"/>
  <c r="GZ27" i="21"/>
  <c r="GI27" i="21"/>
  <c r="GE27" i="21"/>
  <c r="FL27" i="21"/>
  <c r="HA27" i="21"/>
  <c r="GH27" i="21"/>
  <c r="FN27" i="21"/>
  <c r="FI27" i="21"/>
  <c r="HE27" i="21"/>
  <c r="GY27" i="21"/>
  <c r="GG27" i="21"/>
  <c r="FM27" i="21"/>
  <c r="HC27" i="21"/>
  <c r="GK27" i="21"/>
  <c r="GF27" i="21"/>
  <c r="FK27" i="21"/>
  <c r="HB27" i="21"/>
  <c r="GJ27" i="21"/>
  <c r="FO27" i="21"/>
  <c r="FJ27" i="21"/>
  <c r="J30" i="24"/>
  <c r="L30" i="24"/>
  <c r="K30" i="24"/>
  <c r="K45" i="23"/>
  <c r="J45" i="23"/>
  <c r="B31" i="24"/>
  <c r="C31" i="24" s="1"/>
  <c r="B46" i="23"/>
  <c r="C46" i="23" s="1"/>
  <c r="L31" i="24"/>
  <c r="K31" i="24"/>
  <c r="J31" i="24"/>
  <c r="K46" i="23"/>
  <c r="J46" i="23"/>
  <c r="J32" i="24"/>
  <c r="M32" i="24" s="1"/>
  <c r="L32" i="24"/>
  <c r="K32" i="24"/>
  <c r="K47" i="23"/>
  <c r="J47" i="23"/>
  <c r="M47" i="23" s="1"/>
  <c r="HE24" i="21"/>
  <c r="HA24" i="21"/>
  <c r="GJ24" i="21"/>
  <c r="GF24" i="21"/>
  <c r="FM24" i="21"/>
  <c r="FI24" i="21"/>
  <c r="HD24" i="21"/>
  <c r="GZ24" i="21"/>
  <c r="GI24" i="21"/>
  <c r="GE24" i="21"/>
  <c r="FL24" i="21"/>
  <c r="HC24" i="21"/>
  <c r="GY24" i="21"/>
  <c r="GH24" i="21"/>
  <c r="FO24" i="21"/>
  <c r="FK24" i="21"/>
  <c r="HB24" i="21"/>
  <c r="GK24" i="21"/>
  <c r="GG24" i="21"/>
  <c r="FN24" i="21"/>
  <c r="FJ24" i="21"/>
  <c r="B50" i="23"/>
  <c r="C50" i="23" s="1"/>
  <c r="L35" i="24"/>
  <c r="K35" i="24"/>
  <c r="J35" i="24"/>
  <c r="M35" i="24" s="1"/>
  <c r="K50" i="23"/>
  <c r="J50" i="23"/>
  <c r="M50" i="23" s="1"/>
  <c r="K54" i="23"/>
  <c r="J54" i="23"/>
  <c r="M54" i="23" s="1"/>
  <c r="I27" i="21"/>
  <c r="I28" i="20"/>
  <c r="F28" i="23"/>
  <c r="Q28" i="23" s="1"/>
  <c r="J28" i="20"/>
  <c r="M28" i="20" s="1"/>
  <c r="O28" i="20" s="1"/>
  <c r="M28" i="21"/>
  <c r="HC28" i="21"/>
  <c r="FK28" i="21"/>
  <c r="FN28" i="21"/>
  <c r="GI28" i="21"/>
  <c r="K57" i="23"/>
  <c r="J57" i="23"/>
  <c r="M57" i="23" s="1"/>
  <c r="N57" i="23" s="1"/>
  <c r="J30" i="20"/>
  <c r="M30" i="20" s="1"/>
  <c r="O30" i="20" s="1"/>
  <c r="K30" i="21"/>
  <c r="HE30" i="21"/>
  <c r="HA30" i="21"/>
  <c r="GJ30" i="21"/>
  <c r="GF30" i="21"/>
  <c r="FM30" i="21"/>
  <c r="FI30" i="21"/>
  <c r="HD30" i="21"/>
  <c r="GZ30" i="21"/>
  <c r="GI30" i="21"/>
  <c r="GE30" i="21"/>
  <c r="FL30" i="21"/>
  <c r="HB30" i="21"/>
  <c r="GK30" i="21"/>
  <c r="GG30" i="21"/>
  <c r="FN30" i="21"/>
  <c r="FJ30" i="21"/>
  <c r="FK30" i="21"/>
  <c r="HC30" i="21"/>
  <c r="J32" i="20"/>
  <c r="M32" i="20" s="1"/>
  <c r="O32" i="20" s="1"/>
  <c r="M32" i="21"/>
  <c r="HB33" i="21"/>
  <c r="GK33" i="21"/>
  <c r="GG33" i="21"/>
  <c r="FN33" i="21"/>
  <c r="FJ33" i="21"/>
  <c r="HE33" i="21"/>
  <c r="HA33" i="21"/>
  <c r="GJ33" i="21"/>
  <c r="GF33" i="21"/>
  <c r="FM33" i="21"/>
  <c r="FI33" i="21"/>
  <c r="HD33" i="21"/>
  <c r="GZ33" i="21"/>
  <c r="GI33" i="21"/>
  <c r="GE33" i="21"/>
  <c r="FL33" i="21"/>
  <c r="HC33" i="21"/>
  <c r="GY33" i="21"/>
  <c r="GH33" i="21"/>
  <c r="FO33" i="21"/>
  <c r="FK33" i="21"/>
  <c r="HE34" i="21"/>
  <c r="HA34" i="21"/>
  <c r="GJ34" i="21"/>
  <c r="GF34" i="21"/>
  <c r="FM34" i="21"/>
  <c r="FI34" i="21"/>
  <c r="HD34" i="21"/>
  <c r="GZ34" i="21"/>
  <c r="GI34" i="21"/>
  <c r="GE34" i="21"/>
  <c r="FL34" i="21"/>
  <c r="HC34" i="21"/>
  <c r="GY34" i="21"/>
  <c r="GH34" i="21"/>
  <c r="FO34" i="21"/>
  <c r="FK34" i="21"/>
  <c r="HB34" i="21"/>
  <c r="GK34" i="21"/>
  <c r="GG34" i="21"/>
  <c r="FN34" i="21"/>
  <c r="FJ34" i="21"/>
  <c r="J36" i="24"/>
  <c r="M36" i="24" s="1"/>
  <c r="L36" i="24"/>
  <c r="K36" i="24"/>
  <c r="K51" i="23"/>
  <c r="J51" i="23"/>
  <c r="M51" i="23" s="1"/>
  <c r="I24" i="21"/>
  <c r="K55" i="23"/>
  <c r="J55" i="23"/>
  <c r="M55" i="23" s="1"/>
  <c r="L31" i="23"/>
  <c r="R31" i="23" s="1"/>
  <c r="AY31" i="21"/>
  <c r="B37" i="24"/>
  <c r="C37" i="24" s="1"/>
  <c r="L37" i="24"/>
  <c r="K37" i="24"/>
  <c r="J37" i="24"/>
  <c r="M37" i="24" s="1"/>
  <c r="K52" i="23"/>
  <c r="J52" i="23"/>
  <c r="M52" i="23" s="1"/>
  <c r="K56" i="23"/>
  <c r="J56" i="23"/>
  <c r="M56" i="23" s="1"/>
  <c r="N56" i="23" s="1"/>
  <c r="L28" i="23"/>
  <c r="R28" i="23" s="1"/>
  <c r="AY28" i="21"/>
  <c r="BH29" i="21"/>
  <c r="I29" i="21"/>
  <c r="I31" i="20"/>
  <c r="F31" i="23"/>
  <c r="Q31" i="23" s="1"/>
  <c r="HC32" i="21"/>
  <c r="GY32" i="21"/>
  <c r="GH32" i="21"/>
  <c r="FO32" i="21"/>
  <c r="FK32" i="21"/>
  <c r="HB32" i="21"/>
  <c r="GK32" i="21"/>
  <c r="GG32" i="21"/>
  <c r="FN32" i="21"/>
  <c r="FJ32" i="21"/>
  <c r="HE32" i="21"/>
  <c r="HA32" i="21"/>
  <c r="GJ32" i="21"/>
  <c r="GF32" i="21"/>
  <c r="FM32" i="21"/>
  <c r="FI32" i="21"/>
  <c r="HD32" i="21"/>
  <c r="GZ32" i="21"/>
  <c r="GI32" i="21"/>
  <c r="GE32" i="21"/>
  <c r="FL32" i="21"/>
  <c r="K61" i="23"/>
  <c r="J61" i="23"/>
  <c r="M61" i="23" s="1"/>
  <c r="N61" i="23" s="1"/>
  <c r="J36" i="20"/>
  <c r="M36" i="20" s="1"/>
  <c r="O36" i="20" s="1"/>
  <c r="M36" i="21"/>
  <c r="K36" i="21"/>
  <c r="HC37" i="21"/>
  <c r="GY37" i="21"/>
  <c r="GH37" i="21"/>
  <c r="FO37" i="21"/>
  <c r="FK37" i="21"/>
  <c r="HE37" i="21"/>
  <c r="HA37" i="21"/>
  <c r="GJ37" i="21"/>
  <c r="GF37" i="21"/>
  <c r="FM37" i="21"/>
  <c r="FI37" i="21"/>
  <c r="GZ37" i="21"/>
  <c r="GE37" i="21"/>
  <c r="GK37" i="21"/>
  <c r="FN37" i="21"/>
  <c r="HD37" i="21"/>
  <c r="GI37" i="21"/>
  <c r="FL37" i="21"/>
  <c r="HB37" i="21"/>
  <c r="GG37" i="21"/>
  <c r="FJ37" i="21"/>
  <c r="B34" i="24"/>
  <c r="C34" i="24" s="1"/>
  <c r="J34" i="24"/>
  <c r="M34" i="24" s="1"/>
  <c r="L34" i="24"/>
  <c r="K34" i="24"/>
  <c r="K49" i="23"/>
  <c r="J49" i="23"/>
  <c r="M49" i="23" s="1"/>
  <c r="K53" i="23"/>
  <c r="J53" i="23"/>
  <c r="I27" i="20"/>
  <c r="F27" i="23"/>
  <c r="Q27" i="23" s="1"/>
  <c r="GF28" i="21"/>
  <c r="M30" i="21"/>
  <c r="GY30" i="21"/>
  <c r="HD31" i="21"/>
  <c r="GZ31" i="21"/>
  <c r="GI31" i="21"/>
  <c r="GE31" i="21"/>
  <c r="FL31" i="21"/>
  <c r="HC31" i="21"/>
  <c r="GY31" i="21"/>
  <c r="GH31" i="21"/>
  <c r="FO31" i="21"/>
  <c r="FK31" i="21"/>
  <c r="HE31" i="21"/>
  <c r="HA31" i="21"/>
  <c r="GJ31" i="21"/>
  <c r="GF31" i="21"/>
  <c r="FM31" i="21"/>
  <c r="FI31" i="21"/>
  <c r="FN31" i="21"/>
  <c r="I30" i="20"/>
  <c r="F30" i="23"/>
  <c r="Q30" i="23" s="1"/>
  <c r="K60" i="23"/>
  <c r="J60" i="23"/>
  <c r="M60" i="23" s="1"/>
  <c r="N60" i="23" s="1"/>
  <c r="I33" i="21"/>
  <c r="I34" i="20"/>
  <c r="F34" i="23"/>
  <c r="Q34" i="23" s="1"/>
  <c r="K64" i="23"/>
  <c r="J64" i="23"/>
  <c r="M64" i="23" s="1"/>
  <c r="N64" i="23" s="1"/>
  <c r="FI35" i="21"/>
  <c r="FM35" i="21"/>
  <c r="GF35" i="21"/>
  <c r="GJ35" i="21"/>
  <c r="HA35" i="21"/>
  <c r="HE35" i="21"/>
  <c r="GZ36" i="21"/>
  <c r="I37" i="21"/>
  <c r="M38" i="21"/>
  <c r="HB38" i="21"/>
  <c r="GK38" i="21"/>
  <c r="GG38" i="21"/>
  <c r="FN38" i="21"/>
  <c r="FJ38" i="21"/>
  <c r="HD38" i="21"/>
  <c r="GZ38" i="21"/>
  <c r="GI38" i="21"/>
  <c r="GE38" i="21"/>
  <c r="FL38" i="21"/>
  <c r="K67" i="23"/>
  <c r="J67" i="23"/>
  <c r="M67" i="23" s="1"/>
  <c r="N67" i="23" s="1"/>
  <c r="FI38" i="21"/>
  <c r="GF38" i="21"/>
  <c r="HA38" i="21"/>
  <c r="M34" i="21"/>
  <c r="I35" i="20"/>
  <c r="F35" i="23"/>
  <c r="Q35" i="23" s="1"/>
  <c r="K65" i="23"/>
  <c r="J65" i="23"/>
  <c r="M65" i="23" s="1"/>
  <c r="N65" i="23" s="1"/>
  <c r="FI36" i="21"/>
  <c r="HA36" i="21"/>
  <c r="K58" i="23"/>
  <c r="J58" i="23"/>
  <c r="M58" i="23" s="1"/>
  <c r="N58" i="23" s="1"/>
  <c r="M31" i="21"/>
  <c r="I32" i="20"/>
  <c r="F32" i="23"/>
  <c r="Q32" i="23" s="1"/>
  <c r="K62" i="23"/>
  <c r="J62" i="23"/>
  <c r="M62" i="23" s="1"/>
  <c r="N62" i="23" s="1"/>
  <c r="FK35" i="21"/>
  <c r="FO35" i="21"/>
  <c r="GH35" i="21"/>
  <c r="GY35" i="21"/>
  <c r="HC35" i="21"/>
  <c r="I36" i="20"/>
  <c r="F36" i="23"/>
  <c r="Q36" i="23" s="1"/>
  <c r="GK36" i="21"/>
  <c r="K66" i="23"/>
  <c r="J66" i="23"/>
  <c r="M66" i="23" s="1"/>
  <c r="N66" i="23" s="1"/>
  <c r="K38" i="21"/>
  <c r="FM38" i="21"/>
  <c r="GJ38" i="21"/>
  <c r="HE38" i="21"/>
  <c r="I29" i="20"/>
  <c r="F29" i="23"/>
  <c r="Q29" i="23" s="1"/>
  <c r="K59" i="23"/>
  <c r="J59" i="23"/>
  <c r="M59" i="23" s="1"/>
  <c r="N59" i="23" s="1"/>
  <c r="AY32" i="21"/>
  <c r="I33" i="20"/>
  <c r="F33" i="23"/>
  <c r="Q33" i="23" s="1"/>
  <c r="K34" i="21"/>
  <c r="K63" i="23"/>
  <c r="J63" i="23"/>
  <c r="M63" i="23" s="1"/>
  <c r="N63" i="23" s="1"/>
  <c r="FL35" i="21"/>
  <c r="GE35" i="21"/>
  <c r="GI35" i="21"/>
  <c r="GZ35" i="21"/>
  <c r="AY36" i="21"/>
  <c r="FO36" i="21"/>
  <c r="I37" i="20"/>
  <c r="F37" i="23"/>
  <c r="Q37" i="23" s="1"/>
  <c r="FO38" i="21"/>
  <c r="GY38" i="21"/>
  <c r="F38" i="23"/>
  <c r="Q38" i="23" s="1"/>
  <c r="M43" i="20"/>
  <c r="O43" i="20" s="1"/>
  <c r="GZ25" i="21" l="1"/>
  <c r="B36" i="24"/>
  <c r="C36" i="24" s="1"/>
  <c r="HE25" i="21"/>
  <c r="FM25" i="21"/>
  <c r="B47" i="23"/>
  <c r="C47" i="23" s="1"/>
  <c r="FO25" i="21"/>
  <c r="GJ25" i="21"/>
  <c r="HC25" i="21"/>
  <c r="HB25" i="21"/>
  <c r="EP25" i="21"/>
  <c r="EO25" i="21" s="1"/>
  <c r="EN25" i="21" s="1"/>
  <c r="EM25" i="21" s="1"/>
  <c r="EL25" i="21" s="1"/>
  <c r="EK25" i="21" s="1"/>
  <c r="EJ25" i="21" s="1"/>
  <c r="EI25" i="21" s="1"/>
  <c r="EH25" i="21" s="1"/>
  <c r="EG25" i="21" s="1"/>
  <c r="EF25" i="21" s="1"/>
  <c r="EE25" i="21" s="1"/>
  <c r="ED25" i="21" s="1"/>
  <c r="EC25" i="21" s="1"/>
  <c r="EB25" i="21" s="1"/>
  <c r="EA25" i="21" s="1"/>
  <c r="DZ25" i="21" s="1"/>
  <c r="DY25" i="21" s="1" a="1"/>
  <c r="DY25" i="21" s="1"/>
  <c r="DX25" i="21" s="1"/>
  <c r="DW25" i="21" s="1"/>
  <c r="AV25" i="21" s="1"/>
  <c r="FL25" i="21"/>
  <c r="GF25" i="21"/>
  <c r="GI25" i="21"/>
  <c r="HA25" i="21"/>
  <c r="FI25" i="21"/>
  <c r="FK25" i="21"/>
  <c r="GG25" i="21"/>
  <c r="AN25" i="21"/>
  <c r="G25" i="21" s="1"/>
  <c r="H25" i="20" s="1"/>
  <c r="GE25" i="21"/>
  <c r="GK25" i="21"/>
  <c r="HD25" i="21"/>
  <c r="J26" i="20"/>
  <c r="M26" i="20" s="1"/>
  <c r="O26" i="20" s="1"/>
  <c r="GH25" i="21"/>
  <c r="GY25" i="21"/>
  <c r="I25" i="21"/>
  <c r="J25" i="20" s="1"/>
  <c r="M25" i="20" s="1"/>
  <c r="O25" i="20" s="1"/>
  <c r="AN26" i="21"/>
  <c r="G26" i="21" s="1"/>
  <c r="H26" i="20" s="1"/>
  <c r="F53" i="23"/>
  <c r="H24" i="21"/>
  <c r="Q24" i="29" s="1"/>
  <c r="AZ24" i="21"/>
  <c r="BA24" i="21" s="1"/>
  <c r="BB24" i="21" s="1"/>
  <c r="AX19" i="21"/>
  <c r="AP19" i="21"/>
  <c r="AQ19" i="21" s="1"/>
  <c r="AR19" i="21" s="1"/>
  <c r="FN25" i="21"/>
  <c r="AX16" i="21"/>
  <c r="L16" i="24" s="1"/>
  <c r="Q16" i="24" s="1"/>
  <c r="AP16" i="21"/>
  <c r="AQ16" i="21" s="1"/>
  <c r="AR16" i="21" s="1"/>
  <c r="AN24" i="21"/>
  <c r="G24" i="21" s="1"/>
  <c r="H24" i="20" s="1"/>
  <c r="AX21" i="21"/>
  <c r="AP21" i="21"/>
  <c r="AQ21" i="21" s="1"/>
  <c r="AR21" i="21" s="1"/>
  <c r="BA26" i="21"/>
  <c r="BB26" i="21" s="1"/>
  <c r="N55" i="23" s="1"/>
  <c r="AX23" i="21"/>
  <c r="AP23" i="21"/>
  <c r="AQ23" i="21" s="1"/>
  <c r="AR23" i="21" s="1"/>
  <c r="AX18" i="21"/>
  <c r="AP18" i="21"/>
  <c r="AQ18" i="21" s="1"/>
  <c r="AR18" i="21" s="1"/>
  <c r="AX20" i="21"/>
  <c r="AP20" i="21"/>
  <c r="AQ20" i="21" s="1"/>
  <c r="AR20" i="21" s="1"/>
  <c r="AX22" i="21"/>
  <c r="AP22" i="21"/>
  <c r="AQ22" i="21" s="1"/>
  <c r="AR22" i="21" s="1"/>
  <c r="BA25" i="21"/>
  <c r="BB25" i="21" s="1"/>
  <c r="N54" i="23" s="1"/>
  <c r="P38" i="24"/>
  <c r="D38" i="24" s="1"/>
  <c r="AX17" i="21"/>
  <c r="AP17" i="21"/>
  <c r="AQ17" i="21" s="1"/>
  <c r="AR17" i="21" s="1"/>
  <c r="FK36" i="21"/>
  <c r="GG36" i="21"/>
  <c r="GJ36" i="21"/>
  <c r="GI36" i="21"/>
  <c r="FO26" i="21"/>
  <c r="HB26" i="21"/>
  <c r="K31" i="21"/>
  <c r="K35" i="21"/>
  <c r="N35" i="21" s="1"/>
  <c r="H35" i="23" s="1"/>
  <c r="GY36" i="21"/>
  <c r="GE36" i="21"/>
  <c r="FL26" i="21"/>
  <c r="FN36" i="21"/>
  <c r="GF36" i="21"/>
  <c r="GH36" i="21"/>
  <c r="HB36" i="21"/>
  <c r="FJ36" i="21"/>
  <c r="M35" i="21"/>
  <c r="HE36" i="21"/>
  <c r="FM36" i="21"/>
  <c r="HD36" i="21"/>
  <c r="FL36" i="21"/>
  <c r="FM26" i="21"/>
  <c r="GK26" i="21"/>
  <c r="HE26" i="21"/>
  <c r="HD26" i="21"/>
  <c r="GY26" i="21"/>
  <c r="GG26" i="21"/>
  <c r="GJ26" i="21"/>
  <c r="GZ26" i="21"/>
  <c r="GH26" i="21"/>
  <c r="FJ26" i="21"/>
  <c r="GF26" i="21"/>
  <c r="GI26" i="21"/>
  <c r="ES26" i="21"/>
  <c r="ER26" i="21" s="1"/>
  <c r="EQ26" i="21" s="1"/>
  <c r="EP26" i="21" s="1"/>
  <c r="EO26" i="21" s="1"/>
  <c r="EN26" i="21" s="1"/>
  <c r="EM26" i="21" s="1"/>
  <c r="EL26" i="21" s="1"/>
  <c r="EK26" i="21" s="1"/>
  <c r="EJ26" i="21" s="1"/>
  <c r="EI26" i="21" s="1"/>
  <c r="EH26" i="21" s="1"/>
  <c r="EG26" i="21" s="1"/>
  <c r="EF26" i="21" s="1"/>
  <c r="EE26" i="21" s="1"/>
  <c r="ED26" i="21" s="1"/>
  <c r="EC26" i="21" s="1"/>
  <c r="EB26" i="21" s="1"/>
  <c r="EA26" i="21" s="1"/>
  <c r="DZ26" i="21" s="1"/>
  <c r="DY26" i="21" s="1" a="1"/>
  <c r="DY26" i="21" s="1"/>
  <c r="DX26" i="21" s="1"/>
  <c r="DW26" i="21" s="1"/>
  <c r="AV26" i="21" s="1"/>
  <c r="FK26" i="21"/>
  <c r="FN26" i="21"/>
  <c r="HA26" i="21"/>
  <c r="FI26" i="21"/>
  <c r="GE26" i="21"/>
  <c r="B55" i="23"/>
  <c r="C55" i="23" s="1"/>
  <c r="AX26" i="21"/>
  <c r="M25" i="21"/>
  <c r="B54" i="23"/>
  <c r="C54" i="23" s="1"/>
  <c r="AX25" i="21"/>
  <c r="B53" i="23"/>
  <c r="C53" i="23" s="1"/>
  <c r="AX24" i="21"/>
  <c r="B52" i="23"/>
  <c r="C52" i="23" s="1"/>
  <c r="AU39" i="21"/>
  <c r="B48" i="23"/>
  <c r="C48" i="23" s="1"/>
  <c r="B45" i="23"/>
  <c r="C45" i="23" s="1"/>
  <c r="B30" i="24"/>
  <c r="C30" i="24" s="1"/>
  <c r="GZ28" i="21"/>
  <c r="GG28" i="21"/>
  <c r="FO28" i="21"/>
  <c r="FL28" i="21"/>
  <c r="HD28" i="21"/>
  <c r="GK28" i="21"/>
  <c r="GH28" i="21"/>
  <c r="GJ28" i="21"/>
  <c r="GE28" i="21"/>
  <c r="FJ28" i="21"/>
  <c r="HB28" i="21"/>
  <c r="A383" i="21"/>
  <c r="B381" i="21"/>
  <c r="B64" i="23"/>
  <c r="C64" i="23" s="1"/>
  <c r="AX35" i="21"/>
  <c r="B373" i="21"/>
  <c r="A380" i="21"/>
  <c r="B385" i="21"/>
  <c r="A384" i="21"/>
  <c r="Q38" i="24"/>
  <c r="G38" i="24" s="1"/>
  <c r="B375" i="21"/>
  <c r="A137" i="21"/>
  <c r="A376" i="21"/>
  <c r="A382" i="21"/>
  <c r="A372" i="21"/>
  <c r="A377" i="21"/>
  <c r="Q68" i="23"/>
  <c r="D68" i="23" s="1"/>
  <c r="R68" i="23"/>
  <c r="G68" i="23" s="1"/>
  <c r="A136" i="21"/>
  <c r="HC38" i="21"/>
  <c r="GH38" i="21"/>
  <c r="FK38" i="21"/>
  <c r="HE28" i="21"/>
  <c r="HA28" i="21"/>
  <c r="FM28" i="21"/>
  <c r="FI28" i="21"/>
  <c r="B388" i="21"/>
  <c r="J27" i="20"/>
  <c r="M27" i="20" s="1"/>
  <c r="O27" i="20" s="1"/>
  <c r="K27" i="21"/>
  <c r="M27" i="21"/>
  <c r="J37" i="20"/>
  <c r="M37" i="20" s="1"/>
  <c r="O37" i="20" s="1"/>
  <c r="K37" i="21"/>
  <c r="M37" i="21"/>
  <c r="J29" i="20"/>
  <c r="M29" i="20" s="1"/>
  <c r="O29" i="20" s="1"/>
  <c r="K29" i="21"/>
  <c r="M29" i="21"/>
  <c r="FB15" i="21"/>
  <c r="FA15" i="21" s="1"/>
  <c r="EZ15" i="21" s="1"/>
  <c r="EY15" i="21" s="1"/>
  <c r="EX15" i="21" s="1"/>
  <c r="EW15" i="21" s="1"/>
  <c r="EV15" i="21" s="1"/>
  <c r="EU15" i="21" s="1"/>
  <c r="ET15" i="21" s="1"/>
  <c r="ES15" i="21" s="1"/>
  <c r="ER15" i="21" s="1"/>
  <c r="EQ15" i="21" s="1"/>
  <c r="EP15" i="21" s="1"/>
  <c r="EO15" i="21" s="1"/>
  <c r="EN15" i="21" s="1"/>
  <c r="EM15" i="21" s="1"/>
  <c r="EL15" i="21" s="1"/>
  <c r="EK15" i="21" s="1"/>
  <c r="EJ15" i="21" s="1"/>
  <c r="EI15" i="21" s="1"/>
  <c r="EH15" i="21" s="1"/>
  <c r="EG15" i="21" s="1"/>
  <c r="EF15" i="21" s="1"/>
  <c r="EE15" i="21" s="1"/>
  <c r="ED15" i="21" s="1"/>
  <c r="EC15" i="21" s="1"/>
  <c r="EB15" i="21" s="1"/>
  <c r="EA15" i="21" s="1"/>
  <c r="DZ15" i="21" s="1"/>
  <c r="DY15" i="21" s="1" a="1"/>
  <c r="DY15" i="21" s="1"/>
  <c r="J33" i="20"/>
  <c r="M33" i="20" s="1"/>
  <c r="O33" i="20" s="1"/>
  <c r="K33" i="21"/>
  <c r="M33" i="21"/>
  <c r="HB29" i="21"/>
  <c r="GK29" i="21"/>
  <c r="GG29" i="21"/>
  <c r="FN29" i="21"/>
  <c r="FJ29" i="21"/>
  <c r="HE29" i="21"/>
  <c r="HA29" i="21"/>
  <c r="GJ29" i="21"/>
  <c r="GF29" i="21"/>
  <c r="FM29" i="21"/>
  <c r="FI29" i="21"/>
  <c r="HC29" i="21"/>
  <c r="GY29" i="21"/>
  <c r="GH29" i="21"/>
  <c r="FO29" i="21"/>
  <c r="FK29" i="21"/>
  <c r="GE29" i="21"/>
  <c r="HD29" i="21"/>
  <c r="FL29" i="21"/>
  <c r="GZ29" i="21"/>
  <c r="GI29" i="21"/>
  <c r="J24" i="20"/>
  <c r="M24" i="20" s="1"/>
  <c r="O24" i="20" s="1"/>
  <c r="K24" i="21"/>
  <c r="N24" i="21" s="1"/>
  <c r="H24" i="23" s="1"/>
  <c r="M24" i="21"/>
  <c r="B52" i="21"/>
  <c r="H25" i="21" l="1"/>
  <c r="Q25" i="29" s="1"/>
  <c r="F54" i="23"/>
  <c r="K25" i="21"/>
  <c r="N25" i="21" s="1"/>
  <c r="H25" i="23" s="1"/>
  <c r="F55" i="23"/>
  <c r="H26" i="21"/>
  <c r="Q26" i="29" s="1"/>
  <c r="AY20" i="21"/>
  <c r="L20" i="23"/>
  <c r="R20" i="23" s="1"/>
  <c r="L20" i="24"/>
  <c r="Q20" i="24" s="1"/>
  <c r="I22" i="21"/>
  <c r="AN22" i="21"/>
  <c r="G22" i="21" s="1"/>
  <c r="H22" i="20" s="1"/>
  <c r="BA22" i="21"/>
  <c r="BB22" i="21" s="1"/>
  <c r="BH22" i="21"/>
  <c r="BH18" i="21"/>
  <c r="I18" i="21"/>
  <c r="BA18" i="21"/>
  <c r="BB18" i="21" s="1"/>
  <c r="AN18" i="21"/>
  <c r="G18" i="21" s="1"/>
  <c r="H18" i="20" s="1"/>
  <c r="AY23" i="21"/>
  <c r="L23" i="24"/>
  <c r="Q23" i="24" s="1"/>
  <c r="L23" i="23"/>
  <c r="R23" i="23" s="1"/>
  <c r="AY21" i="21"/>
  <c r="L21" i="23"/>
  <c r="R21" i="23" s="1"/>
  <c r="L21" i="24"/>
  <c r="Q21" i="24" s="1"/>
  <c r="L19" i="24"/>
  <c r="Q19" i="24" s="1"/>
  <c r="AY19" i="21"/>
  <c r="L19" i="23"/>
  <c r="R19" i="23" s="1"/>
  <c r="BH17" i="21"/>
  <c r="I17" i="21"/>
  <c r="AN17" i="21"/>
  <c r="G17" i="21" s="1"/>
  <c r="H17" i="20" s="1"/>
  <c r="AY17" i="21"/>
  <c r="L17" i="24"/>
  <c r="Q17" i="24" s="1"/>
  <c r="L17" i="23"/>
  <c r="R17" i="23" s="1"/>
  <c r="L22" i="23"/>
  <c r="R22" i="23" s="1"/>
  <c r="AY22" i="21"/>
  <c r="L22" i="24"/>
  <c r="Q22" i="24" s="1"/>
  <c r="AY18" i="21"/>
  <c r="L18" i="24"/>
  <c r="Q18" i="24" s="1"/>
  <c r="L18" i="23"/>
  <c r="R18" i="23" s="1"/>
  <c r="M53" i="23"/>
  <c r="N53" i="23" s="1"/>
  <c r="I24" i="20"/>
  <c r="F24" i="23"/>
  <c r="Q24" i="23" s="1"/>
  <c r="F25" i="23"/>
  <c r="Q25" i="23" s="1"/>
  <c r="I25" i="20"/>
  <c r="BH20" i="21"/>
  <c r="I20" i="21"/>
  <c r="BA20" i="21"/>
  <c r="BB20" i="21" s="1"/>
  <c r="AN20" i="21"/>
  <c r="G20" i="21" s="1"/>
  <c r="H20" i="20" s="1"/>
  <c r="BH16" i="21"/>
  <c r="AN16" i="21"/>
  <c r="G16" i="21" s="1"/>
  <c r="H16" i="20" s="1"/>
  <c r="I16" i="21"/>
  <c r="BH23" i="21"/>
  <c r="BA23" i="21"/>
  <c r="BB23" i="21" s="1"/>
  <c r="AN23" i="21"/>
  <c r="G23" i="21" s="1"/>
  <c r="H23" i="20" s="1"/>
  <c r="Q17" i="27" s="1"/>
  <c r="I23" i="21"/>
  <c r="BH21" i="21"/>
  <c r="BA21" i="21"/>
  <c r="BB21" i="21" s="1"/>
  <c r="I21" i="21"/>
  <c r="AN21" i="21"/>
  <c r="G21" i="21" s="1"/>
  <c r="H21" i="20" s="1"/>
  <c r="AY16" i="21"/>
  <c r="L16" i="23"/>
  <c r="R16" i="23" s="1"/>
  <c r="I19" i="21"/>
  <c r="BH19" i="21"/>
  <c r="AN19" i="21"/>
  <c r="G19" i="21" s="1"/>
  <c r="H19" i="20" s="1"/>
  <c r="BA19" i="21"/>
  <c r="BB19" i="21" s="1"/>
  <c r="L26" i="23"/>
  <c r="R26" i="23" s="1"/>
  <c r="AY26" i="21"/>
  <c r="L25" i="23"/>
  <c r="R25" i="23" s="1"/>
  <c r="AY25" i="21"/>
  <c r="L24" i="23"/>
  <c r="R24" i="23" s="1"/>
  <c r="AY24" i="21"/>
  <c r="L35" i="23"/>
  <c r="R35" i="23" s="1"/>
  <c r="AY35" i="21"/>
  <c r="F42" i="24"/>
  <c r="F43" i="24"/>
  <c r="F74" i="23"/>
  <c r="H72" i="23"/>
  <c r="H45" i="24"/>
  <c r="H42" i="24"/>
  <c r="H74" i="23"/>
  <c r="H73" i="23"/>
  <c r="F46" i="24"/>
  <c r="H46" i="24"/>
  <c r="H76" i="23"/>
  <c r="F75" i="23"/>
  <c r="F48" i="24"/>
  <c r="H75" i="23"/>
  <c r="H48" i="24"/>
  <c r="F47" i="24"/>
  <c r="F73" i="23"/>
  <c r="F72" i="23"/>
  <c r="F44" i="24"/>
  <c r="H43" i="24"/>
  <c r="H44" i="24"/>
  <c r="F76" i="23"/>
  <c r="F45" i="24"/>
  <c r="H47" i="24"/>
  <c r="AZ15" i="21"/>
  <c r="N33" i="24" l="1"/>
  <c r="N48" i="23"/>
  <c r="N50" i="23"/>
  <c r="N35" i="24"/>
  <c r="N37" i="24"/>
  <c r="N52" i="23"/>
  <c r="HC16" i="21"/>
  <c r="GE16" i="21"/>
  <c r="FI16" i="21"/>
  <c r="FN16" i="21"/>
  <c r="GI16" i="21"/>
  <c r="GF16" i="21"/>
  <c r="GG16" i="21"/>
  <c r="FO16" i="21"/>
  <c r="GZ16" i="21"/>
  <c r="GJ16" i="21"/>
  <c r="GK16" i="21"/>
  <c r="FM16" i="21"/>
  <c r="GH16" i="21"/>
  <c r="FJ16" i="21"/>
  <c r="DY16" i="21" a="1"/>
  <c r="DY16" i="21" s="1"/>
  <c r="DX16" i="21" s="1"/>
  <c r="DW16" i="21" s="1"/>
  <c r="AV16" i="21" s="1"/>
  <c r="FL16" i="21"/>
  <c r="HD16" i="21"/>
  <c r="HE16" i="21"/>
  <c r="HB16" i="21"/>
  <c r="HA16" i="21"/>
  <c r="GY16" i="21"/>
  <c r="FK16" i="21"/>
  <c r="HC20" i="21"/>
  <c r="HE20" i="21"/>
  <c r="FM20" i="21"/>
  <c r="GG20" i="21"/>
  <c r="FL20" i="21"/>
  <c r="EU20" i="21"/>
  <c r="ET20" i="21" s="1"/>
  <c r="ES20" i="21" s="1"/>
  <c r="ER20" i="21" s="1"/>
  <c r="EQ20" i="21" s="1"/>
  <c r="EP20" i="21" s="1"/>
  <c r="EO20" i="21" s="1"/>
  <c r="EN20" i="21" s="1"/>
  <c r="EM20" i="21" s="1"/>
  <c r="EL20" i="21" s="1"/>
  <c r="EK20" i="21" s="1"/>
  <c r="EJ20" i="21" s="1"/>
  <c r="EI20" i="21" s="1"/>
  <c r="EH20" i="21" s="1"/>
  <c r="EG20" i="21" s="1"/>
  <c r="EF20" i="21" s="1"/>
  <c r="EE20" i="21" s="1"/>
  <c r="ED20" i="21" s="1"/>
  <c r="EC20" i="21" s="1"/>
  <c r="EB20" i="21" s="1"/>
  <c r="EA20" i="21" s="1"/>
  <c r="DZ20" i="21" s="1"/>
  <c r="DY20" i="21" s="1" a="1"/>
  <c r="DY20" i="21" s="1"/>
  <c r="DX20" i="21" s="1"/>
  <c r="DW20" i="21" s="1"/>
  <c r="AV20" i="21" s="1"/>
  <c r="FK20" i="21"/>
  <c r="HA20" i="21"/>
  <c r="FI20" i="21"/>
  <c r="FN20" i="21"/>
  <c r="GI20" i="21"/>
  <c r="GH20" i="21"/>
  <c r="GJ20" i="21"/>
  <c r="HB20" i="21"/>
  <c r="FJ20" i="21"/>
  <c r="HD20" i="21"/>
  <c r="FO20" i="21"/>
  <c r="GE20" i="21"/>
  <c r="GY20" i="21"/>
  <c r="GZ20" i="21"/>
  <c r="GF20" i="21"/>
  <c r="GK20" i="21"/>
  <c r="M17" i="21"/>
  <c r="J17" i="20"/>
  <c r="M17" i="20" s="1"/>
  <c r="O17" i="20" s="1"/>
  <c r="L15" i="27" s="1"/>
  <c r="K17" i="21"/>
  <c r="N17" i="21" s="1"/>
  <c r="N32" i="24"/>
  <c r="N47" i="23"/>
  <c r="N51" i="23"/>
  <c r="N36" i="24"/>
  <c r="HD21" i="21"/>
  <c r="HB21" i="21"/>
  <c r="FO21" i="21"/>
  <c r="HC21" i="21"/>
  <c r="GG21" i="21"/>
  <c r="GK21" i="21"/>
  <c r="GJ21" i="21"/>
  <c r="FL21" i="21"/>
  <c r="GH21" i="21"/>
  <c r="FJ21" i="21"/>
  <c r="FN21" i="21"/>
  <c r="FI21" i="21"/>
  <c r="HA21" i="21"/>
  <c r="GE21" i="21"/>
  <c r="FM21" i="21"/>
  <c r="EB21" i="21"/>
  <c r="EA21" i="21" s="1"/>
  <c r="DZ21" i="21" s="1"/>
  <c r="DY21" i="21" s="1" a="1"/>
  <c r="DY21" i="21" s="1"/>
  <c r="DX21" i="21" s="1"/>
  <c r="DW21" i="21" s="1"/>
  <c r="AV21" i="21" s="1"/>
  <c r="FK21" i="21"/>
  <c r="GY21" i="21"/>
  <c r="HE21" i="21"/>
  <c r="GF21" i="21"/>
  <c r="GI21" i="21"/>
  <c r="GZ21" i="21"/>
  <c r="HB23" i="21"/>
  <c r="FJ23" i="21"/>
  <c r="GF23" i="21"/>
  <c r="GZ23" i="21"/>
  <c r="HC23" i="21"/>
  <c r="FK23" i="21"/>
  <c r="GK23" i="21"/>
  <c r="HE23" i="21"/>
  <c r="FM23" i="21"/>
  <c r="GI23" i="21"/>
  <c r="GY23" i="21"/>
  <c r="HA23" i="21"/>
  <c r="EM23" i="21"/>
  <c r="EL23" i="21" s="1"/>
  <c r="EK23" i="21" s="1"/>
  <c r="EJ23" i="21" s="1"/>
  <c r="EI23" i="21" s="1"/>
  <c r="EH23" i="21" s="1"/>
  <c r="EG23" i="21" s="1"/>
  <c r="EF23" i="21" s="1"/>
  <c r="EE23" i="21" s="1"/>
  <c r="ED23" i="21" s="1"/>
  <c r="EC23" i="21" s="1"/>
  <c r="EB23" i="21" s="1"/>
  <c r="EA23" i="21" s="1"/>
  <c r="DZ23" i="21" s="1"/>
  <c r="DY23" i="21" s="1" a="1"/>
  <c r="DY23" i="21" s="1"/>
  <c r="DX23" i="21" s="1"/>
  <c r="DW23" i="21" s="1"/>
  <c r="AV23" i="21" s="1"/>
  <c r="GG23" i="21"/>
  <c r="FI23" i="21"/>
  <c r="GE23" i="21"/>
  <c r="GH23" i="21"/>
  <c r="FN23" i="21"/>
  <c r="FO23" i="21"/>
  <c r="GJ23" i="21"/>
  <c r="HD23" i="21"/>
  <c r="FL23" i="21"/>
  <c r="FN17" i="21"/>
  <c r="HA17" i="21"/>
  <c r="FI17" i="21"/>
  <c r="HC17" i="21"/>
  <c r="FK17" i="21"/>
  <c r="HB17" i="21"/>
  <c r="FJ17" i="21"/>
  <c r="GJ17" i="21"/>
  <c r="HD17" i="21"/>
  <c r="GY17" i="21"/>
  <c r="GI17" i="21"/>
  <c r="GK17" i="21"/>
  <c r="GE17" i="21"/>
  <c r="GF17" i="21"/>
  <c r="GZ17" i="21"/>
  <c r="GH17" i="21"/>
  <c r="GG17" i="21"/>
  <c r="HE17" i="21"/>
  <c r="FM17" i="21"/>
  <c r="FL17" i="21"/>
  <c r="FO17" i="21"/>
  <c r="DZ17" i="21"/>
  <c r="DY17" i="21" s="1" a="1"/>
  <c r="DY17" i="21" s="1"/>
  <c r="DX17" i="21" s="1"/>
  <c r="DW17" i="21" s="1"/>
  <c r="AV17" i="21" s="1"/>
  <c r="J18" i="20"/>
  <c r="M18" i="20" s="1"/>
  <c r="O18" i="20" s="1"/>
  <c r="L16" i="27" s="1"/>
  <c r="K18" i="21"/>
  <c r="N18" i="21" s="1"/>
  <c r="M18" i="21"/>
  <c r="EV19" i="21"/>
  <c r="EU19" i="21" s="1"/>
  <c r="ET19" i="21" s="1"/>
  <c r="ES19" i="21" s="1"/>
  <c r="ER19" i="21" s="1"/>
  <c r="EQ19" i="21" s="1"/>
  <c r="EP19" i="21" s="1"/>
  <c r="EO19" i="21" s="1"/>
  <c r="EN19" i="21" s="1"/>
  <c r="EM19" i="21" s="1"/>
  <c r="EL19" i="21" s="1"/>
  <c r="EK19" i="21" s="1"/>
  <c r="EJ19" i="21" s="1"/>
  <c r="EI19" i="21" s="1"/>
  <c r="EH19" i="21" s="1"/>
  <c r="EG19" i="21" s="1"/>
  <c r="EF19" i="21" s="1"/>
  <c r="EE19" i="21" s="1"/>
  <c r="ED19" i="21" s="1"/>
  <c r="EC19" i="21" s="1"/>
  <c r="EB19" i="21" s="1"/>
  <c r="EA19" i="21" s="1"/>
  <c r="DZ19" i="21" s="1"/>
  <c r="DY19" i="21" s="1" a="1"/>
  <c r="DY19" i="21" s="1"/>
  <c r="DX19" i="21" s="1"/>
  <c r="DW19" i="21" s="1"/>
  <c r="AV19" i="21" s="1"/>
  <c r="FN19" i="21"/>
  <c r="GH19" i="21"/>
  <c r="GF19" i="21"/>
  <c r="GE19" i="21"/>
  <c r="FO19" i="21"/>
  <c r="HB19" i="21"/>
  <c r="FJ19" i="21"/>
  <c r="FM19" i="21"/>
  <c r="FL19" i="21"/>
  <c r="FK19" i="21"/>
  <c r="FI19" i="21"/>
  <c r="GG19" i="21"/>
  <c r="GZ19" i="21"/>
  <c r="GY19" i="21"/>
  <c r="GJ19" i="21"/>
  <c r="GI19" i="21"/>
  <c r="GK19" i="21"/>
  <c r="HE19" i="21"/>
  <c r="HD19" i="21"/>
  <c r="HC19" i="21"/>
  <c r="HA19" i="21"/>
  <c r="M23" i="21"/>
  <c r="K23" i="21"/>
  <c r="N23" i="21" s="1"/>
  <c r="J23" i="20"/>
  <c r="M23" i="20" s="1"/>
  <c r="O23" i="20" s="1"/>
  <c r="J16" i="20"/>
  <c r="M16" i="20" s="1"/>
  <c r="O16" i="20" s="1"/>
  <c r="K16" i="21"/>
  <c r="N16" i="21" s="1"/>
  <c r="M16" i="21"/>
  <c r="N34" i="24"/>
  <c r="N49" i="23"/>
  <c r="FK18" i="21"/>
  <c r="GG18" i="21"/>
  <c r="HE18" i="21"/>
  <c r="GY18" i="21"/>
  <c r="GK18" i="21"/>
  <c r="GE18" i="21"/>
  <c r="FI18" i="21"/>
  <c r="HA18" i="21"/>
  <c r="ET18" i="21"/>
  <c r="ES18" i="21" s="1"/>
  <c r="ER18" i="21" s="1"/>
  <c r="EQ18" i="21" s="1"/>
  <c r="EP18" i="21" s="1"/>
  <c r="EO18" i="21" s="1"/>
  <c r="EN18" i="21" s="1"/>
  <c r="EM18" i="21" s="1"/>
  <c r="EL18" i="21" s="1"/>
  <c r="EK18" i="21" s="1"/>
  <c r="EJ18" i="21" s="1"/>
  <c r="EI18" i="21" s="1"/>
  <c r="EH18" i="21" s="1"/>
  <c r="EG18" i="21" s="1"/>
  <c r="EF18" i="21" s="1"/>
  <c r="EE18" i="21" s="1"/>
  <c r="ED18" i="21" s="1"/>
  <c r="EC18" i="21" s="1"/>
  <c r="EB18" i="21" s="1"/>
  <c r="EA18" i="21" s="1"/>
  <c r="DZ18" i="21" s="1"/>
  <c r="DY18" i="21" s="1" a="1"/>
  <c r="DY18" i="21" s="1"/>
  <c r="DX18" i="21" s="1"/>
  <c r="DW18" i="21" s="1"/>
  <c r="AV18" i="21" s="1"/>
  <c r="FO18" i="21"/>
  <c r="GH18" i="21"/>
  <c r="FJ18" i="21"/>
  <c r="HB18" i="21"/>
  <c r="GI18" i="21"/>
  <c r="FM18" i="21"/>
  <c r="GF18" i="21"/>
  <c r="HC18" i="21"/>
  <c r="FN18" i="21"/>
  <c r="GZ18" i="21"/>
  <c r="FL18" i="21"/>
  <c r="HD18" i="21"/>
  <c r="GJ18" i="21"/>
  <c r="J22" i="20"/>
  <c r="M22" i="20" s="1"/>
  <c r="O22" i="20" s="1"/>
  <c r="K22" i="21"/>
  <c r="N22" i="21" s="1"/>
  <c r="M22" i="21"/>
  <c r="I26" i="20"/>
  <c r="F26" i="23"/>
  <c r="Q26" i="23" s="1"/>
  <c r="K19" i="21"/>
  <c r="N19" i="21" s="1"/>
  <c r="J19" i="20"/>
  <c r="M19" i="20" s="1"/>
  <c r="O19" i="20" s="1"/>
  <c r="M19" i="21"/>
  <c r="K21" i="21"/>
  <c r="N21" i="21" s="1"/>
  <c r="J21" i="20"/>
  <c r="M21" i="20" s="1"/>
  <c r="O21" i="20" s="1"/>
  <c r="M21" i="21"/>
  <c r="K20" i="21"/>
  <c r="N20" i="21" s="1"/>
  <c r="M20" i="21"/>
  <c r="J20" i="20"/>
  <c r="M20" i="20" s="1"/>
  <c r="O20" i="20" s="1"/>
  <c r="EL22" i="21"/>
  <c r="EK22" i="21" s="1"/>
  <c r="EJ22" i="21" s="1"/>
  <c r="EI22" i="21" s="1"/>
  <c r="EH22" i="21" s="1"/>
  <c r="EG22" i="21" s="1"/>
  <c r="EF22" i="21" s="1"/>
  <c r="EE22" i="21" s="1"/>
  <c r="ED22" i="21" s="1"/>
  <c r="EC22" i="21" s="1"/>
  <c r="EB22" i="21" s="1"/>
  <c r="EA22" i="21" s="1"/>
  <c r="DZ22" i="21" s="1"/>
  <c r="DY22" i="21" s="1" a="1"/>
  <c r="DY22" i="21" s="1"/>
  <c r="DX22" i="21" s="1"/>
  <c r="DW22" i="21" s="1"/>
  <c r="AV22" i="21" s="1"/>
  <c r="HE22" i="21"/>
  <c r="FK22" i="21"/>
  <c r="GE22" i="21"/>
  <c r="FM22" i="21"/>
  <c r="FN22" i="21"/>
  <c r="GH22" i="21"/>
  <c r="GI22" i="21"/>
  <c r="GF22" i="21"/>
  <c r="GG22" i="21"/>
  <c r="GZ22" i="21"/>
  <c r="GY22" i="21"/>
  <c r="HB22" i="21"/>
  <c r="GJ22" i="21"/>
  <c r="GK22" i="21"/>
  <c r="FL22" i="21"/>
  <c r="HC22" i="21"/>
  <c r="FO22" i="21"/>
  <c r="HA22" i="21"/>
  <c r="FJ22" i="21"/>
  <c r="HD22" i="21"/>
  <c r="FI22" i="21"/>
  <c r="FB14" i="21"/>
  <c r="FA14" i="21" s="1"/>
  <c r="EZ14" i="21" s="1"/>
  <c r="EY14" i="21" s="1"/>
  <c r="EX14" i="21" s="1"/>
  <c r="EW14" i="21" s="1"/>
  <c r="EV14" i="21" s="1"/>
  <c r="EU14" i="21" s="1"/>
  <c r="ET14" i="21" s="1"/>
  <c r="ES14" i="21" s="1"/>
  <c r="ER14" i="21" s="1"/>
  <c r="EQ14" i="21" s="1"/>
  <c r="EP14" i="21" s="1"/>
  <c r="EO14" i="21" s="1"/>
  <c r="EN14" i="21" s="1"/>
  <c r="EM14" i="21" s="1"/>
  <c r="EL14" i="21" s="1"/>
  <c r="EK14" i="21" s="1"/>
  <c r="EJ14" i="21" s="1"/>
  <c r="EI14" i="21" s="1"/>
  <c r="EH14" i="21" s="1"/>
  <c r="EG14" i="21" s="1"/>
  <c r="EF14" i="21" s="1"/>
  <c r="EE14" i="21" s="1"/>
  <c r="ED14" i="21" s="1"/>
  <c r="EC14" i="21" s="1"/>
  <c r="EB14" i="21" s="1"/>
  <c r="EA14" i="21" s="1"/>
  <c r="DZ14" i="21" s="1"/>
  <c r="DY14" i="21" s="1" a="1"/>
  <c r="DY14" i="21" s="1"/>
  <c r="F51" i="23" l="1"/>
  <c r="H22" i="21"/>
  <c r="Q22" i="29" s="1"/>
  <c r="F36" i="24"/>
  <c r="H16" i="23"/>
  <c r="H16" i="24"/>
  <c r="H22" i="24"/>
  <c r="H22" i="23"/>
  <c r="F52" i="23"/>
  <c r="H23" i="21"/>
  <c r="Q23" i="29" s="1"/>
  <c r="F37" i="24"/>
  <c r="H19" i="24"/>
  <c r="H19" i="23"/>
  <c r="H21" i="23"/>
  <c r="H21" i="24"/>
  <c r="F48" i="23"/>
  <c r="H19" i="21"/>
  <c r="Q19" i="29" s="1"/>
  <c r="F33" i="24"/>
  <c r="F46" i="23"/>
  <c r="AZ17" i="21"/>
  <c r="H17" i="21"/>
  <c r="Q17" i="29" s="1"/>
  <c r="F31" i="24"/>
  <c r="H20" i="23"/>
  <c r="H20" i="24"/>
  <c r="H23" i="23"/>
  <c r="H23" i="24"/>
  <c r="F49" i="23"/>
  <c r="H20" i="21"/>
  <c r="Q20" i="29" s="1"/>
  <c r="F34" i="24"/>
  <c r="F47" i="23"/>
  <c r="H18" i="21"/>
  <c r="Q18" i="29" s="1"/>
  <c r="F32" i="24"/>
  <c r="H18" i="24"/>
  <c r="H18" i="23"/>
  <c r="F50" i="23"/>
  <c r="H21" i="21"/>
  <c r="Q21" i="29" s="1"/>
  <c r="F35" i="24"/>
  <c r="H17" i="24"/>
  <c r="H17" i="23"/>
  <c r="F45" i="23"/>
  <c r="H16" i="21"/>
  <c r="Q16" i="29" s="1"/>
  <c r="AZ16" i="21"/>
  <c r="F30" i="24"/>
  <c r="AZ14" i="21"/>
  <c r="BA16" i="21" l="1"/>
  <c r="BB16" i="21" s="1"/>
  <c r="M45" i="23"/>
  <c r="M30" i="24"/>
  <c r="I23" i="20"/>
  <c r="F23" i="23"/>
  <c r="Q23" i="23" s="1"/>
  <c r="F23" i="24"/>
  <c r="P23" i="24" s="1"/>
  <c r="I16" i="20"/>
  <c r="F16" i="23"/>
  <c r="Q16" i="23" s="1"/>
  <c r="F16" i="24"/>
  <c r="P16" i="24" s="1"/>
  <c r="F17" i="24"/>
  <c r="P17" i="24" s="1"/>
  <c r="F17" i="23"/>
  <c r="Q17" i="23" s="1"/>
  <c r="I17" i="20"/>
  <c r="F19" i="23"/>
  <c r="Q19" i="23" s="1"/>
  <c r="F19" i="24"/>
  <c r="P19" i="24" s="1"/>
  <c r="I19" i="20"/>
  <c r="BA17" i="21"/>
  <c r="BB17" i="21" s="1"/>
  <c r="M31" i="24"/>
  <c r="M46" i="23"/>
  <c r="F21" i="24"/>
  <c r="P21" i="24" s="1"/>
  <c r="F21" i="23"/>
  <c r="Q21" i="23" s="1"/>
  <c r="I21" i="20"/>
  <c r="F20" i="23"/>
  <c r="Q20" i="23" s="1"/>
  <c r="F20" i="24"/>
  <c r="P20" i="24" s="1"/>
  <c r="I20" i="20"/>
  <c r="I18" i="20"/>
  <c r="F18" i="24"/>
  <c r="P18" i="24" s="1"/>
  <c r="F18" i="23"/>
  <c r="Q18" i="23" s="1"/>
  <c r="I22" i="20"/>
  <c r="F22" i="24"/>
  <c r="P22" i="24" s="1"/>
  <c r="F22" i="23"/>
  <c r="Q22" i="23" s="1"/>
  <c r="J129" i="21"/>
  <c r="M129" i="21" s="1"/>
  <c r="O129" i="21" s="1"/>
  <c r="J126" i="21" l="1"/>
  <c r="M126" i="21" s="1"/>
  <c r="O126" i="21" s="1"/>
  <c r="N30" i="24"/>
  <c r="N46" i="23"/>
  <c r="N45" i="23"/>
  <c r="N31" i="24"/>
  <c r="B129" i="21"/>
  <c r="CM14" i="21"/>
  <c r="AS14" i="21" s="1"/>
  <c r="B43" i="23" s="1"/>
  <c r="C43" i="23" s="1"/>
  <c r="AP14" i="21" l="1"/>
  <c r="AQ14" i="21" s="1"/>
  <c r="AR14" i="21" s="1"/>
  <c r="BA14" i="21" s="1"/>
  <c r="BB14" i="21" s="1"/>
  <c r="J133" i="21" s="1"/>
  <c r="M133" i="21" s="1"/>
  <c r="O133" i="21" s="1"/>
  <c r="AX14" i="21"/>
  <c r="B28" i="24"/>
  <c r="C28" i="24" s="1"/>
  <c r="BH14" i="21" l="1"/>
  <c r="FK14" i="21" s="1"/>
  <c r="I14" i="21"/>
  <c r="M14" i="21" s="1"/>
  <c r="AN14" i="21"/>
  <c r="G14" i="21" s="1"/>
  <c r="H14" i="20" s="1"/>
  <c r="Q8" i="27" s="1"/>
  <c r="L14" i="23"/>
  <c r="R14" i="23" s="1"/>
  <c r="AY14" i="21"/>
  <c r="L14" i="24"/>
  <c r="Q14" i="24" s="1"/>
  <c r="J14" i="20"/>
  <c r="M14" i="20" s="1"/>
  <c r="O14" i="20" s="1"/>
  <c r="DX14" i="21"/>
  <c r="DW14" i="21" l="1"/>
  <c r="AV14" i="21" s="1"/>
  <c r="K14" i="21"/>
  <c r="GY14" i="21"/>
  <c r="FJ14" i="21"/>
  <c r="FM14" i="21"/>
  <c r="GG14" i="21"/>
  <c r="HB14" i="21"/>
  <c r="GF14" i="21"/>
  <c r="FO14" i="21"/>
  <c r="HE14" i="21"/>
  <c r="FI14" i="21"/>
  <c r="GZ14" i="21"/>
  <c r="HA14" i="21"/>
  <c r="HC14" i="21"/>
  <c r="GJ14" i="21"/>
  <c r="HD14" i="21"/>
  <c r="GK14" i="21"/>
  <c r="GI14" i="21"/>
  <c r="GE14" i="21"/>
  <c r="FL14" i="21"/>
  <c r="FN14" i="21"/>
  <c r="GH14" i="21"/>
  <c r="IG14" i="21"/>
  <c r="F43" i="23"/>
  <c r="H14" i="21"/>
  <c r="BL14" i="21"/>
  <c r="F28" i="24"/>
  <c r="N14" i="21"/>
  <c r="K43" i="23" l="1"/>
  <c r="F14" i="23"/>
  <c r="Q14" i="29"/>
  <c r="K28" i="24"/>
  <c r="L28" i="24"/>
  <c r="J43" i="23"/>
  <c r="M43" i="23" s="1"/>
  <c r="N43" i="23" s="1"/>
  <c r="J28" i="24"/>
  <c r="M28" i="24" s="1"/>
  <c r="N28" i="24" s="1"/>
  <c r="H14" i="24"/>
  <c r="H14" i="23"/>
  <c r="F14" i="24"/>
  <c r="P14" i="24" s="1"/>
  <c r="Q14" i="23"/>
  <c r="I14" i="20"/>
  <c r="CM15" i="21"/>
  <c r="AP15" i="21"/>
  <c r="AQ15" i="21" s="1"/>
  <c r="AR15" i="21" s="1"/>
  <c r="AS15" i="21"/>
  <c r="J108" i="21" s="1"/>
  <c r="M108" i="21" s="1"/>
  <c r="O108" i="21" s="1"/>
  <c r="B108" i="21" s="1"/>
  <c r="I77" i="21"/>
  <c r="M77" i="21" s="1"/>
  <c r="O77" i="21" s="1"/>
  <c r="B77" i="21" s="1"/>
  <c r="I15" i="21" l="1"/>
  <c r="BA15" i="21"/>
  <c r="BB15" i="21" s="1"/>
  <c r="AN15" i="21"/>
  <c r="G15" i="21" s="1"/>
  <c r="H15" i="20" s="1"/>
  <c r="AR39" i="21"/>
  <c r="BH15" i="21"/>
  <c r="J116" i="21"/>
  <c r="M116" i="21" s="1"/>
  <c r="O116" i="21" s="1"/>
  <c r="B116" i="21" s="1"/>
  <c r="I79" i="21"/>
  <c r="M79" i="21" s="1"/>
  <c r="O79" i="21" s="1"/>
  <c r="B79" i="21" s="1"/>
  <c r="J106" i="21"/>
  <c r="M106" i="21" s="1"/>
  <c r="O106" i="21" s="1"/>
  <c r="B106" i="21" s="1"/>
  <c r="J118" i="21"/>
  <c r="M118" i="21" s="1"/>
  <c r="O118" i="21" s="1"/>
  <c r="B118" i="21" s="1"/>
  <c r="I121" i="21"/>
  <c r="M121" i="21" s="1"/>
  <c r="O121" i="21" s="1"/>
  <c r="B121" i="21" s="1"/>
  <c r="J76" i="21"/>
  <c r="M76" i="21" s="1"/>
  <c r="O76" i="21" s="1"/>
  <c r="B76" i="21" s="1"/>
  <c r="I119" i="21"/>
  <c r="M119" i="21" s="1"/>
  <c r="O119" i="21" s="1"/>
  <c r="B119" i="21" s="1"/>
  <c r="I89" i="21"/>
  <c r="M89" i="21" s="1"/>
  <c r="O89" i="21" s="1"/>
  <c r="B89" i="21" s="1"/>
  <c r="I69" i="21"/>
  <c r="M69" i="21" s="1"/>
  <c r="O69" i="21" s="1"/>
  <c r="B69" i="21" s="1"/>
  <c r="I85" i="21"/>
  <c r="M85" i="21" s="1"/>
  <c r="O85" i="21" s="1"/>
  <c r="B85" i="21" s="1"/>
  <c r="I75" i="21"/>
  <c r="M75" i="21" s="1"/>
  <c r="O75" i="21" s="1"/>
  <c r="B75" i="21" s="1"/>
  <c r="J90" i="21"/>
  <c r="M90" i="21" s="1"/>
  <c r="O90" i="21" s="1"/>
  <c r="B90" i="21" s="1"/>
  <c r="I73" i="21"/>
  <c r="M73" i="21" s="1"/>
  <c r="O73" i="21" s="1"/>
  <c r="B73" i="21" s="1"/>
  <c r="J104" i="21"/>
  <c r="M104" i="21" s="1"/>
  <c r="O104" i="21" s="1"/>
  <c r="B104" i="21" s="1"/>
  <c r="I93" i="21"/>
  <c r="M93" i="21" s="1"/>
  <c r="O93" i="21" s="1"/>
  <c r="B93" i="21" s="1"/>
  <c r="J72" i="21"/>
  <c r="M72" i="21" s="1"/>
  <c r="O72" i="21" s="1"/>
  <c r="B72" i="21" s="1"/>
  <c r="J122" i="21"/>
  <c r="M122" i="21" s="1"/>
  <c r="O122" i="21" s="1"/>
  <c r="B122" i="21" s="1"/>
  <c r="J112" i="21"/>
  <c r="M112" i="21" s="1"/>
  <c r="O112" i="21" s="1"/>
  <c r="B112" i="21" s="1"/>
  <c r="I105" i="21"/>
  <c r="M105" i="21" s="1"/>
  <c r="O105" i="21" s="1"/>
  <c r="B105" i="21" s="1"/>
  <c r="I97" i="21"/>
  <c r="M97" i="21" s="1"/>
  <c r="O97" i="21" s="1"/>
  <c r="B97" i="21" s="1"/>
  <c r="I95" i="21"/>
  <c r="M95" i="21" s="1"/>
  <c r="O95" i="21" s="1"/>
  <c r="B95" i="21" s="1"/>
  <c r="J64" i="21"/>
  <c r="M64" i="21" s="1"/>
  <c r="O64" i="21" s="1"/>
  <c r="B64" i="21" s="1"/>
  <c r="J74" i="21"/>
  <c r="M74" i="21" s="1"/>
  <c r="O74" i="21" s="1"/>
  <c r="B74" i="21" s="1"/>
  <c r="J68" i="21"/>
  <c r="M68" i="21" s="1"/>
  <c r="O68" i="21" s="1"/>
  <c r="B68" i="21" s="1"/>
  <c r="I103" i="21"/>
  <c r="M103" i="21" s="1"/>
  <c r="O103" i="21" s="1"/>
  <c r="B103" i="21" s="1"/>
  <c r="I107" i="21"/>
  <c r="M107" i="21" s="1"/>
  <c r="O107" i="21" s="1"/>
  <c r="B107" i="21" s="1"/>
  <c r="I111" i="21"/>
  <c r="M111" i="21" s="1"/>
  <c r="O111" i="21" s="1"/>
  <c r="B111" i="21" s="1"/>
  <c r="J92" i="21"/>
  <c r="M92" i="21" s="1"/>
  <c r="O92" i="21" s="1"/>
  <c r="B92" i="21" s="1"/>
  <c r="I63" i="21"/>
  <c r="M63" i="21" s="1"/>
  <c r="I113" i="21"/>
  <c r="M113" i="21" s="1"/>
  <c r="O113" i="21" s="1"/>
  <c r="B113" i="21" s="1"/>
  <c r="J94" i="21"/>
  <c r="M94" i="21" s="1"/>
  <c r="O94" i="21" s="1"/>
  <c r="B94" i="21" s="1"/>
  <c r="J102" i="21"/>
  <c r="M102" i="21" s="1"/>
  <c r="O102" i="21" s="1"/>
  <c r="B102" i="21" s="1"/>
  <c r="J70" i="21"/>
  <c r="M70" i="21" s="1"/>
  <c r="O70" i="21" s="1"/>
  <c r="B70" i="21" s="1"/>
  <c r="I99" i="21"/>
  <c r="M99" i="21" s="1"/>
  <c r="O99" i="21" s="1"/>
  <c r="B99" i="21" s="1"/>
  <c r="AX15" i="21"/>
  <c r="B29" i="24"/>
  <c r="C29" i="24" s="1"/>
  <c r="J78" i="21"/>
  <c r="M78" i="21" s="1"/>
  <c r="O78" i="21" s="1"/>
  <c r="B78" i="21" s="1"/>
  <c r="J84" i="21"/>
  <c r="M84" i="21" s="1"/>
  <c r="O84" i="21" s="1"/>
  <c r="B84" i="21" s="1"/>
  <c r="J98" i="21"/>
  <c r="M98" i="21" s="1"/>
  <c r="O98" i="21" s="1"/>
  <c r="B98" i="21" s="1"/>
  <c r="I67" i="21"/>
  <c r="M67" i="21" s="1"/>
  <c r="O67" i="21" s="1"/>
  <c r="B67" i="21" s="1"/>
  <c r="J82" i="21"/>
  <c r="M82" i="21" s="1"/>
  <c r="O82" i="21" s="1"/>
  <c r="B82" i="21" s="1"/>
  <c r="I65" i="21"/>
  <c r="M65" i="21" s="1"/>
  <c r="O65" i="21" s="1"/>
  <c r="B65" i="21" s="1"/>
  <c r="I91" i="21"/>
  <c r="M91" i="21" s="1"/>
  <c r="O91" i="21" s="1"/>
  <c r="B91" i="21" s="1"/>
  <c r="J120" i="21"/>
  <c r="M120" i="21" s="1"/>
  <c r="O120" i="21" s="1"/>
  <c r="B120" i="21" s="1"/>
  <c r="I109" i="21"/>
  <c r="M109" i="21" s="1"/>
  <c r="O109" i="21" s="1"/>
  <c r="B109" i="21" s="1"/>
  <c r="J88" i="21"/>
  <c r="M88" i="21" s="1"/>
  <c r="O88" i="21" s="1"/>
  <c r="B88" i="21" s="1"/>
  <c r="J66" i="21"/>
  <c r="M66" i="21" s="1"/>
  <c r="O66" i="21" s="1"/>
  <c r="B66" i="21" s="1"/>
  <c r="J100" i="21"/>
  <c r="M100" i="21" s="1"/>
  <c r="O100" i="21" s="1"/>
  <c r="B100" i="21" s="1"/>
  <c r="I101" i="21"/>
  <c r="M101" i="21" s="1"/>
  <c r="O101" i="21" s="1"/>
  <c r="B101" i="21" s="1"/>
  <c r="I117" i="21"/>
  <c r="M117" i="21" s="1"/>
  <c r="O117" i="21" s="1"/>
  <c r="B117" i="21" s="1"/>
  <c r="I81" i="21"/>
  <c r="M81" i="21" s="1"/>
  <c r="O81" i="21" s="1"/>
  <c r="B81" i="21" s="1"/>
  <c r="B44" i="23"/>
  <c r="C44" i="23" s="1"/>
  <c r="J110" i="21"/>
  <c r="M110" i="21" s="1"/>
  <c r="O110" i="21" s="1"/>
  <c r="B110" i="21" s="1"/>
  <c r="I83" i="21"/>
  <c r="M83" i="21" s="1"/>
  <c r="O83" i="21" s="1"/>
  <c r="B83" i="21" s="1"/>
  <c r="J80" i="21"/>
  <c r="M80" i="21" s="1"/>
  <c r="O80" i="21" s="1"/>
  <c r="B80" i="21" s="1"/>
  <c r="I71" i="21"/>
  <c r="M71" i="21" s="1"/>
  <c r="O71" i="21" s="1"/>
  <c r="B71" i="21" s="1"/>
  <c r="I115" i="21"/>
  <c r="M115" i="21" s="1"/>
  <c r="O115" i="21" s="1"/>
  <c r="B115" i="21" s="1"/>
  <c r="I87" i="21"/>
  <c r="M87" i="21" s="1"/>
  <c r="O87" i="21" s="1"/>
  <c r="B87" i="21" s="1"/>
  <c r="J114" i="21"/>
  <c r="M114" i="21" s="1"/>
  <c r="O114" i="21" s="1"/>
  <c r="B114" i="21" s="1"/>
  <c r="J86" i="21"/>
  <c r="M86" i="21" s="1"/>
  <c r="O86" i="21" s="1"/>
  <c r="B86" i="21" s="1"/>
  <c r="J96" i="21"/>
  <c r="M96" i="21" s="1"/>
  <c r="O96" i="21" s="1"/>
  <c r="B96" i="21" s="1"/>
  <c r="AY15" i="21" l="1"/>
  <c r="AY39" i="21" s="1"/>
  <c r="L15" i="23"/>
  <c r="R15" i="23" s="1"/>
  <c r="R39" i="23" s="1"/>
  <c r="M39" i="23" s="1"/>
  <c r="L15" i="24"/>
  <c r="Q15" i="24" s="1"/>
  <c r="Q24" i="24" s="1"/>
  <c r="M24" i="24" s="1"/>
  <c r="O63" i="21"/>
  <c r="J134" i="21"/>
  <c r="M134" i="21" s="1"/>
  <c r="O134" i="21" s="1"/>
  <c r="BB39" i="21"/>
  <c r="HE15" i="21"/>
  <c r="HB15" i="21"/>
  <c r="FJ15" i="21"/>
  <c r="GJ15" i="21"/>
  <c r="FL15" i="21"/>
  <c r="HA15" i="21"/>
  <c r="GG15" i="21"/>
  <c r="HC15" i="21"/>
  <c r="HD15" i="21"/>
  <c r="GF15" i="21"/>
  <c r="FO15" i="21"/>
  <c r="FM15" i="21"/>
  <c r="GE15" i="21"/>
  <c r="GY15" i="21"/>
  <c r="GZ15" i="21"/>
  <c r="GH15" i="21"/>
  <c r="FI15" i="21"/>
  <c r="FN15" i="21"/>
  <c r="GK15" i="21"/>
  <c r="GI15" i="21"/>
  <c r="FK15" i="21"/>
  <c r="BI15" i="21" s="1"/>
  <c r="BD15" i="21" s="1" a="1"/>
  <c r="BD15" i="21" s="1"/>
  <c r="DX15" i="21"/>
  <c r="DW15" i="21" s="1"/>
  <c r="J15" i="20"/>
  <c r="M15" i="20" s="1"/>
  <c r="O15" i="20" s="1"/>
  <c r="M15" i="21"/>
  <c r="K15" i="21"/>
  <c r="J286" i="21" l="1"/>
  <c r="M286" i="21" s="1"/>
  <c r="O286" i="21" s="1"/>
  <c r="J175" i="21"/>
  <c r="M175" i="21" s="1"/>
  <c r="O175" i="21" s="1"/>
  <c r="J236" i="21"/>
  <c r="M236" i="21" s="1"/>
  <c r="O236" i="21" s="1"/>
  <c r="J209" i="21"/>
  <c r="M209" i="21" s="1"/>
  <c r="O209" i="21" s="1"/>
  <c r="J142" i="21"/>
  <c r="M142" i="21" s="1"/>
  <c r="O142" i="21" s="1"/>
  <c r="J143" i="21"/>
  <c r="M143" i="21" s="1"/>
  <c r="O143" i="21" s="1"/>
  <c r="J198" i="21"/>
  <c r="M198" i="21" s="1"/>
  <c r="O198" i="21" s="1"/>
  <c r="J293" i="21"/>
  <c r="M293" i="21" s="1"/>
  <c r="O293" i="21" s="1"/>
  <c r="J235" i="21"/>
  <c r="M235" i="21" s="1"/>
  <c r="O235" i="21" s="1"/>
  <c r="J328" i="21"/>
  <c r="M328" i="21" s="1"/>
  <c r="O328" i="21" s="1"/>
  <c r="J153" i="21"/>
  <c r="M153" i="21" s="1"/>
  <c r="O153" i="21" s="1"/>
  <c r="J170" i="21"/>
  <c r="M170" i="21" s="1"/>
  <c r="O170" i="21" s="1"/>
  <c r="J195" i="21"/>
  <c r="M195" i="21" s="1"/>
  <c r="O195" i="21" s="1"/>
  <c r="J243" i="21"/>
  <c r="M243" i="21" s="1"/>
  <c r="O243" i="21" s="1"/>
  <c r="J161" i="21"/>
  <c r="M161" i="21" s="1"/>
  <c r="O161" i="21" s="1"/>
  <c r="J345" i="21"/>
  <c r="M345" i="21" s="1"/>
  <c r="O345" i="21" s="1"/>
  <c r="J352" i="21"/>
  <c r="M352" i="21" s="1"/>
  <c r="O352" i="21" s="1"/>
  <c r="J361" i="21"/>
  <c r="M361" i="21" s="1"/>
  <c r="O361" i="21" s="1"/>
  <c r="J366" i="21"/>
  <c r="M366" i="21" s="1"/>
  <c r="O366" i="21" s="1"/>
  <c r="J148" i="21"/>
  <c r="M148" i="21" s="1"/>
  <c r="O148" i="21" s="1"/>
  <c r="J208" i="21"/>
  <c r="M208" i="21" s="1"/>
  <c r="O208" i="21" s="1"/>
  <c r="J342" i="21"/>
  <c r="M342" i="21" s="1"/>
  <c r="O342" i="21" s="1"/>
  <c r="J226" i="21"/>
  <c r="M226" i="21" s="1"/>
  <c r="O226" i="21" s="1"/>
  <c r="J277" i="21"/>
  <c r="M277" i="21" s="1"/>
  <c r="O277" i="21" s="1"/>
  <c r="J248" i="21"/>
  <c r="M248" i="21" s="1"/>
  <c r="O248" i="21" s="1"/>
  <c r="J257" i="21"/>
  <c r="M257" i="21" s="1"/>
  <c r="O257" i="21" s="1"/>
  <c r="J197" i="21"/>
  <c r="M197" i="21" s="1"/>
  <c r="O197" i="21" s="1"/>
  <c r="J319" i="21"/>
  <c r="M319" i="21" s="1"/>
  <c r="O319" i="21" s="1"/>
  <c r="J250" i="21"/>
  <c r="M250" i="21" s="1"/>
  <c r="O250" i="21" s="1"/>
  <c r="J334" i="21"/>
  <c r="M334" i="21" s="1"/>
  <c r="O334" i="21" s="1"/>
  <c r="J149" i="21"/>
  <c r="M149" i="21" s="1"/>
  <c r="J244" i="21"/>
  <c r="M244" i="21" s="1"/>
  <c r="O244" i="21" s="1"/>
  <c r="J264" i="21"/>
  <c r="M264" i="21" s="1"/>
  <c r="O264" i="21" s="1"/>
  <c r="J317" i="21"/>
  <c r="M317" i="21" s="1"/>
  <c r="O317" i="21" s="1"/>
  <c r="J150" i="21"/>
  <c r="M150" i="21" s="1"/>
  <c r="O150" i="21" s="1"/>
  <c r="J185" i="21"/>
  <c r="M185" i="21" s="1"/>
  <c r="O185" i="21" s="1"/>
  <c r="J274" i="21"/>
  <c r="M274" i="21" s="1"/>
  <c r="O274" i="21" s="1"/>
  <c r="J268" i="21"/>
  <c r="M268" i="21" s="1"/>
  <c r="O268" i="21" s="1"/>
  <c r="J227" i="21"/>
  <c r="M227" i="21" s="1"/>
  <c r="O227" i="21" s="1"/>
  <c r="J253" i="21"/>
  <c r="M253" i="21" s="1"/>
  <c r="O253" i="21" s="1"/>
  <c r="J184" i="21"/>
  <c r="M184" i="21" s="1"/>
  <c r="O184" i="21" s="1"/>
  <c r="J355" i="21"/>
  <c r="M355" i="21" s="1"/>
  <c r="O355" i="21" s="1"/>
  <c r="J321" i="21"/>
  <c r="M321" i="21" s="1"/>
  <c r="O321" i="21" s="1"/>
  <c r="J145" i="21"/>
  <c r="M145" i="21" s="1"/>
  <c r="O145" i="21" s="1"/>
  <c r="J178" i="21"/>
  <c r="M178" i="21" s="1"/>
  <c r="O178" i="21" s="1"/>
  <c r="J187" i="21"/>
  <c r="M187" i="21" s="1"/>
  <c r="O187" i="21" s="1"/>
  <c r="J265" i="21"/>
  <c r="M265" i="21" s="1"/>
  <c r="O265" i="21" s="1"/>
  <c r="J310" i="21"/>
  <c r="M310" i="21" s="1"/>
  <c r="O310" i="21" s="1"/>
  <c r="J309" i="21"/>
  <c r="M309" i="21" s="1"/>
  <c r="O309" i="21" s="1"/>
  <c r="J199" i="21"/>
  <c r="M199" i="21" s="1"/>
  <c r="O199" i="21" s="1"/>
  <c r="J303" i="21"/>
  <c r="M303" i="21" s="1"/>
  <c r="O303" i="21" s="1"/>
  <c r="J168" i="21"/>
  <c r="M168" i="21" s="1"/>
  <c r="O168" i="21" s="1"/>
  <c r="J211" i="21"/>
  <c r="M211" i="21" s="1"/>
  <c r="O211" i="21" s="1"/>
  <c r="J201" i="21"/>
  <c r="M201" i="21" s="1"/>
  <c r="O201" i="21" s="1"/>
  <c r="J363" i="21"/>
  <c r="M363" i="21" s="1"/>
  <c r="O363" i="21" s="1"/>
  <c r="J251" i="21"/>
  <c r="M251" i="21" s="1"/>
  <c r="O251" i="21" s="1"/>
  <c r="J258" i="21"/>
  <c r="M258" i="21" s="1"/>
  <c r="O258" i="21" s="1"/>
  <c r="J191" i="21"/>
  <c r="M191" i="21" s="1"/>
  <c r="O191" i="21" s="1"/>
  <c r="J147" i="21"/>
  <c r="M147" i="21" s="1"/>
  <c r="O147" i="21" s="1"/>
  <c r="J171" i="21"/>
  <c r="M171" i="21" s="1"/>
  <c r="O171" i="21" s="1"/>
  <c r="J313" i="21"/>
  <c r="M313" i="21" s="1"/>
  <c r="O313" i="21" s="1"/>
  <c r="J254" i="21"/>
  <c r="M254" i="21" s="1"/>
  <c r="O254" i="21" s="1"/>
  <c r="J339" i="21"/>
  <c r="M339" i="21" s="1"/>
  <c r="O339" i="21" s="1"/>
  <c r="J230" i="21"/>
  <c r="M230" i="21" s="1"/>
  <c r="O230" i="21" s="1"/>
  <c r="J312" i="21"/>
  <c r="M312" i="21" s="1"/>
  <c r="O312" i="21" s="1"/>
  <c r="J283" i="21"/>
  <c r="M283" i="21" s="1"/>
  <c r="O283" i="21" s="1"/>
  <c r="J217" i="21"/>
  <c r="M217" i="21" s="1"/>
  <c r="O217" i="21" s="1"/>
  <c r="J272" i="21"/>
  <c r="M272" i="21" s="1"/>
  <c r="O272" i="21" s="1"/>
  <c r="J212" i="21"/>
  <c r="M212" i="21" s="1"/>
  <c r="O212" i="21" s="1"/>
  <c r="J155" i="21"/>
  <c r="M155" i="21" s="1"/>
  <c r="O155" i="21" s="1"/>
  <c r="J343" i="21"/>
  <c r="M343" i="21" s="1"/>
  <c r="O343" i="21" s="1"/>
  <c r="J138" i="21"/>
  <c r="M138" i="21" s="1"/>
  <c r="O138" i="21" s="1"/>
  <c r="J357" i="21"/>
  <c r="M357" i="21" s="1"/>
  <c r="O357" i="21" s="1"/>
  <c r="J332" i="21"/>
  <c r="M332" i="21" s="1"/>
  <c r="O332" i="21" s="1"/>
  <c r="J220" i="21"/>
  <c r="M220" i="21" s="1"/>
  <c r="O220" i="21" s="1"/>
  <c r="J348" i="21"/>
  <c r="M348" i="21" s="1"/>
  <c r="O348" i="21" s="1"/>
  <c r="J271" i="21"/>
  <c r="M271" i="21" s="1"/>
  <c r="O271" i="21" s="1"/>
  <c r="J218" i="21"/>
  <c r="M218" i="21" s="1"/>
  <c r="O218" i="21" s="1"/>
  <c r="J180" i="21"/>
  <c r="M180" i="21" s="1"/>
  <c r="O180" i="21" s="1"/>
  <c r="J216" i="21"/>
  <c r="M216" i="21" s="1"/>
  <c r="O216" i="21" s="1"/>
  <c r="J337" i="21"/>
  <c r="M337" i="21" s="1"/>
  <c r="O337" i="21" s="1"/>
  <c r="J233" i="21"/>
  <c r="M233" i="21" s="1"/>
  <c r="O233" i="21" s="1"/>
  <c r="J304" i="21"/>
  <c r="M304" i="21" s="1"/>
  <c r="O304" i="21" s="1"/>
  <c r="J152" i="21"/>
  <c r="M152" i="21" s="1"/>
  <c r="O152" i="21" s="1"/>
  <c r="J242" i="21"/>
  <c r="M242" i="21" s="1"/>
  <c r="O242" i="21" s="1"/>
  <c r="J354" i="21"/>
  <c r="M354" i="21" s="1"/>
  <c r="O354" i="21" s="1"/>
  <c r="J241" i="21"/>
  <c r="M241" i="21" s="1"/>
  <c r="O241" i="21" s="1"/>
  <c r="J246" i="21"/>
  <c r="M246" i="21" s="1"/>
  <c r="O246" i="21" s="1"/>
  <c r="J169" i="21"/>
  <c r="M169" i="21" s="1"/>
  <c r="O169" i="21" s="1"/>
  <c r="J323" i="21"/>
  <c r="M323" i="21" s="1"/>
  <c r="O323" i="21" s="1"/>
  <c r="J316" i="21"/>
  <c r="M316" i="21" s="1"/>
  <c r="O316" i="21" s="1"/>
  <c r="J222" i="21"/>
  <c r="M222" i="21" s="1"/>
  <c r="O222" i="21" s="1"/>
  <c r="J151" i="21"/>
  <c r="M151" i="21" s="1"/>
  <c r="O151" i="21" s="1"/>
  <c r="J322" i="21"/>
  <c r="M322" i="21" s="1"/>
  <c r="O322" i="21" s="1"/>
  <c r="J157" i="21"/>
  <c r="M157" i="21" s="1"/>
  <c r="O157" i="21" s="1"/>
  <c r="J344" i="21"/>
  <c r="M344" i="21" s="1"/>
  <c r="O344" i="21" s="1"/>
  <c r="J320" i="21"/>
  <c r="M320" i="21" s="1"/>
  <c r="O320" i="21" s="1"/>
  <c r="J162" i="21"/>
  <c r="M162" i="21" s="1"/>
  <c r="O162" i="21" s="1"/>
  <c r="J281" i="21"/>
  <c r="M281" i="21" s="1"/>
  <c r="O281" i="21" s="1"/>
  <c r="J141" i="21"/>
  <c r="M141" i="21" s="1"/>
  <c r="O141" i="21" s="1"/>
  <c r="J240" i="21"/>
  <c r="M240" i="21" s="1"/>
  <c r="O240" i="21" s="1"/>
  <c r="J164" i="21"/>
  <c r="M164" i="21" s="1"/>
  <c r="O164" i="21" s="1"/>
  <c r="J231" i="21"/>
  <c r="M231" i="21" s="1"/>
  <c r="O231" i="21" s="1"/>
  <c r="J194" i="21"/>
  <c r="M194" i="21" s="1"/>
  <c r="O194" i="21" s="1"/>
  <c r="J247" i="21"/>
  <c r="M247" i="21" s="1"/>
  <c r="O247" i="21" s="1"/>
  <c r="J347" i="21"/>
  <c r="M347" i="21" s="1"/>
  <c r="O347" i="21" s="1"/>
  <c r="J245" i="21"/>
  <c r="M245" i="21" s="1"/>
  <c r="O245" i="21" s="1"/>
  <c r="J146" i="21"/>
  <c r="M146" i="21" s="1"/>
  <c r="O146" i="21" s="1"/>
  <c r="J331" i="21"/>
  <c r="M331" i="21" s="1"/>
  <c r="O331" i="21" s="1"/>
  <c r="J221" i="21"/>
  <c r="M221" i="21" s="1"/>
  <c r="O221" i="21" s="1"/>
  <c r="J269" i="21"/>
  <c r="M269" i="21" s="1"/>
  <c r="O269" i="21" s="1"/>
  <c r="J362" i="21"/>
  <c r="M362" i="21" s="1"/>
  <c r="O362" i="21" s="1"/>
  <c r="J318" i="21"/>
  <c r="M318" i="21" s="1"/>
  <c r="O318" i="21" s="1"/>
  <c r="J300" i="21"/>
  <c r="M300" i="21" s="1"/>
  <c r="O300" i="21" s="1"/>
  <c r="J202" i="21"/>
  <c r="M202" i="21" s="1"/>
  <c r="O202" i="21" s="1"/>
  <c r="J305" i="21"/>
  <c r="M305" i="21" s="1"/>
  <c r="O305" i="21" s="1"/>
  <c r="J287" i="21"/>
  <c r="M287" i="21" s="1"/>
  <c r="O287" i="21" s="1"/>
  <c r="J276" i="21"/>
  <c r="M276" i="21" s="1"/>
  <c r="O276" i="21" s="1"/>
  <c r="J234" i="21"/>
  <c r="M234" i="21" s="1"/>
  <c r="O234" i="21" s="1"/>
  <c r="J302" i="21"/>
  <c r="M302" i="21" s="1"/>
  <c r="O302" i="21" s="1"/>
  <c r="J285" i="21"/>
  <c r="M285" i="21" s="1"/>
  <c r="O285" i="21" s="1"/>
  <c r="J183" i="21"/>
  <c r="M183" i="21" s="1"/>
  <c r="O183" i="21" s="1"/>
  <c r="J224" i="21"/>
  <c r="M224" i="21" s="1"/>
  <c r="O224" i="21" s="1"/>
  <c r="J256" i="21"/>
  <c r="M256" i="21" s="1"/>
  <c r="O256" i="21" s="1"/>
  <c r="J252" i="21"/>
  <c r="M252" i="21" s="1"/>
  <c r="O252" i="21" s="1"/>
  <c r="J186" i="21"/>
  <c r="M186" i="21" s="1"/>
  <c r="O186" i="21" s="1"/>
  <c r="J273" i="21"/>
  <c r="M273" i="21" s="1"/>
  <c r="O273" i="21" s="1"/>
  <c r="J200" i="21"/>
  <c r="M200" i="21" s="1"/>
  <c r="O200" i="21" s="1"/>
  <c r="J181" i="21"/>
  <c r="M181" i="21" s="1"/>
  <c r="O181" i="21" s="1"/>
  <c r="J232" i="21"/>
  <c r="M232" i="21" s="1"/>
  <c r="O232" i="21" s="1"/>
  <c r="J207" i="21"/>
  <c r="M207" i="21" s="1"/>
  <c r="O207" i="21" s="1"/>
  <c r="J289" i="21"/>
  <c r="M289" i="21" s="1"/>
  <c r="O289" i="21" s="1"/>
  <c r="J275" i="21"/>
  <c r="M275" i="21" s="1"/>
  <c r="O275" i="21" s="1"/>
  <c r="J335" i="21"/>
  <c r="M335" i="21" s="1"/>
  <c r="O335" i="21" s="1"/>
  <c r="J306" i="21"/>
  <c r="M306" i="21" s="1"/>
  <c r="O306" i="21" s="1"/>
  <c r="J360" i="21"/>
  <c r="M360" i="21" s="1"/>
  <c r="O360" i="21" s="1"/>
  <c r="J140" i="21"/>
  <c r="M140" i="21" s="1"/>
  <c r="O140" i="21" s="1"/>
  <c r="J225" i="21"/>
  <c r="M225" i="21" s="1"/>
  <c r="O225" i="21" s="1"/>
  <c r="J204" i="21"/>
  <c r="M204" i="21" s="1"/>
  <c r="O204" i="21" s="1"/>
  <c r="J144" i="21"/>
  <c r="M144" i="21" s="1"/>
  <c r="O144" i="21" s="1"/>
  <c r="J163" i="21"/>
  <c r="M163" i="21" s="1"/>
  <c r="O163" i="21" s="1"/>
  <c r="J292" i="21"/>
  <c r="M292" i="21" s="1"/>
  <c r="O292" i="21" s="1"/>
  <c r="J173" i="21"/>
  <c r="M173" i="21" s="1"/>
  <c r="O173" i="21" s="1"/>
  <c r="J315" i="21"/>
  <c r="M315" i="21" s="1"/>
  <c r="O315" i="21" s="1"/>
  <c r="J263" i="21"/>
  <c r="M263" i="21" s="1"/>
  <c r="O263" i="21" s="1"/>
  <c r="J228" i="21"/>
  <c r="M228" i="21" s="1"/>
  <c r="O228" i="21" s="1"/>
  <c r="J351" i="21"/>
  <c r="M351" i="21" s="1"/>
  <c r="O351" i="21" s="1"/>
  <c r="J249" i="21"/>
  <c r="M249" i="21" s="1"/>
  <c r="O249" i="21" s="1"/>
  <c r="J179" i="21"/>
  <c r="M179" i="21" s="1"/>
  <c r="O179" i="21" s="1"/>
  <c r="J325" i="21"/>
  <c r="M325" i="21" s="1"/>
  <c r="O325" i="21" s="1"/>
  <c r="J203" i="21"/>
  <c r="M203" i="21" s="1"/>
  <c r="O203" i="21" s="1"/>
  <c r="J365" i="21"/>
  <c r="M365" i="21" s="1"/>
  <c r="O365" i="21" s="1"/>
  <c r="J301" i="21"/>
  <c r="M301" i="21" s="1"/>
  <c r="O301" i="21" s="1"/>
  <c r="J346" i="21"/>
  <c r="M346" i="21" s="1"/>
  <c r="O346" i="21" s="1"/>
  <c r="J238" i="21"/>
  <c r="M238" i="21" s="1"/>
  <c r="O238" i="21" s="1"/>
  <c r="J278" i="21"/>
  <c r="M278" i="21" s="1"/>
  <c r="O278" i="21" s="1"/>
  <c r="J262" i="21"/>
  <c r="M262" i="21" s="1"/>
  <c r="O262" i="21" s="1"/>
  <c r="J368" i="21"/>
  <c r="M368" i="21" s="1"/>
  <c r="O368" i="21" s="1"/>
  <c r="J158" i="21"/>
  <c r="M158" i="21" s="1"/>
  <c r="O158" i="21" s="1"/>
  <c r="J219" i="21"/>
  <c r="M219" i="21" s="1"/>
  <c r="O219" i="21" s="1"/>
  <c r="J295" i="21"/>
  <c r="M295" i="21" s="1"/>
  <c r="O295" i="21" s="1"/>
  <c r="J341" i="21"/>
  <c r="M341" i="21" s="1"/>
  <c r="O341" i="21" s="1"/>
  <c r="J356" i="21"/>
  <c r="M356" i="21" s="1"/>
  <c r="O356" i="21" s="1"/>
  <c r="J223" i="21"/>
  <c r="M223" i="21" s="1"/>
  <c r="O223" i="21" s="1"/>
  <c r="J340" i="21"/>
  <c r="M340" i="21" s="1"/>
  <c r="O340" i="21" s="1"/>
  <c r="J358" i="21"/>
  <c r="M358" i="21" s="1"/>
  <c r="O358" i="21" s="1"/>
  <c r="J214" i="21"/>
  <c r="M214" i="21" s="1"/>
  <c r="O214" i="21" s="1"/>
  <c r="J353" i="21"/>
  <c r="M353" i="21" s="1"/>
  <c r="O353" i="21" s="1"/>
  <c r="J196" i="21"/>
  <c r="M196" i="21" s="1"/>
  <c r="O196" i="21" s="1"/>
  <c r="J280" i="21"/>
  <c r="M280" i="21" s="1"/>
  <c r="O280" i="21" s="1"/>
  <c r="J205" i="21"/>
  <c r="M205" i="21" s="1"/>
  <c r="O205" i="21" s="1"/>
  <c r="J350" i="21"/>
  <c r="M350" i="21" s="1"/>
  <c r="O350" i="21" s="1"/>
  <c r="J299" i="21"/>
  <c r="M299" i="21" s="1"/>
  <c r="O299" i="21" s="1"/>
  <c r="J298" i="21"/>
  <c r="M298" i="21" s="1"/>
  <c r="O298" i="21" s="1"/>
  <c r="J182" i="21"/>
  <c r="M182" i="21" s="1"/>
  <c r="O182" i="21" s="1"/>
  <c r="J213" i="21"/>
  <c r="M213" i="21" s="1"/>
  <c r="O213" i="21" s="1"/>
  <c r="J267" i="21"/>
  <c r="M267" i="21" s="1"/>
  <c r="O267" i="21" s="1"/>
  <c r="J338" i="21"/>
  <c r="M338" i="21" s="1"/>
  <c r="O338" i="21" s="1"/>
  <c r="J189" i="21"/>
  <c r="M189" i="21" s="1"/>
  <c r="O189" i="21" s="1"/>
  <c r="J159" i="21"/>
  <c r="M159" i="21" s="1"/>
  <c r="O159" i="21" s="1"/>
  <c r="J176" i="21"/>
  <c r="M176" i="21" s="1"/>
  <c r="O176" i="21" s="1"/>
  <c r="J367" i="21"/>
  <c r="M367" i="21" s="1"/>
  <c r="O367" i="21" s="1"/>
  <c r="J261" i="21"/>
  <c r="M261" i="21" s="1"/>
  <c r="O261" i="21" s="1"/>
  <c r="J160" i="21"/>
  <c r="M160" i="21" s="1"/>
  <c r="O160" i="21" s="1"/>
  <c r="J359" i="21"/>
  <c r="M359" i="21" s="1"/>
  <c r="O359" i="21" s="1"/>
  <c r="J333" i="21"/>
  <c r="M333" i="21" s="1"/>
  <c r="O333" i="21" s="1"/>
  <c r="J314" i="21"/>
  <c r="M314" i="21" s="1"/>
  <c r="O314" i="21" s="1"/>
  <c r="J308" i="21"/>
  <c r="M308" i="21" s="1"/>
  <c r="O308" i="21" s="1"/>
  <c r="J166" i="21"/>
  <c r="M166" i="21" s="1"/>
  <c r="O166" i="21" s="1"/>
  <c r="J284" i="21"/>
  <c r="M284" i="21" s="1"/>
  <c r="O284" i="21" s="1"/>
  <c r="J172" i="21"/>
  <c r="M172" i="21" s="1"/>
  <c r="O172" i="21" s="1"/>
  <c r="J210" i="21"/>
  <c r="M210" i="21" s="1"/>
  <c r="O210" i="21" s="1"/>
  <c r="J260" i="21"/>
  <c r="M260" i="21" s="1"/>
  <c r="O260" i="21" s="1"/>
  <c r="J192" i="21"/>
  <c r="M192" i="21" s="1"/>
  <c r="O192" i="21" s="1"/>
  <c r="J177" i="21"/>
  <c r="M177" i="21" s="1"/>
  <c r="O177" i="21" s="1"/>
  <c r="J154" i="21"/>
  <c r="M154" i="21" s="1"/>
  <c r="O154" i="21" s="1"/>
  <c r="J279" i="21"/>
  <c r="M279" i="21" s="1"/>
  <c r="O279" i="21" s="1"/>
  <c r="J239" i="21"/>
  <c r="M239" i="21" s="1"/>
  <c r="O239" i="21" s="1"/>
  <c r="J290" i="21"/>
  <c r="M290" i="21" s="1"/>
  <c r="O290" i="21" s="1"/>
  <c r="J336" i="21"/>
  <c r="M336" i="21" s="1"/>
  <c r="O336" i="21" s="1"/>
  <c r="J229" i="21"/>
  <c r="M229" i="21" s="1"/>
  <c r="O229" i="21" s="1"/>
  <c r="J270" i="21"/>
  <c r="M270" i="21" s="1"/>
  <c r="O270" i="21" s="1"/>
  <c r="J190" i="21"/>
  <c r="M190" i="21" s="1"/>
  <c r="O190" i="21" s="1"/>
  <c r="J206" i="21"/>
  <c r="M206" i="21" s="1"/>
  <c r="O206" i="21" s="1"/>
  <c r="J330" i="21"/>
  <c r="M330" i="21" s="1"/>
  <c r="O330" i="21" s="1"/>
  <c r="J307" i="21"/>
  <c r="M307" i="21" s="1"/>
  <c r="O307" i="21" s="1"/>
  <c r="J266" i="21"/>
  <c r="M266" i="21" s="1"/>
  <c r="O266" i="21" s="1"/>
  <c r="J349" i="21"/>
  <c r="M349" i="21" s="1"/>
  <c r="O349" i="21" s="1"/>
  <c r="J156" i="21"/>
  <c r="M156" i="21" s="1"/>
  <c r="O156" i="21" s="1"/>
  <c r="J297" i="21"/>
  <c r="M297" i="21" s="1"/>
  <c r="O297" i="21" s="1"/>
  <c r="AV15" i="21"/>
  <c r="J327" i="21"/>
  <c r="M327" i="21" s="1"/>
  <c r="O327" i="21" s="1"/>
  <c r="J364" i="21"/>
  <c r="M364" i="21" s="1"/>
  <c r="O364" i="21" s="1"/>
  <c r="J296" i="21"/>
  <c r="M296" i="21" s="1"/>
  <c r="O296" i="21" s="1"/>
  <c r="J288" i="21"/>
  <c r="M288" i="21" s="1"/>
  <c r="O288" i="21" s="1"/>
  <c r="J237" i="21"/>
  <c r="M237" i="21" s="1"/>
  <c r="O237" i="21" s="1"/>
  <c r="J174" i="21"/>
  <c r="M174" i="21" s="1"/>
  <c r="O174" i="21" s="1"/>
  <c r="J255" i="21"/>
  <c r="M255" i="21" s="1"/>
  <c r="O255" i="21" s="1"/>
  <c r="J282" i="21"/>
  <c r="M282" i="21" s="1"/>
  <c r="O282" i="21" s="1"/>
  <c r="J294" i="21"/>
  <c r="M294" i="21" s="1"/>
  <c r="O294" i="21" s="1"/>
  <c r="J259" i="21"/>
  <c r="M259" i="21" s="1"/>
  <c r="O259" i="21" s="1"/>
  <c r="J215" i="21"/>
  <c r="M215" i="21" s="1"/>
  <c r="O215" i="21" s="1"/>
  <c r="J167" i="21"/>
  <c r="M167" i="21" s="1"/>
  <c r="O167" i="21" s="1"/>
  <c r="J326" i="21"/>
  <c r="M326" i="21" s="1"/>
  <c r="O326" i="21" s="1"/>
  <c r="J139" i="21"/>
  <c r="M139" i="21" s="1"/>
  <c r="O139" i="21" s="1"/>
  <c r="J188" i="21"/>
  <c r="M188" i="21" s="1"/>
  <c r="O188" i="21" s="1"/>
  <c r="J193" i="21"/>
  <c r="M193" i="21" s="1"/>
  <c r="O193" i="21" s="1"/>
  <c r="J329" i="21"/>
  <c r="M329" i="21" s="1"/>
  <c r="O329" i="21" s="1"/>
  <c r="J165" i="21"/>
  <c r="M165" i="21" s="1"/>
  <c r="O165" i="21" s="1"/>
  <c r="J311" i="21"/>
  <c r="M311" i="21" s="1"/>
  <c r="O311" i="21" s="1"/>
  <c r="J291" i="21"/>
  <c r="M291" i="21" s="1"/>
  <c r="O291" i="21" s="1"/>
  <c r="N15" i="21"/>
  <c r="K39" i="21"/>
  <c r="AA39" i="21" s="1"/>
  <c r="N68" i="23"/>
  <c r="N38" i="24"/>
  <c r="B63" i="21"/>
  <c r="IG15" i="21" l="1"/>
  <c r="IG40" i="21" s="1"/>
  <c r="J389" i="21" s="1"/>
  <c r="M389" i="21" s="1"/>
  <c r="O389" i="21" s="1"/>
  <c r="A389" i="21" s="1"/>
  <c r="F44" i="23"/>
  <c r="B282" i="21"/>
  <c r="A282" i="21"/>
  <c r="A188" i="21"/>
  <c r="B188" i="21"/>
  <c r="H15" i="24"/>
  <c r="H24" i="24" s="1"/>
  <c r="H15" i="23"/>
  <c r="H39" i="23" s="1"/>
  <c r="B329" i="21"/>
  <c r="A329" i="21"/>
  <c r="A326" i="21"/>
  <c r="B326" i="21"/>
  <c r="A294" i="21"/>
  <c r="A237" i="21"/>
  <c r="B237" i="21"/>
  <c r="B327" i="21"/>
  <c r="A327" i="21"/>
  <c r="A349" i="21"/>
  <c r="B349" i="21"/>
  <c r="A206" i="21"/>
  <c r="B206" i="21"/>
  <c r="B336" i="21"/>
  <c r="A336" i="21"/>
  <c r="A154" i="21"/>
  <c r="B154" i="21"/>
  <c r="B210" i="21"/>
  <c r="A210" i="21"/>
  <c r="A308" i="21"/>
  <c r="B308" i="21"/>
  <c r="A160" i="21"/>
  <c r="B160" i="21"/>
  <c r="B159" i="21"/>
  <c r="A159" i="21"/>
  <c r="A213" i="21"/>
  <c r="B213" i="21"/>
  <c r="A350" i="21"/>
  <c r="B350" i="21"/>
  <c r="B353" i="21"/>
  <c r="A353" i="21"/>
  <c r="A223" i="21"/>
  <c r="B223" i="21"/>
  <c r="A219" i="21"/>
  <c r="B219" i="21"/>
  <c r="B278" i="21"/>
  <c r="A278" i="21"/>
  <c r="A365" i="21"/>
  <c r="B365" i="21"/>
  <c r="B249" i="21"/>
  <c r="A249" i="21"/>
  <c r="B315" i="21"/>
  <c r="A315" i="21"/>
  <c r="B144" i="21"/>
  <c r="A144" i="21"/>
  <c r="A360" i="21"/>
  <c r="B360" i="21"/>
  <c r="A289" i="21"/>
  <c r="B289" i="21"/>
  <c r="A200" i="21"/>
  <c r="B200" i="21"/>
  <c r="A256" i="21"/>
  <c r="B256" i="21"/>
  <c r="B302" i="21"/>
  <c r="A302" i="21"/>
  <c r="A305" i="21"/>
  <c r="B305" i="21"/>
  <c r="B362" i="21"/>
  <c r="A362" i="21"/>
  <c r="B146" i="21"/>
  <c r="A146" i="21"/>
  <c r="B194" i="21"/>
  <c r="A194" i="21"/>
  <c r="A141" i="21"/>
  <c r="B141" i="21"/>
  <c r="A344" i="21"/>
  <c r="B344" i="21"/>
  <c r="A222" i="21"/>
  <c r="B222" i="21"/>
  <c r="A246" i="21"/>
  <c r="B246" i="21"/>
  <c r="B152" i="21"/>
  <c r="A152" i="21"/>
  <c r="A216" i="21"/>
  <c r="B216" i="21"/>
  <c r="A348" i="21"/>
  <c r="B348" i="21"/>
  <c r="A138" i="21"/>
  <c r="A272" i="21"/>
  <c r="B272" i="21"/>
  <c r="B230" i="21"/>
  <c r="A230" i="21"/>
  <c r="B171" i="21"/>
  <c r="A171" i="21"/>
  <c r="A251" i="21"/>
  <c r="B251" i="21"/>
  <c r="A168" i="21"/>
  <c r="B168" i="21"/>
  <c r="A310" i="21"/>
  <c r="B310" i="21"/>
  <c r="A145" i="21"/>
  <c r="B145" i="21"/>
  <c r="A253" i="21"/>
  <c r="B253" i="21"/>
  <c r="B185" i="21"/>
  <c r="A185" i="21"/>
  <c r="A244" i="21"/>
  <c r="B244" i="21"/>
  <c r="A319" i="21"/>
  <c r="B319" i="21"/>
  <c r="A277" i="21"/>
  <c r="B277" i="21"/>
  <c r="B148" i="21"/>
  <c r="A148" i="21"/>
  <c r="B345" i="21"/>
  <c r="A345" i="21"/>
  <c r="A170" i="21"/>
  <c r="B170" i="21"/>
  <c r="A293" i="21"/>
  <c r="B293" i="21"/>
  <c r="B209" i="21"/>
  <c r="A209" i="21"/>
  <c r="B288" i="21"/>
  <c r="A288" i="21"/>
  <c r="I123" i="21"/>
  <c r="M123" i="21" s="1"/>
  <c r="I127" i="21"/>
  <c r="M127" i="21" s="1"/>
  <c r="O127" i="21" s="1"/>
  <c r="F29" i="24"/>
  <c r="IH15" i="21"/>
  <c r="IH40" i="21" s="1"/>
  <c r="J390" i="21" s="1"/>
  <c r="M390" i="21" s="1"/>
  <c r="O390" i="21" s="1"/>
  <c r="H15" i="21"/>
  <c r="Q15" i="29" s="1"/>
  <c r="Q39" i="29" s="1"/>
  <c r="J132" i="21"/>
  <c r="M132" i="21" s="1"/>
  <c r="O132" i="21" s="1"/>
  <c r="B132" i="21" s="1"/>
  <c r="BL15" i="21"/>
  <c r="I131" i="21"/>
  <c r="M131" i="21" s="1"/>
  <c r="O131" i="21" s="1"/>
  <c r="B131" i="21" s="1"/>
  <c r="B266" i="21"/>
  <c r="A266" i="21"/>
  <c r="B190" i="21"/>
  <c r="A190" i="21"/>
  <c r="B290" i="21"/>
  <c r="A290" i="21"/>
  <c r="A177" i="21"/>
  <c r="B177" i="21"/>
  <c r="A172" i="21"/>
  <c r="B172" i="21"/>
  <c r="B314" i="21"/>
  <c r="A314" i="21"/>
  <c r="A261" i="21"/>
  <c r="B261" i="21"/>
  <c r="B189" i="21"/>
  <c r="A189" i="21"/>
  <c r="B182" i="21"/>
  <c r="A182" i="21"/>
  <c r="A205" i="21"/>
  <c r="B205" i="21"/>
  <c r="B214" i="21"/>
  <c r="A214" i="21"/>
  <c r="B356" i="21"/>
  <c r="A356" i="21"/>
  <c r="B158" i="21"/>
  <c r="A158" i="21"/>
  <c r="B238" i="21"/>
  <c r="A238" i="21"/>
  <c r="B203" i="21"/>
  <c r="A203" i="21"/>
  <c r="B351" i="21"/>
  <c r="A351" i="21"/>
  <c r="A173" i="21"/>
  <c r="B173" i="21"/>
  <c r="A204" i="21"/>
  <c r="B204" i="21"/>
  <c r="B306" i="21"/>
  <c r="A306" i="21"/>
  <c r="A207" i="21"/>
  <c r="B207" i="21"/>
  <c r="A273" i="21"/>
  <c r="B273" i="21"/>
  <c r="A224" i="21"/>
  <c r="B224" i="21"/>
  <c r="A234" i="21"/>
  <c r="B234" i="21"/>
  <c r="A202" i="21"/>
  <c r="B202" i="21"/>
  <c r="B269" i="21"/>
  <c r="A269" i="21"/>
  <c r="A245" i="21"/>
  <c r="B245" i="21"/>
  <c r="A231" i="21"/>
  <c r="B231" i="21"/>
  <c r="B281" i="21"/>
  <c r="A281" i="21"/>
  <c r="B157" i="21"/>
  <c r="A157" i="21"/>
  <c r="A316" i="21"/>
  <c r="B316" i="21"/>
  <c r="B241" i="21"/>
  <c r="A241" i="21"/>
  <c r="B304" i="21"/>
  <c r="A304" i="21"/>
  <c r="A180" i="21"/>
  <c r="B180" i="21"/>
  <c r="B220" i="21"/>
  <c r="A220" i="21"/>
  <c r="B343" i="21"/>
  <c r="A343" i="21"/>
  <c r="A339" i="21"/>
  <c r="B339" i="21"/>
  <c r="A147" i="21"/>
  <c r="B147" i="21"/>
  <c r="A363" i="21"/>
  <c r="B363" i="21"/>
  <c r="A303" i="21"/>
  <c r="B303" i="21"/>
  <c r="B265" i="21"/>
  <c r="A265" i="21"/>
  <c r="A321" i="21"/>
  <c r="B321" i="21"/>
  <c r="A227" i="21"/>
  <c r="B227" i="21"/>
  <c r="B150" i="21"/>
  <c r="A150" i="21"/>
  <c r="R45" i="21"/>
  <c r="O149" i="21"/>
  <c r="A217" i="21" s="1"/>
  <c r="D99" i="20"/>
  <c r="A197" i="21"/>
  <c r="B197" i="21"/>
  <c r="A226" i="21"/>
  <c r="B226" i="21"/>
  <c r="A366" i="21"/>
  <c r="B366" i="21"/>
  <c r="A161" i="21"/>
  <c r="B153" i="21"/>
  <c r="A153" i="21"/>
  <c r="B198" i="21"/>
  <c r="A198" i="21"/>
  <c r="A236" i="21"/>
  <c r="B236" i="21"/>
  <c r="B193" i="21"/>
  <c r="A193" i="21"/>
  <c r="B255" i="21"/>
  <c r="A255" i="21"/>
  <c r="A296" i="21"/>
  <c r="B296" i="21"/>
  <c r="B307" i="21"/>
  <c r="A307" i="21"/>
  <c r="B270" i="21"/>
  <c r="A270" i="21"/>
  <c r="B239" i="21"/>
  <c r="A239" i="21"/>
  <c r="A192" i="21"/>
  <c r="B192" i="21"/>
  <c r="B284" i="21"/>
  <c r="A284" i="21"/>
  <c r="B333" i="21"/>
  <c r="A333" i="21"/>
  <c r="A367" i="21"/>
  <c r="B367" i="21"/>
  <c r="A338" i="21"/>
  <c r="B338" i="21"/>
  <c r="A298" i="21"/>
  <c r="B298" i="21"/>
  <c r="B280" i="21"/>
  <c r="A280" i="21"/>
  <c r="A358" i="21"/>
  <c r="B358" i="21"/>
  <c r="B341" i="21"/>
  <c r="A341" i="21"/>
  <c r="A368" i="21"/>
  <c r="B368" i="21"/>
  <c r="B346" i="21"/>
  <c r="A346" i="21"/>
  <c r="B325" i="21"/>
  <c r="A325" i="21"/>
  <c r="A228" i="21"/>
  <c r="B228" i="21"/>
  <c r="B292" i="21"/>
  <c r="A292" i="21"/>
  <c r="A225" i="21"/>
  <c r="B225" i="21"/>
  <c r="B335" i="21"/>
  <c r="A335" i="21"/>
  <c r="A232" i="21"/>
  <c r="B232" i="21"/>
  <c r="B186" i="21"/>
  <c r="A186" i="21"/>
  <c r="A183" i="21"/>
  <c r="B183" i="21"/>
  <c r="B276" i="21"/>
  <c r="A276" i="21"/>
  <c r="B300" i="21"/>
  <c r="A300" i="21"/>
  <c r="B221" i="21"/>
  <c r="A221" i="21"/>
  <c r="B347" i="21"/>
  <c r="A347" i="21"/>
  <c r="B164" i="21"/>
  <c r="A164" i="21"/>
  <c r="B162" i="21"/>
  <c r="A162" i="21"/>
  <c r="A322" i="21"/>
  <c r="B322" i="21"/>
  <c r="B323" i="21"/>
  <c r="A323" i="21"/>
  <c r="A354" i="21"/>
  <c r="B354" i="21"/>
  <c r="B233" i="21"/>
  <c r="A233" i="21"/>
  <c r="A218" i="21"/>
  <c r="B218" i="21"/>
  <c r="A332" i="21"/>
  <c r="B332" i="21"/>
  <c r="A155" i="21"/>
  <c r="B155" i="21"/>
  <c r="A283" i="21"/>
  <c r="B283" i="21"/>
  <c r="A254" i="21"/>
  <c r="B254" i="21"/>
  <c r="A191" i="21"/>
  <c r="B191" i="21"/>
  <c r="A201" i="21"/>
  <c r="B201" i="21"/>
  <c r="A199" i="21"/>
  <c r="B199" i="21"/>
  <c r="A187" i="21"/>
  <c r="B187" i="21"/>
  <c r="A355" i="21"/>
  <c r="B355" i="21"/>
  <c r="A268" i="21"/>
  <c r="B268" i="21"/>
  <c r="A317" i="21"/>
  <c r="B317" i="21"/>
  <c r="B334" i="21"/>
  <c r="A334" i="21"/>
  <c r="A257" i="21"/>
  <c r="B257" i="21"/>
  <c r="A342" i="21"/>
  <c r="B342" i="21"/>
  <c r="B361" i="21"/>
  <c r="A361" i="21"/>
  <c r="B243" i="21"/>
  <c r="A243" i="21"/>
  <c r="B328" i="21"/>
  <c r="A328" i="21"/>
  <c r="B143" i="21"/>
  <c r="A143" i="21"/>
  <c r="A175" i="21"/>
  <c r="B175" i="21"/>
  <c r="B291" i="21"/>
  <c r="A291" i="21"/>
  <c r="B167" i="21"/>
  <c r="A167" i="21"/>
  <c r="B311" i="21"/>
  <c r="A311" i="21"/>
  <c r="B215" i="21"/>
  <c r="A215" i="21"/>
  <c r="B297" i="21"/>
  <c r="A297" i="21"/>
  <c r="B165" i="21"/>
  <c r="A165" i="21"/>
  <c r="A139" i="21"/>
  <c r="B139" i="21"/>
  <c r="A259" i="21"/>
  <c r="B259" i="21"/>
  <c r="A174" i="21"/>
  <c r="B174" i="21"/>
  <c r="B364" i="21"/>
  <c r="A364" i="21"/>
  <c r="A156" i="21"/>
  <c r="B156" i="21"/>
  <c r="B330" i="21"/>
  <c r="A330" i="21"/>
  <c r="A229" i="21"/>
  <c r="B229" i="21"/>
  <c r="B279" i="21"/>
  <c r="A279" i="21"/>
  <c r="B260" i="21"/>
  <c r="A260" i="21"/>
  <c r="A166" i="21"/>
  <c r="B166" i="21"/>
  <c r="A359" i="21"/>
  <c r="B359" i="21"/>
  <c r="A176" i="21"/>
  <c r="B176" i="21"/>
  <c r="A267" i="21"/>
  <c r="B267" i="21"/>
  <c r="B299" i="21"/>
  <c r="A299" i="21"/>
  <c r="A196" i="21"/>
  <c r="B196" i="21"/>
  <c r="B340" i="21"/>
  <c r="A340" i="21"/>
  <c r="B295" i="21"/>
  <c r="A295" i="21"/>
  <c r="B262" i="21"/>
  <c r="A262" i="21"/>
  <c r="B301" i="21"/>
  <c r="A301" i="21"/>
  <c r="B179" i="21"/>
  <c r="A179" i="21"/>
  <c r="A263" i="21"/>
  <c r="B263" i="21"/>
  <c r="B163" i="21"/>
  <c r="A163" i="21"/>
  <c r="A140" i="21"/>
  <c r="B275" i="21"/>
  <c r="A275" i="21"/>
  <c r="A181" i="21"/>
  <c r="B181" i="21"/>
  <c r="B252" i="21"/>
  <c r="A252" i="21"/>
  <c r="B285" i="21"/>
  <c r="A285" i="21"/>
  <c r="B287" i="21"/>
  <c r="A287" i="21"/>
  <c r="A318" i="21"/>
  <c r="B318" i="21"/>
  <c r="B331" i="21"/>
  <c r="A331" i="21"/>
  <c r="B247" i="21"/>
  <c r="A247" i="21"/>
  <c r="B240" i="21"/>
  <c r="A240" i="21"/>
  <c r="A320" i="21"/>
  <c r="B320" i="21"/>
  <c r="B151" i="21"/>
  <c r="A151" i="21"/>
  <c r="A169" i="21"/>
  <c r="B169" i="21"/>
  <c r="B242" i="21"/>
  <c r="A242" i="21"/>
  <c r="B337" i="21"/>
  <c r="A337" i="21"/>
  <c r="B271" i="21"/>
  <c r="A271" i="21"/>
  <c r="B357" i="21"/>
  <c r="A357" i="21"/>
  <c r="A212" i="21"/>
  <c r="B212" i="21"/>
  <c r="B312" i="21"/>
  <c r="A312" i="21"/>
  <c r="B313" i="21"/>
  <c r="A313" i="21"/>
  <c r="B258" i="21"/>
  <c r="A258" i="21"/>
  <c r="A211" i="21"/>
  <c r="B211" i="21"/>
  <c r="B309" i="21"/>
  <c r="A309" i="21"/>
  <c r="A178" i="21"/>
  <c r="B178" i="21"/>
  <c r="B184" i="21"/>
  <c r="A184" i="21"/>
  <c r="A274" i="21"/>
  <c r="B274" i="21"/>
  <c r="A264" i="21"/>
  <c r="B264" i="21"/>
  <c r="B250" i="21"/>
  <c r="A250" i="21"/>
  <c r="A248" i="21"/>
  <c r="B248" i="21"/>
  <c r="A208" i="21"/>
  <c r="B208" i="21"/>
  <c r="B352" i="21"/>
  <c r="A352" i="21"/>
  <c r="B195" i="21"/>
  <c r="A195" i="21"/>
  <c r="B235" i="21"/>
  <c r="A235" i="21"/>
  <c r="B142" i="21"/>
  <c r="A142" i="21"/>
  <c r="B286" i="21"/>
  <c r="A286" i="21"/>
  <c r="I15" i="20" l="1"/>
  <c r="F15" i="23"/>
  <c r="Q15" i="23" s="1"/>
  <c r="Q39" i="23" s="1"/>
  <c r="F15" i="24"/>
  <c r="P15" i="24" s="1"/>
  <c r="P24" i="24" s="1"/>
  <c r="O123" i="21"/>
  <c r="M42" i="24"/>
  <c r="J45" i="24"/>
  <c r="N42" i="24"/>
  <c r="J46" i="24"/>
  <c r="J43" i="24"/>
  <c r="N43" i="24"/>
  <c r="M48" i="24"/>
  <c r="M45" i="24"/>
  <c r="N47" i="24"/>
  <c r="J47" i="24"/>
  <c r="M44" i="24"/>
  <c r="M47" i="24"/>
  <c r="M43" i="24"/>
  <c r="N46" i="24"/>
  <c r="M46" i="24"/>
  <c r="N48" i="24"/>
  <c r="J44" i="24"/>
  <c r="N44" i="24"/>
  <c r="J42" i="24"/>
  <c r="N45" i="24"/>
  <c r="J48" i="24"/>
  <c r="K29" i="24"/>
  <c r="K38" i="24" s="1"/>
  <c r="J125" i="21"/>
  <c r="M125" i="21" s="1"/>
  <c r="O125" i="21" s="1"/>
  <c r="K44" i="23"/>
  <c r="K68" i="23" s="1"/>
  <c r="J124" i="21"/>
  <c r="M124" i="21" s="1"/>
  <c r="O124" i="21" s="1"/>
  <c r="L29" i="24"/>
  <c r="L38" i="24" s="1"/>
  <c r="J29" i="24"/>
  <c r="M29" i="24" s="1"/>
  <c r="N29" i="24" s="1"/>
  <c r="J128" i="21"/>
  <c r="M128" i="21" s="1"/>
  <c r="O128" i="21" s="1"/>
  <c r="J44" i="23"/>
  <c r="M44" i="23" s="1"/>
  <c r="N44" i="23" s="1"/>
  <c r="J130" i="21"/>
  <c r="M130" i="21" s="1"/>
  <c r="O130" i="21" s="1"/>
  <c r="B390" i="21"/>
  <c r="A390" i="21"/>
  <c r="B149" i="21"/>
  <c r="A149" i="21"/>
  <c r="E45" i="24" s="1"/>
  <c r="B126" i="21" l="1"/>
  <c r="B133" i="21"/>
  <c r="B137" i="21"/>
  <c r="B136" i="21"/>
  <c r="B135" i="21"/>
  <c r="B391" i="21"/>
  <c r="B294" i="21"/>
  <c r="B130" i="21"/>
  <c r="B138" i="21"/>
  <c r="B376" i="21"/>
  <c r="B217" i="21"/>
  <c r="B140" i="21"/>
  <c r="B125" i="21"/>
  <c r="B124" i="21"/>
  <c r="B389" i="21"/>
  <c r="B128" i="21"/>
  <c r="N395" i="21"/>
  <c r="AB41" i="21" s="1"/>
  <c r="C42" i="24"/>
  <c r="E47" i="24"/>
  <c r="D45" i="24"/>
  <c r="E74" i="23"/>
  <c r="E42" i="24"/>
  <c r="E75" i="23"/>
  <c r="D43" i="24"/>
  <c r="D42" i="24"/>
  <c r="E73" i="23"/>
  <c r="E48" i="24"/>
  <c r="C73" i="23"/>
  <c r="D46" i="24"/>
  <c r="D39" i="23"/>
  <c r="D44" i="24"/>
  <c r="D48" i="24"/>
  <c r="C45" i="24"/>
  <c r="C48" i="24"/>
  <c r="C44" i="24"/>
  <c r="C43" i="24"/>
  <c r="E44" i="24"/>
  <c r="B123" i="21"/>
  <c r="B134" i="21"/>
  <c r="B377" i="21"/>
  <c r="B382" i="21"/>
  <c r="B369" i="21"/>
  <c r="B161" i="21"/>
  <c r="B127" i="21"/>
  <c r="E46" i="24"/>
  <c r="E72" i="23"/>
  <c r="E43" i="24"/>
  <c r="C74" i="23"/>
  <c r="C76" i="23"/>
  <c r="C46" i="24"/>
  <c r="C72" i="23"/>
  <c r="C75" i="23"/>
  <c r="E76" i="23"/>
  <c r="D47" i="24"/>
  <c r="C47" i="24"/>
  <c r="L24" i="24"/>
  <c r="D24" i="24"/>
  <c r="N396" i="21" l="1"/>
  <c r="N397" i="21" s="1"/>
  <c r="N398" i="21" s="1"/>
  <c r="N399" i="21" s="1"/>
  <c r="AB42" i="21"/>
  <c r="AB43" i="21" s="1"/>
  <c r="J77" i="20"/>
  <c r="J72" i="20"/>
  <c r="J87" i="20"/>
  <c r="J61" i="20"/>
  <c r="J74" i="20"/>
  <c r="J60" i="20"/>
  <c r="J71" i="20"/>
  <c r="J54" i="20"/>
  <c r="J58" i="20"/>
  <c r="J44" i="20"/>
  <c r="J50" i="20"/>
  <c r="J49" i="20"/>
  <c r="L84" i="20"/>
  <c r="K56" i="20"/>
  <c r="G77" i="20"/>
  <c r="G52" i="20"/>
  <c r="G60" i="20"/>
  <c r="K53" i="20"/>
  <c r="G83" i="20"/>
  <c r="K66" i="20"/>
  <c r="E88" i="20"/>
  <c r="N65" i="20"/>
  <c r="G50" i="20"/>
  <c r="E59" i="20"/>
  <c r="E53" i="20"/>
  <c r="N78" i="20"/>
  <c r="J62" i="20"/>
  <c r="L57" i="20"/>
  <c r="G51" i="20"/>
  <c r="N89" i="20"/>
  <c r="G44" i="20"/>
  <c r="L70" i="20"/>
  <c r="K85" i="20"/>
  <c r="N48" i="20"/>
  <c r="N69" i="20"/>
  <c r="G66" i="20"/>
  <c r="N87" i="20"/>
  <c r="N70" i="20"/>
  <c r="K84" i="20"/>
  <c r="K77" i="20"/>
  <c r="N76" i="20"/>
  <c r="E69" i="20"/>
  <c r="E76" i="20"/>
  <c r="E48" i="20"/>
  <c r="K82" i="20"/>
  <c r="L80" i="20"/>
  <c r="E89" i="20"/>
  <c r="K70" i="20"/>
  <c r="E78" i="20"/>
  <c r="L77" i="20"/>
  <c r="L81" i="20"/>
  <c r="E44" i="20"/>
  <c r="N80" i="20"/>
  <c r="G86" i="20"/>
  <c r="K48" i="20"/>
  <c r="N57" i="20"/>
  <c r="K86" i="20"/>
  <c r="K54" i="20"/>
  <c r="E85" i="20"/>
  <c r="G45" i="20"/>
  <c r="G88" i="20"/>
  <c r="G57" i="20"/>
  <c r="L87" i="20"/>
  <c r="K61" i="20"/>
  <c r="N75" i="20"/>
  <c r="E70" i="20"/>
  <c r="E66" i="20"/>
  <c r="K45" i="20"/>
  <c r="K47" i="20"/>
  <c r="J73" i="20"/>
  <c r="J66" i="20"/>
  <c r="J76" i="20"/>
  <c r="J56" i="20"/>
  <c r="J69" i="20"/>
  <c r="J67" i="20"/>
  <c r="J64" i="20"/>
  <c r="J70" i="20"/>
  <c r="J55" i="20"/>
  <c r="J52" i="20"/>
  <c r="J86" i="20"/>
  <c r="J79" i="20"/>
  <c r="K60" i="20"/>
  <c r="G69" i="20"/>
  <c r="E60" i="20"/>
  <c r="E82" i="20"/>
  <c r="G64" i="20"/>
  <c r="N55" i="20"/>
  <c r="L48" i="20"/>
  <c r="G54" i="20"/>
  <c r="G76" i="20"/>
  <c r="K80" i="20"/>
  <c r="E45" i="20"/>
  <c r="K71" i="20"/>
  <c r="N81" i="20"/>
  <c r="E67" i="20"/>
  <c r="J46" i="20"/>
  <c r="L50" i="20"/>
  <c r="N84" i="20"/>
  <c r="G75" i="20"/>
  <c r="G79" i="20"/>
  <c r="E79" i="20"/>
  <c r="L68" i="20"/>
  <c r="E83" i="20"/>
  <c r="N54" i="20"/>
  <c r="N49" i="20"/>
  <c r="E75" i="20"/>
  <c r="K50" i="20"/>
  <c r="L88" i="20"/>
  <c r="E62" i="20"/>
  <c r="E68" i="20"/>
  <c r="N77" i="20"/>
  <c r="G80" i="20"/>
  <c r="G62" i="20"/>
  <c r="L64" i="20"/>
  <c r="L61" i="20"/>
  <c r="L78" i="20"/>
  <c r="G47" i="20"/>
  <c r="L75" i="20"/>
  <c r="G70" i="20"/>
  <c r="L82" i="20"/>
  <c r="N45" i="20"/>
  <c r="E47" i="20"/>
  <c r="L66" i="20"/>
  <c r="G82" i="20"/>
  <c r="G63" i="20"/>
  <c r="G74" i="20"/>
  <c r="N59" i="20"/>
  <c r="E74" i="20"/>
  <c r="K89" i="20"/>
  <c r="N50" i="20"/>
  <c r="K83" i="20"/>
  <c r="N46" i="20"/>
  <c r="K88" i="20"/>
  <c r="N67" i="20"/>
  <c r="L56" i="20"/>
  <c r="N68" i="20"/>
  <c r="L71" i="20"/>
  <c r="L76" i="20"/>
  <c r="E52" i="20"/>
  <c r="J85" i="20"/>
  <c r="J68" i="20"/>
  <c r="J53" i="20"/>
  <c r="J78" i="20"/>
  <c r="J45" i="20"/>
  <c r="J75" i="20"/>
  <c r="J48" i="20"/>
  <c r="J84" i="20"/>
  <c r="J57" i="20"/>
  <c r="J47" i="20"/>
  <c r="J59" i="20"/>
  <c r="E49" i="20"/>
  <c r="C42" i="26" s="1"/>
  <c r="E58" i="20"/>
  <c r="G61" i="20"/>
  <c r="N61" i="20"/>
  <c r="E87" i="20"/>
  <c r="L83" i="20"/>
  <c r="N44" i="20"/>
  <c r="G65" i="20"/>
  <c r="G71" i="20"/>
  <c r="E51" i="20"/>
  <c r="E61" i="20"/>
  <c r="K46" i="20"/>
  <c r="K64" i="20"/>
  <c r="L60" i="20"/>
  <c r="G48" i="20"/>
  <c r="L63" i="20"/>
  <c r="N79" i="20"/>
  <c r="L51" i="20"/>
  <c r="E77" i="20"/>
  <c r="K67" i="20"/>
  <c r="N47" i="20"/>
  <c r="L44" i="20"/>
  <c r="K44" i="20"/>
  <c r="K51" i="20"/>
  <c r="E63" i="20"/>
  <c r="L89" i="20"/>
  <c r="N51" i="20"/>
  <c r="K79" i="20"/>
  <c r="K78" i="20"/>
  <c r="K58" i="20"/>
  <c r="K57" i="20"/>
  <c r="K55" i="20"/>
  <c r="N52" i="20"/>
  <c r="L62" i="20"/>
  <c r="L65" i="20"/>
  <c r="G78" i="20"/>
  <c r="L49" i="20"/>
  <c r="K63" i="20"/>
  <c r="G55" i="20"/>
  <c r="K52" i="20"/>
  <c r="L74" i="20"/>
  <c r="N88" i="20"/>
  <c r="N53" i="20"/>
  <c r="G84" i="20"/>
  <c r="E72" i="20"/>
  <c r="L53" i="20"/>
  <c r="K72" i="20"/>
  <c r="N83" i="20"/>
  <c r="L73" i="20"/>
  <c r="K76" i="20"/>
  <c r="G85" i="20"/>
  <c r="G73" i="20"/>
  <c r="G56" i="20"/>
  <c r="L69" i="20"/>
  <c r="K59" i="20"/>
  <c r="L45" i="20"/>
  <c r="E46" i="20"/>
  <c r="J89" i="20"/>
  <c r="K49" i="20"/>
  <c r="H42" i="26" s="1"/>
  <c r="G49" i="20"/>
  <c r="E42" i="26" s="1"/>
  <c r="J88" i="20"/>
  <c r="J80" i="20"/>
  <c r="J81" i="20"/>
  <c r="J51" i="20"/>
  <c r="J83" i="20"/>
  <c r="J65" i="20"/>
  <c r="J63" i="20"/>
  <c r="J82" i="20"/>
  <c r="E56" i="20"/>
  <c r="E54" i="20"/>
  <c r="K65" i="20"/>
  <c r="L59" i="20"/>
  <c r="L79" i="20"/>
  <c r="G89" i="20"/>
  <c r="G58" i="20"/>
  <c r="E84" i="20"/>
  <c r="N64" i="20"/>
  <c r="G67" i="20"/>
  <c r="E86" i="20"/>
  <c r="N73" i="20"/>
  <c r="L47" i="20"/>
  <c r="E81" i="20"/>
  <c r="N56" i="20"/>
  <c r="K68" i="20"/>
  <c r="N71" i="20"/>
  <c r="L72" i="20"/>
  <c r="K74" i="20"/>
  <c r="L55" i="20"/>
  <c r="E73" i="20"/>
  <c r="N66" i="20"/>
  <c r="G53" i="20"/>
  <c r="G59" i="20"/>
  <c r="N60" i="20"/>
  <c r="L67" i="20"/>
  <c r="K69" i="20"/>
  <c r="E65" i="20"/>
  <c r="N86" i="20"/>
  <c r="G72" i="20"/>
  <c r="N62" i="20"/>
  <c r="G46" i="20"/>
  <c r="N82" i="20"/>
  <c r="G87" i="20"/>
  <c r="E71" i="20"/>
  <c r="E80" i="20"/>
  <c r="N63" i="20"/>
  <c r="N58" i="20"/>
  <c r="G81" i="20"/>
  <c r="L85" i="20"/>
  <c r="N72" i="20"/>
  <c r="L58" i="20"/>
  <c r="N85" i="20"/>
  <c r="L86" i="20"/>
  <c r="K87" i="20"/>
  <c r="L52" i="20"/>
  <c r="K73" i="20"/>
  <c r="L54" i="20"/>
  <c r="K62" i="20"/>
  <c r="E64" i="20"/>
  <c r="E57" i="20"/>
  <c r="E50" i="20"/>
  <c r="G68" i="20"/>
  <c r="N74" i="20"/>
  <c r="L46" i="20"/>
  <c r="K75" i="20"/>
  <c r="K81" i="20"/>
  <c r="E55" i="20"/>
  <c r="M48" i="20" l="1"/>
  <c r="O48" i="20" s="1"/>
  <c r="M70" i="20"/>
  <c r="O70" i="20" s="1"/>
  <c r="M82" i="20"/>
  <c r="O82" i="20" s="1"/>
  <c r="M51" i="20"/>
  <c r="O51" i="20" s="1"/>
  <c r="M63" i="20"/>
  <c r="O63" i="20" s="1"/>
  <c r="M80" i="20"/>
  <c r="O80" i="20" s="1"/>
  <c r="M89" i="20"/>
  <c r="O89" i="20" s="1"/>
  <c r="M83" i="20"/>
  <c r="O83" i="20" s="1"/>
  <c r="M88" i="20"/>
  <c r="O88" i="20" s="1"/>
  <c r="M84" i="20"/>
  <c r="O84" i="20" s="1"/>
  <c r="M65" i="20"/>
  <c r="O65" i="20" s="1"/>
  <c r="M57" i="20"/>
  <c r="O57" i="20" s="1"/>
  <c r="M45" i="20"/>
  <c r="O45" i="20" s="1"/>
  <c r="M85" i="20"/>
  <c r="O85" i="20" s="1"/>
  <c r="M46" i="20"/>
  <c r="O46" i="20" s="1"/>
  <c r="M86" i="20"/>
  <c r="O86" i="20" s="1"/>
  <c r="M64" i="20"/>
  <c r="O64" i="20" s="1"/>
  <c r="M76" i="20"/>
  <c r="O76" i="20" s="1"/>
  <c r="M49" i="20"/>
  <c r="O49" i="20" s="1"/>
  <c r="G42" i="26"/>
  <c r="M54" i="20"/>
  <c r="O54" i="20" s="1"/>
  <c r="M61" i="20"/>
  <c r="O61" i="20" s="1"/>
  <c r="M78" i="20"/>
  <c r="O78" i="20" s="1"/>
  <c r="M52" i="20"/>
  <c r="O52" i="20" s="1"/>
  <c r="M67" i="20"/>
  <c r="O67" i="20" s="1"/>
  <c r="M66" i="20"/>
  <c r="O66" i="20" s="1"/>
  <c r="M62" i="20"/>
  <c r="O62" i="20" s="1"/>
  <c r="M50" i="20"/>
  <c r="O50" i="20" s="1"/>
  <c r="M71" i="20"/>
  <c r="O71" i="20" s="1"/>
  <c r="M87" i="20"/>
  <c r="O87" i="20" s="1"/>
  <c r="M59" i="20"/>
  <c r="O59" i="20" s="1"/>
  <c r="M53" i="20"/>
  <c r="O53" i="20" s="1"/>
  <c r="M55" i="20"/>
  <c r="O55" i="20" s="1"/>
  <c r="M69" i="20"/>
  <c r="O69" i="20" s="1"/>
  <c r="M73" i="20"/>
  <c r="O73" i="20" s="1"/>
  <c r="M44" i="20"/>
  <c r="M60" i="20"/>
  <c r="O60" i="20" s="1"/>
  <c r="M72" i="20"/>
  <c r="O72" i="20" s="1"/>
  <c r="M81" i="20"/>
  <c r="O81" i="20" s="1"/>
  <c r="M47" i="20"/>
  <c r="O47" i="20" s="1"/>
  <c r="M75" i="20"/>
  <c r="O75" i="20" s="1"/>
  <c r="M68" i="20"/>
  <c r="O68" i="20" s="1"/>
  <c r="M79" i="20"/>
  <c r="O79" i="20" s="1"/>
  <c r="M56" i="20"/>
  <c r="O56" i="20" s="1"/>
  <c r="M58" i="20"/>
  <c r="O58" i="20" s="1"/>
  <c r="M74" i="20"/>
  <c r="O74" i="20" s="1"/>
  <c r="M77" i="20"/>
  <c r="O77" i="20" s="1"/>
  <c r="O91" i="20" l="1"/>
  <c r="O44" i="20"/>
  <c r="O93" i="20" s="1"/>
  <c r="O92" i="2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<sst xmlns="http://schemas.openxmlformats.org/spreadsheetml/2006/main" count="2341" uniqueCount="568">
  <si>
    <t>اللون</t>
  </si>
  <si>
    <t>متر مربع</t>
  </si>
  <si>
    <t>قطعة</t>
  </si>
  <si>
    <t>متر طولي</t>
  </si>
  <si>
    <t xml:space="preserve">كوباية 6 سم </t>
  </si>
  <si>
    <t>كوباية 7 سم</t>
  </si>
  <si>
    <t>طنبور قطر 6 سم (سماكة 0.6 مم)</t>
  </si>
  <si>
    <t>طنبور قطر 7 سم (سماكة 1.2 مم)</t>
  </si>
  <si>
    <t>خد 25 سم مضلع</t>
  </si>
  <si>
    <t>صدادة</t>
  </si>
  <si>
    <t>الصنف</t>
  </si>
  <si>
    <t xml:space="preserve">الوحدة </t>
  </si>
  <si>
    <t>السعر</t>
  </si>
  <si>
    <t>زوج</t>
  </si>
  <si>
    <t>سفلية  5.3   سم</t>
  </si>
  <si>
    <t>سفلية 4.5 سم</t>
  </si>
  <si>
    <t xml:space="preserve"> صندوق الومنيوم مضلع 25 سم</t>
  </si>
  <si>
    <t xml:space="preserve"> صندوق الومنيوم مضلع 20 سم</t>
  </si>
  <si>
    <t>خد 20 سم مضلع</t>
  </si>
  <si>
    <t>عدد الشرائح</t>
  </si>
  <si>
    <t>-</t>
  </si>
  <si>
    <t>عرض</t>
  </si>
  <si>
    <t>ارتفاع</t>
  </si>
  <si>
    <t>طريقة التركيب</t>
  </si>
  <si>
    <t xml:space="preserve">خارج الفتحة </t>
  </si>
  <si>
    <t>الاكسسوارات</t>
  </si>
  <si>
    <t xml:space="preserve">داخل الفتحة </t>
  </si>
  <si>
    <t>نيوتن</t>
  </si>
  <si>
    <t>م</t>
  </si>
  <si>
    <t>المكون</t>
  </si>
  <si>
    <t xml:space="preserve">    طول الشريحة /سم/</t>
  </si>
  <si>
    <t>القياس</t>
  </si>
  <si>
    <r>
      <t>الكمية (م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</si>
  <si>
    <t>العدد</t>
  </si>
  <si>
    <t>الاجمالي</t>
  </si>
  <si>
    <t>صندوق / محور</t>
  </si>
  <si>
    <t xml:space="preserve">حمالات </t>
  </si>
  <si>
    <t>محرك</t>
  </si>
  <si>
    <t>سم</t>
  </si>
  <si>
    <t>كلي</t>
  </si>
  <si>
    <t>التفاصيل</t>
  </si>
  <si>
    <t>القياس /م</t>
  </si>
  <si>
    <t>سعر الوحدة</t>
  </si>
  <si>
    <t>SOMFY</t>
  </si>
  <si>
    <t xml:space="preserve">ملاحظات </t>
  </si>
  <si>
    <t>السعر الإجمالي</t>
  </si>
  <si>
    <t xml:space="preserve">السعر النهائي بعد الخصم و الضريبة </t>
  </si>
  <si>
    <t xml:space="preserve">ارتفاع </t>
  </si>
  <si>
    <t xml:space="preserve">عدد الشرائح </t>
  </si>
  <si>
    <t>ارتفاع الصندوق</t>
  </si>
  <si>
    <t>المساحة (م2)</t>
  </si>
  <si>
    <t xml:space="preserve">استطاعة </t>
  </si>
  <si>
    <t>كوباية + رولمان</t>
  </si>
  <si>
    <t>Somfy</t>
  </si>
  <si>
    <t>Switch</t>
  </si>
  <si>
    <t>محور</t>
  </si>
  <si>
    <t>الوزن</t>
  </si>
  <si>
    <t>مانفيلا</t>
  </si>
  <si>
    <t>الخصم</t>
  </si>
  <si>
    <t>نوع</t>
  </si>
  <si>
    <t xml:space="preserve">اسم العميل: </t>
  </si>
  <si>
    <t xml:space="preserve">التاريخ: </t>
  </si>
  <si>
    <t xml:space="preserve"> 1 يوم</t>
  </si>
  <si>
    <t xml:space="preserve"> 2 يوم</t>
  </si>
  <si>
    <t xml:space="preserve"> 3 يوم</t>
  </si>
  <si>
    <t xml:space="preserve"> 4 يوم</t>
  </si>
  <si>
    <t xml:space="preserve"> 5 يوم</t>
  </si>
  <si>
    <t xml:space="preserve"> 6 يوم</t>
  </si>
  <si>
    <t xml:space="preserve"> 7 يوم</t>
  </si>
  <si>
    <t xml:space="preserve"> 8 يوم</t>
  </si>
  <si>
    <t xml:space="preserve"> 9 يوم</t>
  </si>
  <si>
    <t xml:space="preserve"> 10 يوم</t>
  </si>
  <si>
    <t xml:space="preserve"> 11 يوم</t>
  </si>
  <si>
    <t xml:space="preserve"> 12 يوم</t>
  </si>
  <si>
    <t xml:space="preserve"> 13 يوم</t>
  </si>
  <si>
    <t xml:space="preserve"> 14 يوم</t>
  </si>
  <si>
    <t xml:space="preserve"> 15 يوم</t>
  </si>
  <si>
    <t xml:space="preserve"> 16 يوم</t>
  </si>
  <si>
    <t xml:space="preserve"> 17 يوم</t>
  </si>
  <si>
    <t xml:space="preserve"> 18 يوم</t>
  </si>
  <si>
    <t xml:space="preserve"> 19 يوم</t>
  </si>
  <si>
    <t xml:space="preserve"> 20 يوم</t>
  </si>
  <si>
    <t xml:space="preserve">حصيرة </t>
  </si>
  <si>
    <t>المساحة الإجمالية (م2)</t>
  </si>
  <si>
    <t>القياس (م)</t>
  </si>
  <si>
    <t xml:space="preserve">    طول الشريحة (سم)</t>
  </si>
  <si>
    <t xml:space="preserve"> صندوق الومنيوم مضلع 30 سم</t>
  </si>
  <si>
    <t>خد 30 سم مضلع</t>
  </si>
  <si>
    <t>النوع</t>
  </si>
  <si>
    <t xml:space="preserve">1.2 ملم </t>
  </si>
  <si>
    <t>اسباني</t>
  </si>
  <si>
    <t>تركي</t>
  </si>
  <si>
    <t xml:space="preserve">0.6 ملم </t>
  </si>
  <si>
    <t>شريط صغير</t>
  </si>
  <si>
    <t>شريط كبير</t>
  </si>
  <si>
    <t>زنكاليوم 5.5</t>
  </si>
  <si>
    <t xml:space="preserve">رقم الفتحة </t>
  </si>
  <si>
    <t>حمالة امان 6 سم</t>
  </si>
  <si>
    <t>حمالة امان 7 سم</t>
  </si>
  <si>
    <t xml:space="preserve">طنبور قطر 10.2 سم </t>
  </si>
  <si>
    <t xml:space="preserve">اكسسوارات طنبور 10.2 سم </t>
  </si>
  <si>
    <t>رولمان بلى + حامل رولمان</t>
  </si>
  <si>
    <t>طنبور حديد اسطواني</t>
  </si>
  <si>
    <t xml:space="preserve">طنبور + بوبين+ رولمان + ملحقان محرك </t>
  </si>
  <si>
    <t>رقم الفتحة</t>
  </si>
  <si>
    <t>Ral 1013</t>
  </si>
  <si>
    <t>Ral 9016</t>
  </si>
  <si>
    <t>Ral 1015</t>
  </si>
  <si>
    <t>mill finish</t>
  </si>
  <si>
    <t>فتحة معمارية (ضوء)</t>
  </si>
  <si>
    <t xml:space="preserve">الحالة الفنية </t>
  </si>
  <si>
    <t>حصيرة فقط</t>
  </si>
  <si>
    <t xml:space="preserve">شيش حصيرة </t>
  </si>
  <si>
    <t xml:space="preserve">شيش زنكاليوم </t>
  </si>
  <si>
    <t>آلية التحريك</t>
  </si>
  <si>
    <t>مجموع سفلية شيش حماية</t>
  </si>
  <si>
    <t>error</t>
  </si>
  <si>
    <t xml:space="preserve">طلب تصنيع </t>
  </si>
  <si>
    <t xml:space="preserve">اسم الزبون: </t>
  </si>
  <si>
    <t>السفلية</t>
  </si>
  <si>
    <t xml:space="preserve">عدد الشرائح  </t>
  </si>
  <si>
    <t>عدد الحصائر</t>
  </si>
  <si>
    <t>الطول  سم</t>
  </si>
  <si>
    <t>المحور</t>
  </si>
  <si>
    <t xml:space="preserve">الكوباية </t>
  </si>
  <si>
    <t xml:space="preserve">الارتفاع </t>
  </si>
  <si>
    <t>القطر</t>
  </si>
  <si>
    <t>الوصف</t>
  </si>
  <si>
    <t>ACM30-2</t>
  </si>
  <si>
    <t xml:space="preserve"> صندوق الومنيوم مضلع 18 سم</t>
  </si>
  <si>
    <t>خد 18 سم مضلع</t>
  </si>
  <si>
    <t>خد صندوق</t>
  </si>
  <si>
    <t>المساحة الإجمالية</t>
  </si>
  <si>
    <t>طول الشريحة</t>
  </si>
  <si>
    <t xml:space="preserve">نوع الشريحة </t>
  </si>
  <si>
    <t xml:space="preserve">اللون </t>
  </si>
  <si>
    <t xml:space="preserve">مواصفات الحصيرة </t>
  </si>
  <si>
    <t xml:space="preserve">مقاسات الحصيرة </t>
  </si>
  <si>
    <t xml:space="preserve">المجرى بالمزلقان </t>
  </si>
  <si>
    <t>رولمان البيله</t>
  </si>
  <si>
    <t xml:space="preserve">اكسسوارات أخرى </t>
  </si>
  <si>
    <t>الاستطاعة</t>
  </si>
  <si>
    <t>"تحدد تلقائياً"</t>
  </si>
  <si>
    <t>لون خاص</t>
  </si>
  <si>
    <t>لون الحصيرة</t>
  </si>
  <si>
    <t>محرك من الزبون</t>
  </si>
  <si>
    <t>طقم مانفيلا كامل</t>
  </si>
  <si>
    <t>يرجى تعبئة بيانات السطر الواحد بشكل كامل</t>
  </si>
  <si>
    <t>بدون صندوق</t>
  </si>
  <si>
    <t>Mill Finish</t>
  </si>
  <si>
    <t>نظام التحريك الكهربائي</t>
  </si>
  <si>
    <t xml:space="preserve">نظام التحريك اليدوي </t>
  </si>
  <si>
    <t xml:space="preserve">المستفيد: </t>
  </si>
  <si>
    <t xml:space="preserve">عرض سعر </t>
  </si>
  <si>
    <t>Rolling Shutter</t>
  </si>
  <si>
    <t xml:space="preserve">ملاحظات البرنامج  </t>
  </si>
  <si>
    <t>Moutaz Tahhan</t>
  </si>
  <si>
    <t xml:space="preserve">Nesma Fawzy </t>
  </si>
  <si>
    <t>ACM30-1</t>
  </si>
  <si>
    <t xml:space="preserve">ملاحظات العميل: </t>
  </si>
  <si>
    <t xml:space="preserve">شرائح شيش حصيرة </t>
  </si>
  <si>
    <t>محور (طنبور)</t>
  </si>
  <si>
    <t xml:space="preserve">اكسسوارات تحريك </t>
  </si>
  <si>
    <t xml:space="preserve">المجرى الألومنيوم </t>
  </si>
  <si>
    <t xml:space="preserve">نظام التشغيل اليدوي </t>
  </si>
  <si>
    <t xml:space="preserve">اسم العميل:  </t>
  </si>
  <si>
    <t>ملاحظات :</t>
  </si>
  <si>
    <t>يتم احتساب قيمة السفلية في شيش حصيرة حسب مساحة الحصيرة.</t>
  </si>
  <si>
    <t>اسعار شرائح الشيش الحصيرة هي نفسها لجميع الألوان المتوفرة.</t>
  </si>
  <si>
    <t>الأسعار أعلاه بالجنيه المصري ولا تشمل التوريد أو التركيب.</t>
  </si>
  <si>
    <t>هذه القائمة سارية لحين إخطار آخر مالم تطرأ أي زيادة بموجب قرارات وزارية أو سيادية، وزيادة في أسعار المواد الخام أو زيادة في أسعار العملات المحلية او العالمية.</t>
  </si>
  <si>
    <t>لون الاكسسوارات</t>
  </si>
  <si>
    <t xml:space="preserve">مفتاح التشغيل </t>
  </si>
  <si>
    <t>يرجى إدخال       مقاسات الفتحة المعمارية - من الحائط إلى الحائط (سم)        أو         مقاس الحصيرة شامل الحبسات (سم)</t>
  </si>
  <si>
    <t xml:space="preserve">مساحة التصنيع </t>
  </si>
  <si>
    <t>مجموع (م)</t>
  </si>
  <si>
    <t xml:space="preserve">عدد الشرائح الكلي  </t>
  </si>
  <si>
    <t xml:space="preserve">المستفيد:   </t>
  </si>
  <si>
    <t>رقم العرض:</t>
  </si>
  <si>
    <t xml:space="preserve">رقم العرض: </t>
  </si>
  <si>
    <r>
      <t>الشـــــروط</t>
    </r>
    <r>
      <rPr>
        <b/>
        <sz val="11"/>
        <color theme="1"/>
        <rFont val="Arial"/>
        <family val="2"/>
      </rPr>
      <t>:</t>
    </r>
  </si>
  <si>
    <t>معتز قره طحان</t>
  </si>
  <si>
    <t>عمل</t>
  </si>
  <si>
    <t xml:space="preserve">نسمة فوزي </t>
  </si>
  <si>
    <t xml:space="preserve">وقت التسليم المعطى: </t>
  </si>
  <si>
    <t xml:space="preserve">رقم طلب التصنيع: </t>
  </si>
  <si>
    <t xml:space="preserve">رقم عرض السعر: </t>
  </si>
  <si>
    <t xml:space="preserve"> المساحة الإجمالية للفتحات المعمارية  (م2)</t>
  </si>
  <si>
    <t xml:space="preserve"> المساحة الإجمالية للحصائر بدون حبسات (م2)</t>
  </si>
  <si>
    <t>خصم السداد المسبق</t>
  </si>
  <si>
    <t xml:space="preserve">السعر الإجمالي بعد الخصم </t>
  </si>
  <si>
    <t>حمالة شيش نابضية صغيرة</t>
  </si>
  <si>
    <t xml:space="preserve">حمالة شيش نابضية كبيرة </t>
  </si>
  <si>
    <t>الارتفاع</t>
  </si>
  <si>
    <t xml:space="preserve">عدد الحصائر الكلي  </t>
  </si>
  <si>
    <t xml:space="preserve">سفلية زنكاليوم 5.8 سم  </t>
  </si>
  <si>
    <t xml:space="preserve">مجموع سفلية شيش الزنكاليوم </t>
  </si>
  <si>
    <t xml:space="preserve">عدد الحصائر </t>
  </si>
  <si>
    <t>صندوق تركي مع خدود</t>
  </si>
  <si>
    <t>صندوق تركي بدون خدود</t>
  </si>
  <si>
    <t>صندوق اسباني مع خدود</t>
  </si>
  <si>
    <t>صندوق اسباني بدون خدود</t>
  </si>
  <si>
    <t>صندوق ايطالي مع خدود</t>
  </si>
  <si>
    <t>صندوق ايطالي بدون خدود</t>
  </si>
  <si>
    <t>هذه الوثيقة هي عرض سعر رسمي، سوف يتم توريد الوحدات المفصّلة أعلاه بالأسعار المعروضة وفقا للشروط المذكورة لذا يرجى توقيع هذا المستند من طرفكم</t>
  </si>
  <si>
    <t xml:space="preserve">    اعتباراً من تاريخ اعتماد عرض السعر وتحقيق شروط الدفع</t>
  </si>
  <si>
    <r>
      <t>·</t>
    </r>
    <r>
      <rPr>
        <sz val="10"/>
        <color theme="1"/>
        <rFont val="Times New Roman"/>
        <family val="1"/>
      </rPr>
      <t xml:space="preserve">  نسبة الخصم المعتمدة </t>
    </r>
    <r>
      <rPr>
        <b/>
        <sz val="10"/>
        <color theme="1"/>
        <rFont val="Times New Roman"/>
        <family val="1"/>
      </rPr>
      <t>شاملة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نسبة الخصم 5%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الخاصة</t>
    </r>
    <r>
      <rPr>
        <sz val="10"/>
        <color theme="1"/>
        <rFont val="Times New Roman"/>
        <family val="1"/>
      </rPr>
      <t xml:space="preserve"> بشهر مايو2016.</t>
    </r>
  </si>
  <si>
    <r>
      <t>·</t>
    </r>
    <r>
      <rPr>
        <sz val="10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جميع الأسعار بالجنيه المصري.</t>
    </r>
  </si>
  <si>
    <r>
      <t>·</t>
    </r>
    <r>
      <rPr>
        <sz val="10"/>
        <color theme="1"/>
        <rFont val="Times New Roman"/>
        <family val="1"/>
      </rPr>
      <t>  صلاحية عرض السعر 3 أيام من تاريخه.</t>
    </r>
  </si>
  <si>
    <r>
      <t>·</t>
    </r>
    <r>
      <rPr>
        <sz val="10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الأسعار غير شاملة التوصيل أو التركيب.</t>
    </r>
  </si>
  <si>
    <r>
      <t>·</t>
    </r>
    <r>
      <rPr>
        <sz val="10"/>
        <color theme="1"/>
        <rFont val="Times New Roman"/>
        <family val="1"/>
      </rPr>
      <t xml:space="preserve">   </t>
    </r>
    <r>
      <rPr>
        <sz val="10"/>
        <color theme="1"/>
        <rFont val="Arial"/>
        <family val="2"/>
      </rPr>
      <t xml:space="preserve">تاريخ التسليم المتوقع:  </t>
    </r>
    <r>
      <rPr>
        <sz val="10"/>
        <color theme="1"/>
        <rFont val="Calibri"/>
        <family val="2"/>
        <scheme val="minor"/>
      </rPr>
      <t/>
    </r>
  </si>
  <si>
    <r>
      <t>·</t>
    </r>
    <r>
      <rPr>
        <sz val="10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الدفع:50%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Arial"/>
        <family val="2"/>
      </rPr>
      <t>مقدم و50%عند الاستلام.</t>
    </r>
  </si>
  <si>
    <r>
      <t>·</t>
    </r>
    <r>
      <rPr>
        <sz val="10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لا يتم تسليم البضاعة إلا بإرسال تفويض باسم الشخص المستلم.</t>
    </r>
  </si>
  <si>
    <t xml:space="preserve"> أسعار المجرى والسفلية للألوان الأبيض Ral 9016  والكريم Ral 1013- Ral 1015  فقط،  يتم زيادة نسبة 20% على السعر في حال طلب لون آخر.</t>
  </si>
  <si>
    <t>مزلقان بلاستيكي للمجرى</t>
  </si>
  <si>
    <t>مزلقان</t>
  </si>
  <si>
    <t xml:space="preserve">10 % ضريبة مبيعات + 3 % ضريبة قيمة مضافة </t>
  </si>
  <si>
    <t xml:space="preserve">المجرى للشريحة 4.5 سم </t>
  </si>
  <si>
    <t xml:space="preserve">المجرى للشريحة 5.8 سم </t>
  </si>
  <si>
    <t xml:space="preserve"> صندوق الومنيوم مضلع 15 سم</t>
  </si>
  <si>
    <t>خد 15 سم مضلع</t>
  </si>
  <si>
    <t xml:space="preserve"> صندوق الومنيوم مضلع 16.5 سم</t>
  </si>
  <si>
    <t>خد 16.5 سم مضلع</t>
  </si>
  <si>
    <t xml:space="preserve">إذن التسليم </t>
  </si>
  <si>
    <t>صناديق</t>
  </si>
  <si>
    <r>
      <t>·</t>
    </r>
    <r>
      <rPr>
        <sz val="10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التسليم في أرض المصنع.</t>
    </r>
  </si>
  <si>
    <t>اسم العميل وتوقيعه:</t>
  </si>
  <si>
    <t>السعر الإجمالي بعد الخصم</t>
  </si>
  <si>
    <t>طريقة الدفع: 50 % دفعة مقدمة، 50 % قبل التحميل من أرض المصنع.</t>
  </si>
  <si>
    <t>الشريحة</t>
  </si>
  <si>
    <t>طنبور قطر 4 سم (سماكة 0.6 مم)</t>
  </si>
  <si>
    <t>A</t>
  </si>
  <si>
    <t>asa</t>
  </si>
  <si>
    <t>مدار 4.5</t>
  </si>
  <si>
    <t>مدار 5.8</t>
  </si>
  <si>
    <t>مدار حماية 5.5</t>
  </si>
  <si>
    <t>مدار زنكاليوم 5.5</t>
  </si>
  <si>
    <t>مدار حماية انارة واسعة 5.5</t>
  </si>
  <si>
    <t>نيل 4.25</t>
  </si>
  <si>
    <t>نيل 5.5</t>
  </si>
  <si>
    <t>نيل زنكاليوم 3.9</t>
  </si>
  <si>
    <t>نيل حماية 5.5</t>
  </si>
  <si>
    <t>نيل هاردفوم 4.25</t>
  </si>
  <si>
    <t>نيل هاردفوم 5.5</t>
  </si>
  <si>
    <t>اسباني 4.5</t>
  </si>
  <si>
    <t>اسباني 5.5</t>
  </si>
  <si>
    <t>اسباني هاردفوم 4.5</t>
  </si>
  <si>
    <t>اسباني هاردفوم 5.5</t>
  </si>
  <si>
    <t>تسليخة</t>
  </si>
  <si>
    <t>مع</t>
  </si>
  <si>
    <t>بدون</t>
  </si>
  <si>
    <t>Gaposa</t>
  </si>
  <si>
    <t>دويا شورت</t>
  </si>
  <si>
    <t>سيبار</t>
  </si>
  <si>
    <t>سيمو</t>
  </si>
  <si>
    <t>هيولايت</t>
  </si>
  <si>
    <t>شريحة 4.5 سم مدار</t>
  </si>
  <si>
    <t>شريحة 5.8 مدار</t>
  </si>
  <si>
    <t>شريحة حماية 5.5 مدار</t>
  </si>
  <si>
    <t>شريحة زنكاليوم 5.5 مدار</t>
  </si>
  <si>
    <t>شريحة حماية انارة واسعة 5.5 مدار</t>
  </si>
  <si>
    <t>شريحة 4.25 النيل</t>
  </si>
  <si>
    <t>شريحة 5.5 النيل</t>
  </si>
  <si>
    <t>شريحة زنكاليوم 3.9 النيل</t>
  </si>
  <si>
    <t>شريحة حماية 5.5 النيل</t>
  </si>
  <si>
    <t>شريحة هاردفوم 4.25 النيل</t>
  </si>
  <si>
    <t>شريحة هاردفوم 5.5 النيل</t>
  </si>
  <si>
    <t>شريحة 4.5 اسباني</t>
  </si>
  <si>
    <t>شريحة 5.5 اسباني</t>
  </si>
  <si>
    <t>شريحة هاردفوم 4.5 اسباني</t>
  </si>
  <si>
    <t>شريحة هاردفوم 5.5 اسباني</t>
  </si>
  <si>
    <t>مدار حماية إنارة واسعة 5.5</t>
  </si>
  <si>
    <t>ارتفاع الحصيرة الفعلي</t>
  </si>
  <si>
    <t>حساب ارتفاع الصندوق</t>
  </si>
  <si>
    <t>حساب المحور</t>
  </si>
  <si>
    <t>gaposa</t>
  </si>
  <si>
    <t>نوع المحرك</t>
  </si>
  <si>
    <t>عادي</t>
  </si>
  <si>
    <t>مدمج</t>
  </si>
  <si>
    <t>مانافيلا</t>
  </si>
  <si>
    <t>المحرك عادي</t>
  </si>
  <si>
    <t>المحرك مانافيلا</t>
  </si>
  <si>
    <t>المحرك مدمج</t>
  </si>
  <si>
    <t>حساب استطاعة المحرك / عادي</t>
  </si>
  <si>
    <t>حساب استطاعة المحرك / مدمج</t>
  </si>
  <si>
    <t>حساب استطاعة المحرك / مانافيلا</t>
  </si>
  <si>
    <t>المحرك غير متوفر</t>
  </si>
  <si>
    <t>التاريخ :</t>
  </si>
  <si>
    <t>asa داخلي</t>
  </si>
  <si>
    <t>asa خارجي</t>
  </si>
  <si>
    <t>somfy uno</t>
  </si>
  <si>
    <t xml:space="preserve">somfy  </t>
  </si>
  <si>
    <t>الريسيفر</t>
  </si>
  <si>
    <t>الريموت</t>
  </si>
  <si>
    <t>طريقة التحكم</t>
  </si>
  <si>
    <t>Gaposa 5ch</t>
  </si>
  <si>
    <t>Gaposa 1ch</t>
  </si>
  <si>
    <t>asa 4ch</t>
  </si>
  <si>
    <t>asa 1ch</t>
  </si>
  <si>
    <t>somfy 4ch</t>
  </si>
  <si>
    <t>somfy 1ch</t>
  </si>
  <si>
    <t>شنايدر خارجي</t>
  </si>
  <si>
    <t>شنايدر داخلي</t>
  </si>
  <si>
    <t>سومفي عادي</t>
  </si>
  <si>
    <t>جابوسا</t>
  </si>
  <si>
    <t>جويس</t>
  </si>
  <si>
    <t>receiver</t>
  </si>
  <si>
    <t>somfy</t>
  </si>
  <si>
    <t xml:space="preserve">somfy uno </t>
  </si>
  <si>
    <t>Remot control</t>
  </si>
  <si>
    <t>Somfy 1CH</t>
  </si>
  <si>
    <t>Somfy 4CH</t>
  </si>
  <si>
    <t>asa 1CH</t>
  </si>
  <si>
    <t>asa 4CH</t>
  </si>
  <si>
    <t>gaposa 1CH</t>
  </si>
  <si>
    <t>Gaposa 5CH</t>
  </si>
  <si>
    <t xml:space="preserve">تحويلة محرك </t>
  </si>
  <si>
    <r>
      <t xml:space="preserve">             المحركات   </t>
    </r>
    <r>
      <rPr>
        <b/>
        <sz val="10"/>
        <color rgb="FF00B050"/>
        <rFont val="Calibri"/>
        <family val="2"/>
        <scheme val="minor"/>
      </rPr>
      <t>السعر شامل الاكسسوارات الملحقة (ويل - كراون - براكيت)</t>
    </r>
  </si>
  <si>
    <t>سومفي Somfy  عادي</t>
  </si>
  <si>
    <t>asa عادي</t>
  </si>
  <si>
    <t>Gaposa عادي</t>
  </si>
  <si>
    <t>دويا شورت عادي</t>
  </si>
  <si>
    <t xml:space="preserve"> سيبار عادي</t>
  </si>
  <si>
    <t xml:space="preserve">محرك كهربائي عادي خارج المواصفات </t>
  </si>
  <si>
    <t>سومفي Somfy  مدمج</t>
  </si>
  <si>
    <t>asa مدمج</t>
  </si>
  <si>
    <t>دويا شورت مدمج</t>
  </si>
  <si>
    <t xml:space="preserve"> سيبار مدمج</t>
  </si>
  <si>
    <t xml:space="preserve"> سيمو مدمج</t>
  </si>
  <si>
    <t>هيولايت  مدمج</t>
  </si>
  <si>
    <t xml:space="preserve">محرك كهربائي مدمج خارج المواصفات </t>
  </si>
  <si>
    <t xml:space="preserve"> عادي asa</t>
  </si>
  <si>
    <t xml:space="preserve"> عادي Gaposa</t>
  </si>
  <si>
    <t>سيبار عادي</t>
  </si>
  <si>
    <t>Gaposa مدمج</t>
  </si>
  <si>
    <t xml:space="preserve">محرك كهربائي مانافيلا خارج المواصفات </t>
  </si>
  <si>
    <t>سومفي Somfy  مانافيلا</t>
  </si>
  <si>
    <t>asa مانافيلا</t>
  </si>
  <si>
    <t>Gaposa مانافيلا</t>
  </si>
  <si>
    <t>دويا شورت مانافيلا</t>
  </si>
  <si>
    <t xml:space="preserve"> سيبار مانافيلا</t>
  </si>
  <si>
    <t xml:space="preserve"> سيمو  مانافيلا</t>
  </si>
  <si>
    <t>هيولايت  مانافيلا</t>
  </si>
  <si>
    <t>مانافيلا asa</t>
  </si>
  <si>
    <t xml:space="preserve"> مانافيلا Gaposa</t>
  </si>
  <si>
    <t>سيبار مانافيلا</t>
  </si>
  <si>
    <t>سيمو مانافيلا</t>
  </si>
  <si>
    <t xml:space="preserve"> ريسيفر somfy  </t>
  </si>
  <si>
    <t>somfy uno ريسيفر</t>
  </si>
  <si>
    <t>asa ريسيفر خارجي</t>
  </si>
  <si>
    <t>asa ريسيفر داخلي</t>
  </si>
  <si>
    <t>Gaposa ريسيفر</t>
  </si>
  <si>
    <t xml:space="preserve"> ريسيفر هيولايت</t>
  </si>
  <si>
    <t>somfy 1ch ريموت</t>
  </si>
  <si>
    <t>somfy 4ch ريموت</t>
  </si>
  <si>
    <t xml:space="preserve">asa 1ch ريموت </t>
  </si>
  <si>
    <t>asa 4ch ريموت</t>
  </si>
  <si>
    <t>Gaposa 1ch ريموت</t>
  </si>
  <si>
    <t>Gaposa 5ch ريموت</t>
  </si>
  <si>
    <t>تحويلة محرك asa</t>
  </si>
  <si>
    <t>تحويلة محرك Somfy</t>
  </si>
  <si>
    <t>تحويلة محرك Gaposa</t>
  </si>
  <si>
    <t>هيولايت مانافيلا</t>
  </si>
  <si>
    <t>النيل</t>
  </si>
  <si>
    <t>مدار</t>
  </si>
  <si>
    <t>مدار A</t>
  </si>
  <si>
    <t>مدار B</t>
  </si>
  <si>
    <t>اسم الزبون الحالي:</t>
  </si>
  <si>
    <t>الأهرام</t>
  </si>
  <si>
    <t>خصم الصناديق</t>
  </si>
  <si>
    <t xml:space="preserve">خصم المحاور </t>
  </si>
  <si>
    <t xml:space="preserve">خصم الاكسسوارات </t>
  </si>
  <si>
    <t>خصم شرائح النيل</t>
  </si>
  <si>
    <t>خصم شرائح مدار</t>
  </si>
  <si>
    <t>نوع الخصم</t>
  </si>
  <si>
    <t>قيمة الخصم</t>
  </si>
  <si>
    <t>نسبة الخصم</t>
  </si>
  <si>
    <t>خصم محركات الـ asa</t>
  </si>
  <si>
    <t>خصم محركات الـ Somfy</t>
  </si>
  <si>
    <t>خصم الزنكاليوم</t>
  </si>
  <si>
    <t>خصم خد الـ 25</t>
  </si>
  <si>
    <t>طلب شراء</t>
  </si>
  <si>
    <t>رقم عرض السعر:</t>
  </si>
  <si>
    <t xml:space="preserve">جهة الطلب: </t>
  </si>
  <si>
    <t>شراء</t>
  </si>
  <si>
    <r>
      <t xml:space="preserve">طول الشريحة (سم) </t>
    </r>
    <r>
      <rPr>
        <u/>
        <sz val="11"/>
        <color theme="1"/>
        <rFont val="Arial"/>
        <family val="2"/>
      </rPr>
      <t>غير شامل الحبسات</t>
    </r>
  </si>
  <si>
    <t>الرقم</t>
  </si>
  <si>
    <t>الإجمالي بعد الخصم</t>
  </si>
  <si>
    <t>الإجمالي</t>
  </si>
  <si>
    <t>مجرى عادية</t>
  </si>
  <si>
    <t>مجرى خشبي اسباني</t>
  </si>
  <si>
    <t>الرؤية الجديدة</t>
  </si>
  <si>
    <r>
      <t xml:space="preserve">الارتفاع </t>
    </r>
    <r>
      <rPr>
        <u/>
        <sz val="11"/>
        <color theme="1"/>
        <rFont val="Arial"/>
        <family val="2"/>
      </rPr>
      <t>شامل السفلية</t>
    </r>
  </si>
  <si>
    <t>شركة مدار</t>
  </si>
  <si>
    <t>شركة النيل</t>
  </si>
  <si>
    <t>اسم العميل:</t>
  </si>
  <si>
    <t>اسم المستفيد :</t>
  </si>
  <si>
    <t>تاريخ الطلب:</t>
  </si>
  <si>
    <t>العرض</t>
  </si>
  <si>
    <t>رقم الطلب:</t>
  </si>
  <si>
    <t>مدار C</t>
  </si>
  <si>
    <t>مدار D</t>
  </si>
  <si>
    <t>الخصومات</t>
  </si>
  <si>
    <t>وصلة وذراع المانافيلا</t>
  </si>
  <si>
    <t>وصلة + ذراع</t>
  </si>
  <si>
    <t>feierge</t>
  </si>
  <si>
    <t>feierge short</t>
  </si>
  <si>
    <t>محرك feierge</t>
  </si>
  <si>
    <t>محرك feierge short</t>
  </si>
  <si>
    <t>ريسفر + ريموت feierge</t>
  </si>
  <si>
    <t>New Vision V3.1.2</t>
  </si>
  <si>
    <t>7015 رمادي</t>
  </si>
  <si>
    <t>7016 رمادي</t>
  </si>
  <si>
    <t>113 خشابي</t>
  </si>
  <si>
    <t>8040 بني محروق</t>
  </si>
  <si>
    <t>9005 أسود</t>
  </si>
  <si>
    <r>
      <t>الكمية (م</t>
    </r>
    <r>
      <rPr>
        <vertAlign val="superscript"/>
        <sz val="12"/>
        <color theme="1" tint="0.14999847407452621"/>
        <rFont val="Arial"/>
        <family val="2"/>
      </rPr>
      <t>2</t>
    </r>
    <r>
      <rPr>
        <sz val="12"/>
        <color theme="1" tint="0.14999847407452621"/>
        <rFont val="Arial"/>
        <family val="2"/>
      </rPr>
      <t>)</t>
    </r>
  </si>
  <si>
    <t>سعر الوحدة (م2)</t>
  </si>
  <si>
    <t>مدار 4.6</t>
  </si>
  <si>
    <t>النيل 5سم BK</t>
  </si>
  <si>
    <t>النيل 5سم NGS</t>
  </si>
  <si>
    <t>النيل 5.5سم NGSS</t>
  </si>
  <si>
    <t>النيل 5.5 زنكاليوم</t>
  </si>
  <si>
    <t>النيل 5.8 تيرا</t>
  </si>
  <si>
    <t>نيل هاردفوم 5.8</t>
  </si>
  <si>
    <t>النيل 5سم BK هاردفوم</t>
  </si>
  <si>
    <t>مدار 5.5</t>
  </si>
  <si>
    <t>مدار 5.8 هارفوم</t>
  </si>
  <si>
    <t>مدار 4سم زنكاليوم</t>
  </si>
  <si>
    <t>مدار 5سم إنارة واسعة</t>
  </si>
  <si>
    <t>تركي 5.6</t>
  </si>
  <si>
    <t>تركي 4.5</t>
  </si>
  <si>
    <t>النيل 5سم نيو زنكاليوم</t>
  </si>
  <si>
    <t>يوناني 4.3</t>
  </si>
  <si>
    <t>يوناني 5.5</t>
  </si>
  <si>
    <t>حماية R550</t>
  </si>
  <si>
    <t>حماية R500</t>
  </si>
  <si>
    <t>شنايدر لطش</t>
  </si>
  <si>
    <t>جويس داخلي</t>
  </si>
  <si>
    <t>جويس لطش</t>
  </si>
  <si>
    <t>سانشي داخلي</t>
  </si>
  <si>
    <t>سانشي لطش</t>
  </si>
  <si>
    <t>بيتشينو ماتكس</t>
  </si>
  <si>
    <t>بيتشينو سوليدا</t>
  </si>
  <si>
    <t>نفس معاملة مدار</t>
  </si>
  <si>
    <t>نفس نيل NGS</t>
  </si>
  <si>
    <t>شريحة 4.6 سم مدار</t>
  </si>
  <si>
    <t>تم</t>
  </si>
  <si>
    <t>شريحة النيل 5سم BK</t>
  </si>
  <si>
    <t>شريحة النيل 5سم NGS</t>
  </si>
  <si>
    <t>شريحة النيل 5.5 زنكاليوم</t>
  </si>
  <si>
    <t>شريحة النيل 5.8 تيرا</t>
  </si>
  <si>
    <t>شريحة النيل 5سم نيو زنكاليوم</t>
  </si>
  <si>
    <t>شريحة النيل 5سم BK هاردفوم</t>
  </si>
  <si>
    <t>شريحة مدار 5.8 هارفوم</t>
  </si>
  <si>
    <t>شريحة مدار 4سم زنكاليوم</t>
  </si>
  <si>
    <t>شريحة مدار 5سم إنارة واسعة</t>
  </si>
  <si>
    <t>5010 أزرق</t>
  </si>
  <si>
    <t>8014 بني</t>
  </si>
  <si>
    <t>أسود مت</t>
  </si>
  <si>
    <t>7003 فضي</t>
  </si>
  <si>
    <t>شريحة النيل 5.5سم NGSS</t>
  </si>
  <si>
    <t>شريحة نيل هاردفوم 5.8</t>
  </si>
  <si>
    <t>شريحة مدار 5.5</t>
  </si>
  <si>
    <t>شريحة تركي 5.6</t>
  </si>
  <si>
    <t>شريحة تركي 4.5</t>
  </si>
  <si>
    <t>شريحة يوناني 5.5</t>
  </si>
  <si>
    <t>شريحة يوناني 4.3</t>
  </si>
  <si>
    <t>شريحة حماية R550</t>
  </si>
  <si>
    <t>شريحة حماية R500</t>
  </si>
  <si>
    <t>وزن المتر</t>
  </si>
  <si>
    <t>كيروبيني</t>
  </si>
  <si>
    <t>فيلوتي</t>
  </si>
  <si>
    <t>أوكسجين</t>
  </si>
  <si>
    <t>موزيل تركي</t>
  </si>
  <si>
    <t>موزيل تركي شورت</t>
  </si>
  <si>
    <t>ترونك</t>
  </si>
  <si>
    <t>روزا</t>
  </si>
  <si>
    <t>انجوي</t>
  </si>
  <si>
    <t>بيكر</t>
  </si>
  <si>
    <t>TTGO</t>
  </si>
  <si>
    <t>Loula</t>
  </si>
  <si>
    <t>مثل ال دويا شورت</t>
  </si>
  <si>
    <t>نفس صومفي</t>
  </si>
  <si>
    <t>رجوع للحاجة</t>
  </si>
  <si>
    <t>لسا</t>
  </si>
  <si>
    <t>عادي صومفي</t>
  </si>
  <si>
    <t>صومفي بلتي ان</t>
  </si>
  <si>
    <t>asa بلتي ان</t>
  </si>
  <si>
    <t>Gaposa بلتي ان</t>
  </si>
  <si>
    <t>دويا شورت بلتي ان</t>
  </si>
  <si>
    <t>سيبار بلتي ان</t>
  </si>
  <si>
    <t>سيمو بلتي ان</t>
  </si>
  <si>
    <t>هيولايت بلتي ان</t>
  </si>
  <si>
    <t>صومفي منافيلا</t>
  </si>
  <si>
    <t>وصلة + ذراع منافيلا</t>
  </si>
  <si>
    <t>ملاحظات</t>
  </si>
  <si>
    <t>مفاتيح تشغيل</t>
  </si>
  <si>
    <t>بيتشينو ماتكس داخلي</t>
  </si>
  <si>
    <t>بيتشينو سوليدا داخلي</t>
  </si>
  <si>
    <t>فينوس داخلي</t>
  </si>
  <si>
    <t>وش 2 فتحة شنايدر</t>
  </si>
  <si>
    <t>وش 1 فتحة شنايدر</t>
  </si>
  <si>
    <t>وش 3 فتحة شنايدر</t>
  </si>
  <si>
    <t>وش 1 فتحة جويس</t>
  </si>
  <si>
    <t>وش 2 فتحة جويس</t>
  </si>
  <si>
    <t>وش 3 فتحة جويس</t>
  </si>
  <si>
    <t>وش 1 فتحة سانشي</t>
  </si>
  <si>
    <t>وش 2 فتحة سانشي</t>
  </si>
  <si>
    <t>وش 3 فتحة سانشي</t>
  </si>
  <si>
    <t>وش 1 فتحة بيتشينو</t>
  </si>
  <si>
    <t>وش 2 فتحة بيتشينو</t>
  </si>
  <si>
    <t>وش 3 فتحة بيتشينو</t>
  </si>
  <si>
    <t>وش 1 فتحة فينوس</t>
  </si>
  <si>
    <t>وش 2 فتحة فينوس</t>
  </si>
  <si>
    <t>وش 3 فتحة فينوس</t>
  </si>
  <si>
    <t>سدادة شنايدر</t>
  </si>
  <si>
    <t>سدادة جويس</t>
  </si>
  <si>
    <t>سدادة سانشي</t>
  </si>
  <si>
    <t>سدادة بيتشينو</t>
  </si>
  <si>
    <t>سدادة فينوس</t>
  </si>
  <si>
    <t>لقمة انارة شنايدة</t>
  </si>
  <si>
    <t>لقمة انارة جويس</t>
  </si>
  <si>
    <t>لقمة انارة سانشي</t>
  </si>
  <si>
    <t>لقمة انارة بيتشينو</t>
  </si>
  <si>
    <t>لقمة انارة فينوس</t>
  </si>
  <si>
    <t>بريزة شنايدر</t>
  </si>
  <si>
    <t>بريزة جويس</t>
  </si>
  <si>
    <t>بريزة سانشي</t>
  </si>
  <si>
    <t>بريزة بيتشينو</t>
  </si>
  <si>
    <t>بريزة فينوس</t>
  </si>
  <si>
    <t>لقمة شيش شنايدة</t>
  </si>
  <si>
    <t>لقمة شيش جويس</t>
  </si>
  <si>
    <t>لقمة شيش سانشي</t>
  </si>
  <si>
    <t>لقمة شيش بيتشينو</t>
  </si>
  <si>
    <t>لقمة شيش فينوس</t>
  </si>
  <si>
    <t>إضافات ( ملحقات )</t>
  </si>
  <si>
    <t>سلك كهرباء</t>
  </si>
  <si>
    <t>صاجة مقاس 20</t>
  </si>
  <si>
    <t>البرمجة والتحكم</t>
  </si>
  <si>
    <t>صاجة مقاس 25</t>
  </si>
  <si>
    <t>قاعدة رولمان كبيرة</t>
  </si>
  <si>
    <t>قاعدة رولمان صغيرة</t>
  </si>
  <si>
    <t>رولمان</t>
  </si>
  <si>
    <t>دكت</t>
  </si>
  <si>
    <t>طقم شريط كامل كبير ( مع كوباية شفط + كوباية عجل + طارة عجل )</t>
  </si>
  <si>
    <t>طقم شريط كامل صغير ( مع كوباية شفط + كوباية عجل + طارة عجل )</t>
  </si>
  <si>
    <t>رقم القيد:</t>
  </si>
  <si>
    <t>صاجة بنز 20</t>
  </si>
  <si>
    <t>صاجة بنز 25</t>
  </si>
  <si>
    <t>المفاتيح</t>
  </si>
  <si>
    <t>الاكسسورات</t>
  </si>
  <si>
    <t>صومفي</t>
  </si>
  <si>
    <t>ازا</t>
  </si>
  <si>
    <t>موزيل</t>
  </si>
  <si>
    <t>دويا</t>
  </si>
  <si>
    <t>لغة الاتصال</t>
  </si>
  <si>
    <t>ريسفر&amp;ريموت</t>
  </si>
  <si>
    <t>الطول (ٍسم)</t>
  </si>
  <si>
    <t>طريقة</t>
  </si>
  <si>
    <t>التركيب</t>
  </si>
  <si>
    <t>ترونك شورت</t>
  </si>
  <si>
    <t>بتشينو ماتكس</t>
  </si>
  <si>
    <t>التيوبات</t>
  </si>
  <si>
    <t>معلومات قوائم منسدلة</t>
  </si>
  <si>
    <t>الدوران</t>
  </si>
  <si>
    <t>المقاس</t>
  </si>
  <si>
    <t>نوع التيوبات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</si>
</sst>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h:mm;@"/>
    <numFmt numFmtId="167" formatCode="[$-409]h:mm\ AM/PM;@"/>
    <numFmt numFmtId="168" formatCode="dd/mm/yyyy;@"/>
    <numFmt numFmtId="169" formatCode="#,##0.0"/>
    <numFmt numFmtId="170" formatCode="[$-409]mm/dd/yyyy\ \ \ \ h:mm\ AM/PM;@"/>
  </numFmts>
  <fonts count="1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9"/>
      <name val="Calibri"/>
      <family val="2"/>
      <scheme val="minor"/>
    </font>
    <font>
      <b/>
      <u/>
      <sz val="16"/>
      <color theme="5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20"/>
      <color theme="1" tint="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sz val="11"/>
      <color theme="1"/>
      <name val="Arial"/>
      <family val="2"/>
    </font>
    <font>
      <sz val="11"/>
      <color theme="5"/>
      <name val="Calibri"/>
      <family val="2"/>
      <scheme val="minor"/>
    </font>
    <font>
      <sz val="11"/>
      <name val="Arial"/>
      <family val="2"/>
    </font>
    <font>
      <sz val="11"/>
      <name val="Times New Roman"/>
      <family val="1"/>
    </font>
    <font>
      <b/>
      <sz val="10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0"/>
      <name val="Tahoma"/>
      <family val="2"/>
    </font>
    <font>
      <b/>
      <sz val="14"/>
      <name val="Tahoma"/>
      <family val="2"/>
    </font>
    <font>
      <sz val="14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name val="Tahoma"/>
      <family val="2"/>
    </font>
    <font>
      <sz val="14"/>
      <color theme="1"/>
      <name val="Tahoma"/>
      <family val="2"/>
    </font>
    <font>
      <b/>
      <sz val="14"/>
      <name val="Calibri"/>
      <family val="2"/>
      <scheme val="minor"/>
    </font>
    <font>
      <sz val="14"/>
      <color theme="0"/>
      <name val="Tahoma"/>
      <family val="2"/>
    </font>
    <font>
      <sz val="9"/>
      <color rgb="FF00B050"/>
      <name val="Calibri"/>
      <family val="2"/>
      <scheme val="minor"/>
    </font>
    <font>
      <sz val="13"/>
      <color indexed="8"/>
      <name val="Times New Roman"/>
      <family val="1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sz val="9"/>
      <color rgb="FF00B050"/>
      <name val="Arial"/>
      <family val="2"/>
    </font>
    <font>
      <sz val="36"/>
      <color rgb="FF00B050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8"/>
      <name val="Tahoma"/>
      <family val="2"/>
    </font>
    <font>
      <sz val="11"/>
      <color theme="3"/>
      <name val="Calibri"/>
      <family val="2"/>
      <scheme val="minor"/>
    </font>
    <font>
      <sz val="9"/>
      <color theme="3"/>
      <name val="Arial"/>
      <family val="2"/>
    </font>
    <font>
      <sz val="12"/>
      <color rgb="FF00B05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26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sz val="9"/>
      <color theme="1" tint="0.34998626667073579"/>
      <name val="Arial"/>
      <family val="2"/>
    </font>
    <font>
      <sz val="9"/>
      <color theme="1" tint="0.14999847407452621"/>
      <name val="Arial"/>
      <family val="2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8"/>
      <color theme="1" tint="0.14999847407452621"/>
      <name val="Arial"/>
      <family val="2"/>
    </font>
    <font>
      <u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Times New Roman"/>
      <family val="1"/>
    </font>
    <font>
      <sz val="11"/>
      <color theme="0"/>
      <name val="Calibri"/>
      <family val="2"/>
      <scheme val="minor"/>
    </font>
    <font>
      <sz val="28"/>
      <name val="Calibri"/>
      <family val="2"/>
      <scheme val="minor"/>
    </font>
    <font>
      <sz val="9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2"/>
      <color theme="1" tint="0.14999847407452621"/>
      <name val="Arial"/>
      <family val="2"/>
    </font>
    <font>
      <vertAlign val="superscript"/>
      <sz val="12"/>
      <color theme="1" tint="0.14999847407452621"/>
      <name val="Arial"/>
      <family val="2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Calibri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5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3B96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4797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medium">
        <color indexed="64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theme="1" tint="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double">
        <color theme="1" tint="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14999847407452621"/>
      </left>
      <right style="medium">
        <color indexed="64"/>
      </right>
      <top/>
      <bottom style="double">
        <color theme="1" tint="4.9989318521683403E-2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/>
      <bottom style="double">
        <color theme="1" tint="4.9989318521683403E-2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14999847407452621"/>
      </right>
      <top style="medium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9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thick">
        <color auto="1"/>
      </left>
      <right style="thick">
        <color auto="1"/>
      </right>
      <top/>
      <bottom style="thin">
        <color theme="0"/>
      </bottom>
      <diagonal/>
    </border>
    <border>
      <left style="thick">
        <color auto="1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auto="1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9847407452621"/>
      </left>
      <right/>
      <top/>
      <bottom style="double">
        <color theme="1" tint="4.9989318521683403E-2"/>
      </bottom>
      <diagonal/>
    </border>
    <border>
      <left style="thin">
        <color theme="0" tint="-0.1499984740745262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theme="0"/>
      </bottom>
      <diagonal/>
    </border>
    <border>
      <left/>
      <right/>
      <top style="thick">
        <color auto="1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 style="medium">
        <color theme="0" tint="-0.499984740745262"/>
      </top>
      <bottom style="thin">
        <color indexed="64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/>
      <top/>
      <bottom style="thin">
        <color theme="9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9" tint="0.39994506668294322"/>
      </bottom>
      <diagonal/>
    </border>
    <border>
      <left/>
      <right/>
      <top style="thin">
        <color theme="8" tint="0.39994506668294322"/>
      </top>
      <bottom style="thin">
        <color theme="9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9" tint="0.399945066682943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62" fillId="0" borderId="0"/>
  </cellStyleXfs>
  <cellXfs count="117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" fontId="22" fillId="0" borderId="49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5" fillId="0" borderId="56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0" fillId="0" borderId="47" xfId="0" applyNumberFormat="1" applyBorder="1" applyAlignment="1">
      <alignment horizontal="center" vertical="center"/>
    </xf>
    <xf numFmtId="1" fontId="0" fillId="3" borderId="47" xfId="0" applyNumberFormat="1" applyFill="1" applyBorder="1" applyAlignment="1">
      <alignment horizontal="center" vertical="center"/>
    </xf>
    <xf numFmtId="1" fontId="21" fillId="3" borderId="1" xfId="0" applyNumberFormat="1" applyFont="1" applyFill="1" applyBorder="1" applyAlignment="1">
      <alignment horizontal="center" vertical="center" wrapText="1"/>
    </xf>
    <xf numFmtId="1" fontId="21" fillId="3" borderId="5" xfId="0" applyNumberFormat="1" applyFont="1" applyFill="1" applyBorder="1" applyAlignment="1">
      <alignment horizontal="center" vertical="center" wrapText="1"/>
    </xf>
    <xf numFmtId="1" fontId="24" fillId="0" borderId="46" xfId="0" applyNumberFormat="1" applyFont="1" applyBorder="1" applyAlignment="1">
      <alignment horizontal="center" vertical="center"/>
    </xf>
    <xf numFmtId="1" fontId="21" fillId="3" borderId="46" xfId="0" applyNumberFormat="1" applyFont="1" applyFill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1" fontId="0" fillId="0" borderId="50" xfId="0" applyNumberFormat="1" applyBorder="1" applyAlignment="1">
      <alignment horizontal="center" vertical="center"/>
    </xf>
    <xf numFmtId="164" fontId="2" fillId="0" borderId="46" xfId="0" applyNumberFormat="1" applyFont="1" applyBorder="1" applyAlignment="1">
      <alignment horizontal="center" vertical="center"/>
    </xf>
    <xf numFmtId="1" fontId="0" fillId="3" borderId="66" xfId="0" applyNumberFormat="1" applyFill="1" applyBorder="1" applyAlignment="1">
      <alignment horizontal="center" vertical="center"/>
    </xf>
    <xf numFmtId="1" fontId="0" fillId="0" borderId="66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46" xfId="0" applyNumberFormat="1" applyBorder="1" applyAlignment="1">
      <alignment horizontal="center" vertical="center"/>
    </xf>
    <xf numFmtId="1" fontId="0" fillId="0" borderId="48" xfId="0" applyNumberFormat="1" applyBorder="1" applyAlignment="1">
      <alignment horizontal="center" vertical="center"/>
    </xf>
    <xf numFmtId="1" fontId="0" fillId="0" borderId="49" xfId="0" applyNumberFormat="1" applyBorder="1" applyAlignment="1">
      <alignment horizontal="center" vertical="center"/>
    </xf>
    <xf numFmtId="1" fontId="26" fillId="0" borderId="46" xfId="0" applyNumberFormat="1" applyFont="1" applyBorder="1" applyAlignment="1">
      <alignment horizontal="center" vertical="center"/>
    </xf>
    <xf numFmtId="1" fontId="17" fillId="5" borderId="43" xfId="0" applyNumberFormat="1" applyFont="1" applyFill="1" applyBorder="1" applyAlignment="1">
      <alignment horizontal="center" vertical="center" wrapText="1"/>
    </xf>
    <xf numFmtId="1" fontId="25" fillId="5" borderId="65" xfId="0" applyNumberFormat="1" applyFont="1" applyFill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4" fontId="27" fillId="0" borderId="49" xfId="0" applyNumberFormat="1" applyFont="1" applyBorder="1" applyAlignment="1">
      <alignment horizontal="center" vertical="center"/>
    </xf>
    <xf numFmtId="1" fontId="29" fillId="3" borderId="47" xfId="0" applyNumberFormat="1" applyFont="1" applyFill="1" applyBorder="1" applyAlignment="1">
      <alignment horizontal="center" vertical="center" wrapText="1"/>
    </xf>
    <xf numFmtId="164" fontId="19" fillId="0" borderId="46" xfId="0" applyNumberFormat="1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 vertical="center"/>
    </xf>
    <xf numFmtId="0" fontId="0" fillId="0" borderId="72" xfId="0" applyBorder="1"/>
    <xf numFmtId="0" fontId="0" fillId="0" borderId="29" xfId="0" applyBorder="1"/>
    <xf numFmtId="0" fontId="0" fillId="0" borderId="30" xfId="0" applyBorder="1"/>
    <xf numFmtId="0" fontId="0" fillId="3" borderId="0" xfId="0" applyFill="1" applyAlignment="1" applyProtection="1">
      <alignment horizontal="center"/>
      <protection hidden="1"/>
    </xf>
    <xf numFmtId="4" fontId="0" fillId="3" borderId="0" xfId="0" applyNumberFormat="1" applyFill="1" applyAlignment="1" applyProtection="1">
      <alignment horizontal="center"/>
      <protection hidden="1"/>
    </xf>
    <xf numFmtId="0" fontId="17" fillId="3" borderId="39" xfId="0" applyFont="1" applyFill="1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9" fillId="5" borderId="1" xfId="0" applyFont="1" applyFill="1" applyBorder="1" applyAlignment="1" applyProtection="1">
      <alignment horizontal="center" vertical="center" wrapText="1" readingOrder="2"/>
      <protection hidden="1"/>
    </xf>
    <xf numFmtId="0" fontId="6" fillId="0" borderId="1" xfId="0" applyFont="1" applyBorder="1" applyAlignment="1" applyProtection="1">
      <alignment horizontal="center" vertical="center" wrapText="1" readingOrder="2"/>
      <protection hidden="1"/>
    </xf>
    <xf numFmtId="164" fontId="0" fillId="0" borderId="1" xfId="0" applyNumberFormat="1" applyBorder="1" applyAlignment="1" applyProtection="1">
      <alignment horizontal="center" vertical="center"/>
      <protection hidden="1"/>
    </xf>
    <xf numFmtId="1" fontId="0" fillId="0" borderId="1" xfId="0" applyNumberFormat="1" applyBorder="1" applyAlignment="1" applyProtection="1">
      <alignment horizontal="center" vertical="center" wrapText="1"/>
      <protection hidden="1"/>
    </xf>
    <xf numFmtId="3" fontId="0" fillId="0" borderId="1" xfId="0" applyNumberFormat="1" applyBorder="1" applyAlignment="1" applyProtection="1">
      <alignment horizontal="center" vertical="center" wrapText="1"/>
      <protection hidden="1"/>
    </xf>
    <xf numFmtId="0" fontId="9" fillId="0" borderId="1" xfId="0" applyFont="1" applyBorder="1" applyAlignment="1" applyProtection="1">
      <alignment horizontal="center" vertical="center" wrapText="1" readingOrder="2"/>
      <protection hidden="1"/>
    </xf>
    <xf numFmtId="0" fontId="10" fillId="0" borderId="1" xfId="0" applyFont="1" applyBorder="1" applyAlignment="1" applyProtection="1">
      <alignment horizontal="center" vertical="center" wrapText="1" readingOrder="1"/>
      <protection hidden="1"/>
    </xf>
    <xf numFmtId="0" fontId="6" fillId="0" borderId="1" xfId="0" applyFont="1" applyBorder="1" applyAlignment="1" applyProtection="1">
      <alignment horizontal="center" vertical="center" wrapText="1"/>
      <protection hidden="1"/>
    </xf>
    <xf numFmtId="165" fontId="6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 vertical="center" wrapText="1"/>
      <protection hidden="1"/>
    </xf>
    <xf numFmtId="3" fontId="0" fillId="3" borderId="1" xfId="0" applyNumberFormat="1" applyFill="1" applyBorder="1" applyAlignment="1" applyProtection="1">
      <alignment horizontal="center" vertical="center" wrapText="1"/>
      <protection hidden="1"/>
    </xf>
    <xf numFmtId="4" fontId="3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164" fontId="0" fillId="3" borderId="0" xfId="0" applyNumberFormat="1" applyFill="1" applyAlignment="1" applyProtection="1">
      <alignment horizontal="center"/>
      <protection hidden="1"/>
    </xf>
    <xf numFmtId="1" fontId="8" fillId="3" borderId="5" xfId="0" applyNumberFormat="1" applyFont="1" applyFill="1" applyBorder="1" applyAlignment="1" applyProtection="1">
      <alignment vertical="center" wrapText="1" readingOrder="1"/>
      <protection hidden="1"/>
    </xf>
    <xf numFmtId="0" fontId="8" fillId="3" borderId="7" xfId="0" applyFont="1" applyFill="1" applyBorder="1" applyAlignment="1" applyProtection="1">
      <alignment vertical="center" wrapText="1" readingOrder="1"/>
      <protection hidden="1"/>
    </xf>
    <xf numFmtId="0" fontId="8" fillId="3" borderId="6" xfId="0" applyFont="1" applyFill="1" applyBorder="1" applyAlignment="1" applyProtection="1">
      <alignment vertical="center" wrapText="1" readingOrder="1"/>
      <protection hidden="1"/>
    </xf>
    <xf numFmtId="164" fontId="8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3" fontId="8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1" fontId="8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0" fontId="0" fillId="3" borderId="0" xfId="0" applyFill="1" applyProtection="1">
      <protection hidden="1"/>
    </xf>
    <xf numFmtId="0" fontId="14" fillId="0" borderId="0" xfId="0" applyFont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0" fillId="2" borderId="0" xfId="0" applyFill="1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0" fontId="14" fillId="2" borderId="0" xfId="0" applyFont="1" applyFill="1" applyAlignment="1" applyProtection="1">
      <alignment horizontal="center"/>
      <protection hidden="1"/>
    </xf>
    <xf numFmtId="0" fontId="14" fillId="2" borderId="0" xfId="0" applyFont="1" applyFill="1" applyProtection="1">
      <protection hidden="1"/>
    </xf>
    <xf numFmtId="1" fontId="8" fillId="3" borderId="5" xfId="0" applyNumberFormat="1" applyFont="1" applyFill="1" applyBorder="1" applyAlignment="1" applyProtection="1">
      <alignment horizontal="center" vertical="center" wrapText="1" readingOrder="1"/>
      <protection hidden="1"/>
    </xf>
    <xf numFmtId="0" fontId="8" fillId="3" borderId="7" xfId="0" applyFont="1" applyFill="1" applyBorder="1" applyAlignment="1" applyProtection="1">
      <alignment horizontal="center" vertical="center" wrapText="1" readingOrder="1"/>
      <protection hidden="1"/>
    </xf>
    <xf numFmtId="0" fontId="8" fillId="3" borderId="6" xfId="0" applyFont="1" applyFill="1" applyBorder="1" applyAlignment="1" applyProtection="1">
      <alignment horizontal="center" vertical="center" wrapText="1" readingOrder="1"/>
      <protection hidden="1"/>
    </xf>
    <xf numFmtId="0" fontId="8" fillId="3" borderId="5" xfId="0" applyFont="1" applyFill="1" applyBorder="1" applyAlignment="1" applyProtection="1">
      <alignment horizontal="center" vertical="center" wrapText="1" readingOrder="1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6" fillId="5" borderId="1" xfId="0" applyFont="1" applyFill="1" applyBorder="1" applyAlignment="1" applyProtection="1">
      <alignment horizontal="center" vertical="center" wrapText="1" readingOrder="2"/>
      <protection hidden="1"/>
    </xf>
    <xf numFmtId="4" fontId="0" fillId="0" borderId="0" xfId="0" applyNumberFormat="1" applyAlignment="1" applyProtection="1">
      <alignment horizontal="center"/>
      <protection hidden="1"/>
    </xf>
    <xf numFmtId="0" fontId="0" fillId="4" borderId="0" xfId="0" applyFill="1" applyAlignment="1" applyProtection="1">
      <alignment horizontal="center" vertical="center" wrapText="1" readingOrder="2"/>
      <protection hidden="1"/>
    </xf>
    <xf numFmtId="0" fontId="0" fillId="0" borderId="0" xfId="0" applyProtection="1"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32" fillId="0" borderId="1" xfId="0" applyFont="1" applyBorder="1" applyAlignment="1" applyProtection="1">
      <alignment horizontal="center" vertical="center" wrapText="1" readingOrder="2"/>
      <protection hidden="1"/>
    </xf>
    <xf numFmtId="2" fontId="0" fillId="0" borderId="1" xfId="0" applyNumberFormat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center"/>
      <protection hidden="1"/>
    </xf>
    <xf numFmtId="0" fontId="3" fillId="5" borderId="1" xfId="0" applyFont="1" applyFill="1" applyBorder="1" applyAlignment="1" applyProtection="1">
      <alignment horizontal="center" vertical="center" wrapText="1" readingOrder="2"/>
      <protection hidden="1"/>
    </xf>
    <xf numFmtId="4" fontId="3" fillId="5" borderId="1" xfId="0" applyNumberFormat="1" applyFont="1" applyFill="1" applyBorder="1" applyAlignment="1" applyProtection="1">
      <alignment horizontal="center" vertical="center" wrapText="1" readingOrder="2"/>
      <protection hidden="1"/>
    </xf>
    <xf numFmtId="0" fontId="33" fillId="0" borderId="1" xfId="0" applyFont="1" applyBorder="1" applyAlignment="1" applyProtection="1">
      <alignment horizontal="center" vertical="center" wrapText="1" readingOrder="2"/>
      <protection hidden="1"/>
    </xf>
    <xf numFmtId="2" fontId="8" fillId="0" borderId="1" xfId="0" applyNumberFormat="1" applyFont="1" applyBorder="1" applyAlignment="1" applyProtection="1">
      <alignment horizontal="center" vertical="center" wrapText="1" readingOrder="2"/>
      <protection hidden="1"/>
    </xf>
    <xf numFmtId="0" fontId="8" fillId="0" borderId="1" xfId="0" applyFont="1" applyBorder="1" applyAlignment="1" applyProtection="1">
      <alignment horizontal="center" vertical="center" wrapText="1" readingOrder="2"/>
      <protection hidden="1"/>
    </xf>
    <xf numFmtId="0" fontId="0" fillId="4" borderId="0" xfId="0" applyFill="1" applyProtection="1">
      <protection hidden="1"/>
    </xf>
    <xf numFmtId="0" fontId="0" fillId="2" borderId="0" xfId="0" applyFill="1" applyAlignment="1" applyProtection="1">
      <alignment horizontal="center" vertical="center" wrapText="1"/>
      <protection hidden="1"/>
    </xf>
    <xf numFmtId="0" fontId="0" fillId="4" borderId="0" xfId="0" applyFill="1" applyAlignment="1" applyProtection="1">
      <alignment horizontal="center"/>
      <protection hidden="1"/>
    </xf>
    <xf numFmtId="4" fontId="0" fillId="4" borderId="0" xfId="0" applyNumberFormat="1" applyFill="1" applyAlignment="1" applyProtection="1">
      <alignment horizontal="center"/>
      <protection hidden="1"/>
    </xf>
    <xf numFmtId="0" fontId="0" fillId="2" borderId="81" xfId="0" applyFill="1" applyBorder="1" applyAlignment="1" applyProtection="1">
      <alignment horizontal="center"/>
      <protection hidden="1"/>
    </xf>
    <xf numFmtId="0" fontId="0" fillId="0" borderId="81" xfId="0" applyBorder="1" applyAlignment="1" applyProtection="1">
      <alignment horizontal="center" vertical="center"/>
      <protection hidden="1"/>
    </xf>
    <xf numFmtId="0" fontId="0" fillId="2" borderId="81" xfId="0" applyFill="1" applyBorder="1" applyAlignment="1" applyProtection="1">
      <alignment horizontal="center" vertical="center"/>
      <protection hidden="1"/>
    </xf>
    <xf numFmtId="0" fontId="34" fillId="0" borderId="80" xfId="0" applyFont="1" applyBorder="1" applyAlignment="1" applyProtection="1">
      <alignment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14" fontId="5" fillId="0" borderId="12" xfId="0" applyNumberFormat="1" applyFont="1" applyBorder="1" applyAlignment="1" applyProtection="1">
      <alignment horizontal="center" vertical="center"/>
      <protection hidden="1"/>
    </xf>
    <xf numFmtId="164" fontId="27" fillId="0" borderId="1" xfId="0" applyNumberFormat="1" applyFont="1" applyBorder="1" applyAlignment="1">
      <alignment horizontal="center" vertical="center"/>
    </xf>
    <xf numFmtId="1" fontId="0" fillId="2" borderId="86" xfId="0" applyNumberFormat="1" applyFill="1" applyBorder="1" applyAlignment="1">
      <alignment horizontal="center" vertical="center"/>
    </xf>
    <xf numFmtId="1" fontId="17" fillId="5" borderId="4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11" fillId="0" borderId="0" xfId="0" applyFont="1"/>
    <xf numFmtId="1" fontId="29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" fillId="3" borderId="46" xfId="0" applyNumberFormat="1" applyFont="1" applyFill="1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 wrapText="1"/>
    </xf>
    <xf numFmtId="2" fontId="38" fillId="3" borderId="49" xfId="0" applyNumberFormat="1" applyFont="1" applyFill="1" applyBorder="1" applyAlignment="1">
      <alignment horizontal="center" vertical="center"/>
    </xf>
    <xf numFmtId="1" fontId="38" fillId="3" borderId="50" xfId="0" applyNumberFormat="1" applyFont="1" applyFill="1" applyBorder="1" applyAlignment="1">
      <alignment horizontal="center" vertical="center"/>
    </xf>
    <xf numFmtId="164" fontId="37" fillId="3" borderId="87" xfId="0" applyNumberFormat="1" applyFont="1" applyFill="1" applyBorder="1" applyAlignment="1">
      <alignment horizontal="center" vertical="center"/>
    </xf>
    <xf numFmtId="2" fontId="38" fillId="3" borderId="64" xfId="0" applyNumberFormat="1" applyFont="1" applyFill="1" applyBorder="1" applyAlignment="1">
      <alignment horizontal="center" vertical="center"/>
    </xf>
    <xf numFmtId="164" fontId="38" fillId="3" borderId="48" xfId="0" applyNumberFormat="1" applyFont="1" applyFill="1" applyBorder="1" applyAlignment="1">
      <alignment horizontal="center" vertical="center"/>
    </xf>
    <xf numFmtId="1" fontId="38" fillId="3" borderId="67" xfId="0" applyNumberFormat="1" applyFont="1" applyFill="1" applyBorder="1" applyAlignment="1">
      <alignment horizontal="center" vertical="center"/>
    </xf>
    <xf numFmtId="2" fontId="38" fillId="3" borderId="50" xfId="0" applyNumberFormat="1" applyFont="1" applyFill="1" applyBorder="1" applyAlignment="1">
      <alignment horizontal="center" vertical="center"/>
    </xf>
    <xf numFmtId="2" fontId="38" fillId="3" borderId="50" xfId="0" applyNumberFormat="1" applyFont="1" applyFill="1" applyBorder="1" applyAlignment="1">
      <alignment horizontal="center" vertical="center" wrapText="1"/>
    </xf>
    <xf numFmtId="1" fontId="38" fillId="3" borderId="64" xfId="0" applyNumberFormat="1" applyFont="1" applyFill="1" applyBorder="1" applyAlignment="1">
      <alignment horizontal="center" vertical="center"/>
    </xf>
    <xf numFmtId="1" fontId="38" fillId="3" borderId="53" xfId="0" applyNumberFormat="1" applyFont="1" applyFill="1" applyBorder="1" applyAlignment="1">
      <alignment horizontal="center" vertical="center"/>
    </xf>
    <xf numFmtId="164" fontId="38" fillId="3" borderId="64" xfId="0" applyNumberFormat="1" applyFont="1" applyFill="1" applyBorder="1" applyAlignment="1">
      <alignment horizontal="center" vertical="center"/>
    </xf>
    <xf numFmtId="1" fontId="37" fillId="3" borderId="52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 applyProtection="1">
      <alignment horizontal="center" vertical="center"/>
      <protection hidden="1"/>
    </xf>
    <xf numFmtId="0" fontId="22" fillId="2" borderId="0" xfId="0" applyFont="1" applyFill="1" applyAlignment="1">
      <alignment horizontal="center" vertical="center"/>
    </xf>
    <xf numFmtId="0" fontId="22" fillId="0" borderId="0" xfId="0" applyFont="1"/>
    <xf numFmtId="0" fontId="40" fillId="2" borderId="0" xfId="0" applyFont="1" applyFill="1" applyAlignment="1">
      <alignment horizontal="center" vertical="center"/>
    </xf>
    <xf numFmtId="0" fontId="40" fillId="0" borderId="0" xfId="0" applyFont="1" applyAlignment="1">
      <alignment horizontal="center" vertical="center"/>
    </xf>
    <xf numFmtId="1" fontId="40" fillId="0" borderId="0" xfId="0" applyNumberFormat="1" applyFont="1" applyAlignment="1">
      <alignment horizontal="center" vertical="center"/>
    </xf>
    <xf numFmtId="166" fontId="40" fillId="0" borderId="0" xfId="0" applyNumberFormat="1" applyFont="1" applyAlignment="1">
      <alignment vertical="center"/>
    </xf>
    <xf numFmtId="0" fontId="2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 readingOrder="2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 readingOrder="2"/>
    </xf>
    <xf numFmtId="0" fontId="21" fillId="0" borderId="0" xfId="0" applyFont="1"/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/>
    <xf numFmtId="0" fontId="36" fillId="0" borderId="85" xfId="0" applyFont="1" applyBorder="1" applyAlignment="1" applyProtection="1">
      <alignment horizontal="center" vertical="center"/>
      <protection hidden="1"/>
    </xf>
    <xf numFmtId="1" fontId="21" fillId="0" borderId="100" xfId="0" applyNumberFormat="1" applyFont="1" applyBorder="1" applyAlignment="1">
      <alignment vertical="center"/>
    </xf>
    <xf numFmtId="1" fontId="21" fillId="0" borderId="54" xfId="0" applyNumberFormat="1" applyFont="1" applyBorder="1" applyAlignment="1">
      <alignment vertical="center"/>
    </xf>
    <xf numFmtId="1" fontId="21" fillId="0" borderId="99" xfId="0" applyNumberFormat="1" applyFont="1" applyBorder="1" applyAlignment="1">
      <alignment vertical="center"/>
    </xf>
    <xf numFmtId="1" fontId="21" fillId="0" borderId="102" xfId="0" applyNumberFormat="1" applyFont="1" applyBorder="1" applyAlignment="1">
      <alignment vertical="center"/>
    </xf>
    <xf numFmtId="1" fontId="21" fillId="0" borderId="104" xfId="0" applyNumberFormat="1" applyFont="1" applyBorder="1" applyAlignment="1">
      <alignment vertical="center"/>
    </xf>
    <xf numFmtId="2" fontId="0" fillId="3" borderId="0" xfId="0" applyNumberFormat="1" applyFill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center" vertical="center" wrapText="1"/>
      <protection hidden="1"/>
    </xf>
    <xf numFmtId="0" fontId="0" fillId="3" borderId="7" xfId="0" applyFill="1" applyBorder="1" applyAlignment="1" applyProtection="1">
      <alignment horizontal="center" vertical="center" wrapText="1"/>
      <protection hidden="1"/>
    </xf>
    <xf numFmtId="0" fontId="0" fillId="3" borderId="6" xfId="0" applyFill="1" applyBorder="1" applyAlignment="1" applyProtection="1">
      <alignment horizontal="center" vertical="center" wrapText="1"/>
      <protection hidden="1"/>
    </xf>
    <xf numFmtId="0" fontId="34" fillId="0" borderId="81" xfId="0" applyFont="1" applyBorder="1" applyAlignment="1" applyProtection="1">
      <alignment vertical="center"/>
      <protection hidden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0" fillId="0" borderId="46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3" borderId="46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9" fillId="0" borderId="0" xfId="0" applyFont="1" applyAlignment="1">
      <alignment horizontal="right" vertical="center" wrapText="1" readingOrder="2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7" fillId="2" borderId="0" xfId="0" applyFont="1" applyFill="1" applyAlignment="1">
      <alignment horizontal="right"/>
    </xf>
    <xf numFmtId="0" fontId="9" fillId="0" borderId="0" xfId="0" applyFont="1" applyAlignment="1">
      <alignment vertical="center" wrapText="1" readingOrder="2"/>
    </xf>
    <xf numFmtId="0" fontId="9" fillId="2" borderId="0" xfId="0" applyFont="1" applyFill="1" applyAlignment="1">
      <alignment horizontal="right" vertical="center" wrapText="1" readingOrder="2"/>
    </xf>
    <xf numFmtId="0" fontId="9" fillId="2" borderId="0" xfId="0" applyFont="1" applyFill="1" applyAlignment="1">
      <alignment vertical="center" wrapText="1" readingOrder="2"/>
    </xf>
    <xf numFmtId="0" fontId="9" fillId="2" borderId="115" xfId="0" applyFont="1" applyFill="1" applyBorder="1" applyAlignment="1">
      <alignment horizontal="right" vertical="center" wrapText="1" readingOrder="2"/>
    </xf>
    <xf numFmtId="0" fontId="2" fillId="2" borderId="115" xfId="0" applyFont="1" applyFill="1" applyBorder="1" applyAlignment="1">
      <alignment horizontal="center" vertical="center" wrapText="1"/>
    </xf>
    <xf numFmtId="0" fontId="2" fillId="2" borderId="117" xfId="0" applyFont="1" applyFill="1" applyBorder="1" applyAlignment="1">
      <alignment horizontal="center" vertical="center" wrapText="1"/>
    </xf>
    <xf numFmtId="0" fontId="9" fillId="2" borderId="116" xfId="0" applyFont="1" applyFill="1" applyBorder="1" applyAlignment="1">
      <alignment vertical="center" wrapText="1" readingOrder="2"/>
    </xf>
    <xf numFmtId="0" fontId="2" fillId="2" borderId="91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vertical="center" wrapText="1" readingOrder="2"/>
    </xf>
    <xf numFmtId="0" fontId="9" fillId="2" borderId="12" xfId="0" applyFont="1" applyFill="1" applyBorder="1" applyAlignment="1">
      <alignment vertical="center" wrapText="1" readingOrder="2"/>
    </xf>
    <xf numFmtId="0" fontId="9" fillId="2" borderId="12" xfId="0" applyFont="1" applyFill="1" applyBorder="1" applyAlignment="1">
      <alignment horizontal="right" vertical="center" wrapText="1" readingOrder="2"/>
    </xf>
    <xf numFmtId="0" fontId="2" fillId="2" borderId="118" xfId="0" applyFont="1" applyFill="1" applyBorder="1" applyAlignment="1">
      <alignment horizontal="center" vertical="center" wrapText="1"/>
    </xf>
    <xf numFmtId="4" fontId="0" fillId="2" borderId="0" xfId="0" applyNumberFormat="1" applyFill="1" applyAlignment="1" applyProtection="1">
      <alignment horizontal="center"/>
      <protection hidden="1"/>
    </xf>
    <xf numFmtId="3" fontId="17" fillId="0" borderId="96" xfId="0" applyNumberFormat="1" applyFont="1" applyBorder="1" applyAlignment="1" applyProtection="1">
      <alignment horizontal="center" vertical="center"/>
      <protection hidden="1"/>
    </xf>
    <xf numFmtId="3" fontId="0" fillId="0" borderId="96" xfId="0" applyNumberFormat="1" applyBorder="1" applyAlignment="1" applyProtection="1">
      <alignment horizontal="center" vertical="center"/>
      <protection hidden="1"/>
    </xf>
    <xf numFmtId="3" fontId="17" fillId="4" borderId="88" xfId="0" applyNumberFormat="1" applyFont="1" applyFill="1" applyBorder="1" applyAlignment="1" applyProtection="1">
      <alignment horizontal="center" vertical="center"/>
      <protection hidden="1"/>
    </xf>
    <xf numFmtId="0" fontId="31" fillId="23" borderId="13" xfId="0" applyFont="1" applyFill="1" applyBorder="1" applyAlignment="1">
      <alignment horizontal="center" vertical="center"/>
    </xf>
    <xf numFmtId="0" fontId="50" fillId="23" borderId="0" xfId="0" applyFont="1" applyFill="1" applyAlignment="1">
      <alignment horizontal="center"/>
    </xf>
    <xf numFmtId="0" fontId="17" fillId="7" borderId="12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49" fillId="0" borderId="57" xfId="2" applyNumberFormat="1" applyFont="1" applyBorder="1" applyAlignment="1">
      <alignment vertical="center" wrapText="1"/>
    </xf>
    <xf numFmtId="0" fontId="17" fillId="0" borderId="32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51" fillId="3" borderId="0" xfId="0" applyFont="1" applyFill="1" applyAlignment="1" applyProtection="1">
      <alignment horizontal="center"/>
      <protection hidden="1"/>
    </xf>
    <xf numFmtId="0" fontId="51" fillId="0" borderId="0" xfId="0" applyFont="1" applyAlignment="1" applyProtection="1">
      <alignment horizontal="center"/>
      <protection hidden="1"/>
    </xf>
    <xf numFmtId="0" fontId="52" fillId="0" borderId="58" xfId="0" applyFont="1" applyBorder="1" applyAlignment="1" applyProtection="1">
      <alignment vertical="center"/>
      <protection hidden="1"/>
    </xf>
    <xf numFmtId="0" fontId="52" fillId="0" borderId="41" xfId="0" applyFont="1" applyBorder="1" applyAlignment="1" applyProtection="1">
      <alignment vertical="center"/>
      <protection hidden="1"/>
    </xf>
    <xf numFmtId="0" fontId="52" fillId="0" borderId="0" xfId="0" applyFont="1" applyAlignment="1" applyProtection="1">
      <alignment vertical="center"/>
      <protection hidden="1"/>
    </xf>
    <xf numFmtId="0" fontId="35" fillId="3" borderId="0" xfId="0" applyFont="1" applyFill="1" applyAlignment="1" applyProtection="1">
      <alignment horizontal="center"/>
      <protection hidden="1"/>
    </xf>
    <xf numFmtId="0" fontId="35" fillId="2" borderId="0" xfId="0" applyFont="1" applyFill="1" applyAlignment="1" applyProtection="1">
      <alignment horizontal="center"/>
      <protection hidden="1"/>
    </xf>
    <xf numFmtId="0" fontId="35" fillId="2" borderId="42" xfId="0" applyFont="1" applyFill="1" applyBorder="1" applyProtection="1">
      <protection hidden="1"/>
    </xf>
    <xf numFmtId="0" fontId="36" fillId="0" borderId="12" xfId="0" applyFont="1" applyBorder="1" applyAlignment="1" applyProtection="1">
      <alignment horizontal="right" vertical="center"/>
      <protection hidden="1"/>
    </xf>
    <xf numFmtId="0" fontId="35" fillId="0" borderId="0" xfId="0" applyFont="1" applyProtection="1">
      <protection hidden="1"/>
    </xf>
    <xf numFmtId="0" fontId="35" fillId="2" borderId="42" xfId="0" applyFont="1" applyFill="1" applyBorder="1" applyAlignment="1" applyProtection="1">
      <alignment horizontal="center"/>
      <protection hidden="1"/>
    </xf>
    <xf numFmtId="0" fontId="35" fillId="2" borderId="0" xfId="0" applyFont="1" applyFill="1" applyProtection="1">
      <protection hidden="1"/>
    </xf>
    <xf numFmtId="0" fontId="36" fillId="5" borderId="59" xfId="0" applyFont="1" applyFill="1" applyBorder="1" applyAlignment="1" applyProtection="1">
      <alignment horizontal="center" vertical="center" wrapText="1"/>
      <protection hidden="1"/>
    </xf>
    <xf numFmtId="0" fontId="36" fillId="5" borderId="82" xfId="0" applyFont="1" applyFill="1" applyBorder="1" applyAlignment="1" applyProtection="1">
      <alignment horizontal="center" vertical="center" wrapText="1"/>
      <protection hidden="1"/>
    </xf>
    <xf numFmtId="0" fontId="52" fillId="21" borderId="33" xfId="0" applyFont="1" applyFill="1" applyBorder="1" applyAlignment="1" applyProtection="1">
      <alignment horizontal="center" vertical="center" wrapText="1"/>
      <protection hidden="1"/>
    </xf>
    <xf numFmtId="0" fontId="35" fillId="5" borderId="60" xfId="0" applyFont="1" applyFill="1" applyBorder="1" applyAlignment="1" applyProtection="1">
      <alignment horizontal="center" vertical="center" wrapText="1"/>
      <protection hidden="1"/>
    </xf>
    <xf numFmtId="0" fontId="35" fillId="5" borderId="83" xfId="0" applyFont="1" applyFill="1" applyBorder="1" applyAlignment="1" applyProtection="1">
      <alignment horizontal="center" vertical="center" wrapText="1"/>
      <protection hidden="1"/>
    </xf>
    <xf numFmtId="1" fontId="55" fillId="0" borderId="36" xfId="0" applyNumberFormat="1" applyFont="1" applyBorder="1" applyAlignment="1" applyProtection="1">
      <alignment horizontal="center" vertical="center" wrapText="1"/>
      <protection hidden="1"/>
    </xf>
    <xf numFmtId="1" fontId="55" fillId="0" borderId="32" xfId="0" applyNumberFormat="1" applyFont="1" applyBorder="1" applyAlignment="1" applyProtection="1">
      <alignment horizontal="center" vertical="center" wrapText="1"/>
      <protection hidden="1"/>
    </xf>
    <xf numFmtId="164" fontId="55" fillId="0" borderId="32" xfId="0" applyNumberFormat="1" applyFont="1" applyBorder="1" applyAlignment="1" applyProtection="1">
      <alignment horizontal="center" vertical="center" wrapText="1"/>
      <protection hidden="1"/>
    </xf>
    <xf numFmtId="164" fontId="55" fillId="3" borderId="54" xfId="0" applyNumberFormat="1" applyFont="1" applyFill="1" applyBorder="1" applyAlignment="1" applyProtection="1">
      <alignment horizontal="center" vertical="center" wrapText="1"/>
      <protection hidden="1"/>
    </xf>
    <xf numFmtId="164" fontId="56" fillId="3" borderId="84" xfId="0" applyNumberFormat="1" applyFont="1" applyFill="1" applyBorder="1" applyAlignment="1" applyProtection="1">
      <alignment horizontal="center" vertical="center" wrapText="1"/>
      <protection hidden="1"/>
    </xf>
    <xf numFmtId="1" fontId="55" fillId="0" borderId="110" xfId="0" applyNumberFormat="1" applyFont="1" applyBorder="1" applyAlignment="1" applyProtection="1">
      <alignment horizontal="center" vertical="center" wrapText="1"/>
      <protection hidden="1"/>
    </xf>
    <xf numFmtId="2" fontId="54" fillId="0" borderId="113" xfId="0" applyNumberFormat="1" applyFont="1" applyBorder="1" applyAlignment="1" applyProtection="1">
      <alignment horizontal="center" vertical="center" wrapText="1"/>
      <protection hidden="1"/>
    </xf>
    <xf numFmtId="0" fontId="58" fillId="0" borderId="70" xfId="0" applyFont="1" applyBorder="1" applyAlignment="1" applyProtection="1">
      <alignment horizontal="left" vertical="center"/>
      <protection hidden="1"/>
    </xf>
    <xf numFmtId="1" fontId="54" fillId="0" borderId="71" xfId="0" applyNumberFormat="1" applyFont="1" applyBorder="1" applyAlignment="1" applyProtection="1">
      <alignment horizontal="left" vertical="center" wrapText="1"/>
      <protection hidden="1"/>
    </xf>
    <xf numFmtId="0" fontId="35" fillId="2" borderId="42" xfId="0" applyFont="1" applyFill="1" applyBorder="1" applyAlignment="1" applyProtection="1">
      <alignment horizontal="center" vertical="center"/>
      <protection hidden="1"/>
    </xf>
    <xf numFmtId="0" fontId="36" fillId="0" borderId="0" xfId="0" applyFont="1" applyAlignment="1" applyProtection="1">
      <alignment horizontal="center" vertical="center"/>
      <protection hidden="1"/>
    </xf>
    <xf numFmtId="0" fontId="36" fillId="2" borderId="0" xfId="0" applyFont="1" applyFill="1" applyAlignment="1" applyProtection="1">
      <alignment horizontal="right"/>
      <protection hidden="1"/>
    </xf>
    <xf numFmtId="0" fontId="36" fillId="2" borderId="42" xfId="0" applyFont="1" applyFill="1" applyBorder="1" applyAlignment="1" applyProtection="1">
      <alignment horizontal="right"/>
      <protection hidden="1"/>
    </xf>
    <xf numFmtId="0" fontId="35" fillId="3" borderId="0" xfId="0" applyFont="1" applyFill="1" applyProtection="1">
      <protection hidden="1"/>
    </xf>
    <xf numFmtId="0" fontId="52" fillId="21" borderId="35" xfId="0" applyFont="1" applyFill="1" applyBorder="1" applyAlignment="1" applyProtection="1">
      <alignment horizontal="center" vertical="center" wrapText="1"/>
      <protection hidden="1"/>
    </xf>
    <xf numFmtId="0" fontId="52" fillId="21" borderId="34" xfId="0" applyFont="1" applyFill="1" applyBorder="1" applyAlignment="1" applyProtection="1">
      <alignment horizontal="center" vertical="center" wrapText="1"/>
      <protection hidden="1"/>
    </xf>
    <xf numFmtId="0" fontId="57" fillId="0" borderId="70" xfId="0" applyFont="1" applyBorder="1" applyAlignment="1" applyProtection="1">
      <alignment horizontal="center" vertical="center" wrapText="1"/>
      <protection hidden="1"/>
    </xf>
    <xf numFmtId="1" fontId="61" fillId="5" borderId="11" xfId="0" applyNumberFormat="1" applyFont="1" applyFill="1" applyBorder="1" applyAlignment="1" applyProtection="1">
      <alignment horizontal="center" vertical="center" wrapText="1"/>
      <protection hidden="1"/>
    </xf>
    <xf numFmtId="1" fontId="61" fillId="5" borderId="11" xfId="0" applyNumberFormat="1" applyFont="1" applyFill="1" applyBorder="1" applyAlignment="1" applyProtection="1">
      <alignment horizontal="center" wrapText="1"/>
      <protection hidden="1"/>
    </xf>
    <xf numFmtId="1" fontId="61" fillId="5" borderId="126" xfId="0" applyNumberFormat="1" applyFont="1" applyFill="1" applyBorder="1" applyAlignment="1" applyProtection="1">
      <alignment horizontal="center" wrapText="1"/>
      <protection hidden="1"/>
    </xf>
    <xf numFmtId="164" fontId="64" fillId="0" borderId="140" xfId="0" applyNumberFormat="1" applyFont="1" applyBorder="1" applyAlignment="1" applyProtection="1">
      <alignment horizontal="center" vertical="center" wrapText="1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5" fillId="2" borderId="0" xfId="0" applyFont="1" applyFill="1" applyAlignment="1" applyProtection="1">
      <alignment horizontal="right" vertical="center"/>
      <protection hidden="1"/>
    </xf>
    <xf numFmtId="0" fontId="63" fillId="0" borderId="0" xfId="0" applyFont="1" applyAlignment="1" applyProtection="1">
      <alignment horizontal="center"/>
      <protection hidden="1"/>
    </xf>
    <xf numFmtId="22" fontId="36" fillId="0" borderId="12" xfId="0" applyNumberFormat="1" applyFont="1" applyBorder="1" applyAlignment="1" applyProtection="1">
      <alignment horizontal="right" vertical="center"/>
      <protection hidden="1"/>
    </xf>
    <xf numFmtId="168" fontId="36" fillId="0" borderId="85" xfId="0" applyNumberFormat="1" applyFont="1" applyBorder="1" applyAlignment="1" applyProtection="1">
      <alignment horizontal="center" vertical="center"/>
      <protection hidden="1"/>
    </xf>
    <xf numFmtId="2" fontId="69" fillId="0" borderId="113" xfId="0" applyNumberFormat="1" applyFont="1" applyBorder="1" applyAlignment="1" applyProtection="1">
      <alignment horizontal="center" vertical="center" wrapText="1"/>
      <protection hidden="1"/>
    </xf>
    <xf numFmtId="1" fontId="58" fillId="0" borderId="70" xfId="0" applyNumberFormat="1" applyFont="1" applyBorder="1" applyAlignment="1" applyProtection="1">
      <alignment horizontal="center" vertical="center"/>
      <protection hidden="1"/>
    </xf>
    <xf numFmtId="0" fontId="0" fillId="0" borderId="11" xfId="0" applyBorder="1" applyAlignment="1" applyProtection="1">
      <alignment horizontal="center" vertical="center"/>
      <protection hidden="1"/>
    </xf>
    <xf numFmtId="0" fontId="0" fillId="0" borderId="11" xfId="0" applyBorder="1" applyAlignment="1" applyProtection="1">
      <alignment horizontal="center"/>
      <protection hidden="1"/>
    </xf>
    <xf numFmtId="0" fontId="0" fillId="0" borderId="150" xfId="0" applyBorder="1" applyAlignment="1" applyProtection="1">
      <alignment horizontal="center" vertical="center"/>
      <protection hidden="1"/>
    </xf>
    <xf numFmtId="0" fontId="0" fillId="0" borderId="150" xfId="0" applyBorder="1" applyAlignment="1" applyProtection="1">
      <alignment horizontal="center"/>
      <protection hidden="1"/>
    </xf>
    <xf numFmtId="0" fontId="0" fillId="0" borderId="151" xfId="0" applyBorder="1" applyAlignment="1" applyProtection="1">
      <alignment horizontal="center"/>
      <protection hidden="1"/>
    </xf>
    <xf numFmtId="0" fontId="0" fillId="0" borderId="152" xfId="0" applyBorder="1" applyAlignment="1" applyProtection="1">
      <alignment horizontal="center"/>
      <protection hidden="1"/>
    </xf>
    <xf numFmtId="0" fontId="70" fillId="3" borderId="0" xfId="0" applyFont="1" applyFill="1" applyAlignment="1" applyProtection="1">
      <alignment horizontal="center"/>
      <protection hidden="1"/>
    </xf>
    <xf numFmtId="1" fontId="71" fillId="3" borderId="5" xfId="0" applyNumberFormat="1" applyFont="1" applyFill="1" applyBorder="1" applyAlignment="1" applyProtection="1">
      <alignment vertical="center" wrapText="1" readingOrder="1"/>
      <protection hidden="1"/>
    </xf>
    <xf numFmtId="0" fontId="71" fillId="3" borderId="7" xfId="0" applyFont="1" applyFill="1" applyBorder="1" applyAlignment="1" applyProtection="1">
      <alignment vertical="center" wrapText="1" readingOrder="1"/>
      <protection hidden="1"/>
    </xf>
    <xf numFmtId="0" fontId="71" fillId="3" borderId="6" xfId="0" applyFont="1" applyFill="1" applyBorder="1" applyAlignment="1" applyProtection="1">
      <alignment vertical="center" wrapText="1" readingOrder="1"/>
      <protection hidden="1"/>
    </xf>
    <xf numFmtId="164" fontId="71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3" fontId="71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0" fontId="70" fillId="3" borderId="0" xfId="0" applyFont="1" applyFill="1" applyAlignment="1" applyProtection="1">
      <alignment horizontal="center" vertical="center"/>
      <protection hidden="1"/>
    </xf>
    <xf numFmtId="1" fontId="71" fillId="3" borderId="5" xfId="0" applyNumberFormat="1" applyFont="1" applyFill="1" applyBorder="1" applyAlignment="1" applyProtection="1">
      <alignment horizontal="center" vertical="center" wrapText="1" readingOrder="1"/>
      <protection hidden="1"/>
    </xf>
    <xf numFmtId="0" fontId="71" fillId="3" borderId="7" xfId="0" applyFont="1" applyFill="1" applyBorder="1" applyAlignment="1" applyProtection="1">
      <alignment horizontal="center" vertical="center" wrapText="1" readingOrder="1"/>
      <protection hidden="1"/>
    </xf>
    <xf numFmtId="0" fontId="71" fillId="3" borderId="6" xfId="0" applyFont="1" applyFill="1" applyBorder="1" applyAlignment="1" applyProtection="1">
      <alignment horizontal="center" vertical="center" wrapText="1" readingOrder="1"/>
      <protection hidden="1"/>
    </xf>
    <xf numFmtId="0" fontId="71" fillId="3" borderId="5" xfId="0" applyFont="1" applyFill="1" applyBorder="1" applyAlignment="1" applyProtection="1">
      <alignment horizontal="center" vertical="center" wrapText="1" readingOrder="1"/>
      <protection hidden="1"/>
    </xf>
    <xf numFmtId="0" fontId="63" fillId="0" borderId="1" xfId="0" applyFont="1" applyBorder="1" applyAlignment="1">
      <alignment horizontal="center" vertical="center"/>
    </xf>
    <xf numFmtId="1" fontId="72" fillId="0" borderId="1" xfId="2" applyNumberFormat="1" applyFont="1" applyBorder="1" applyAlignment="1">
      <alignment horizontal="center" vertical="center" wrapText="1"/>
    </xf>
    <xf numFmtId="2" fontId="63" fillId="0" borderId="1" xfId="0" applyNumberFormat="1" applyFont="1" applyBorder="1" applyAlignment="1">
      <alignment horizontal="center" vertical="center"/>
    </xf>
    <xf numFmtId="2" fontId="72" fillId="0" borderId="1" xfId="2" applyNumberFormat="1" applyFont="1" applyBorder="1" applyAlignment="1">
      <alignment horizontal="center" vertical="center" wrapText="1"/>
    </xf>
    <xf numFmtId="0" fontId="63" fillId="4" borderId="1" xfId="0" applyFont="1" applyFill="1" applyBorder="1" applyAlignment="1">
      <alignment horizontal="center" vertical="center"/>
    </xf>
    <xf numFmtId="2" fontId="63" fillId="4" borderId="1" xfId="0" applyNumberFormat="1" applyFont="1" applyFill="1" applyBorder="1" applyAlignment="1">
      <alignment horizontal="center" vertical="center"/>
    </xf>
    <xf numFmtId="2" fontId="72" fillId="4" borderId="1" xfId="2" applyNumberFormat="1" applyFont="1" applyFill="1" applyBorder="1" applyAlignment="1">
      <alignment horizontal="center" vertical="center" wrapText="1"/>
    </xf>
    <xf numFmtId="0" fontId="63" fillId="2" borderId="0" xfId="0" applyFont="1" applyFill="1"/>
    <xf numFmtId="0" fontId="63" fillId="3" borderId="0" xfId="0" applyFont="1" applyFill="1" applyAlignment="1" applyProtection="1">
      <alignment horizontal="center"/>
      <protection hidden="1"/>
    </xf>
    <xf numFmtId="1" fontId="72" fillId="0" borderId="57" xfId="2" applyNumberFormat="1" applyFont="1" applyBorder="1" applyAlignment="1">
      <alignment vertical="center" wrapText="1"/>
    </xf>
    <xf numFmtId="0" fontId="71" fillId="3" borderId="1" xfId="0" applyFont="1" applyFill="1" applyBorder="1" applyAlignment="1" applyProtection="1">
      <alignment horizontal="center" vertical="center" wrapText="1" readingOrder="2"/>
      <protection hidden="1"/>
    </xf>
    <xf numFmtId="0" fontId="8" fillId="3" borderId="1" xfId="0" applyFont="1" applyFill="1" applyBorder="1" applyAlignment="1" applyProtection="1">
      <alignment horizontal="center" vertical="center" wrapText="1" readingOrder="2"/>
      <protection hidden="1"/>
    </xf>
    <xf numFmtId="0" fontId="3" fillId="3" borderId="1" xfId="0" applyFont="1" applyFill="1" applyBorder="1" applyAlignment="1" applyProtection="1">
      <alignment horizontal="center" vertical="center" wrapText="1" readingOrder="2"/>
      <protection hidden="1"/>
    </xf>
    <xf numFmtId="1" fontId="0" fillId="3" borderId="0" xfId="0" applyNumberFormat="1" applyFill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" fontId="0" fillId="3" borderId="0" xfId="0" applyNumberFormat="1" applyFill="1" applyAlignment="1" applyProtection="1">
      <alignment horizontal="center" vertical="center"/>
      <protection hidden="1"/>
    </xf>
    <xf numFmtId="1" fontId="70" fillId="3" borderId="0" xfId="0" applyNumberFormat="1" applyFont="1" applyFill="1" applyAlignment="1" applyProtection="1">
      <alignment horizontal="center"/>
      <protection hidden="1"/>
    </xf>
    <xf numFmtId="1" fontId="70" fillId="3" borderId="0" xfId="0" applyNumberFormat="1" applyFont="1" applyFill="1" applyAlignment="1" applyProtection="1">
      <alignment horizontal="center" vertical="center"/>
      <protection hidden="1"/>
    </xf>
    <xf numFmtId="0" fontId="65" fillId="3" borderId="1" xfId="0" applyFont="1" applyFill="1" applyBorder="1" applyAlignment="1" applyProtection="1">
      <alignment horizontal="center" vertical="center" wrapText="1" readingOrder="2"/>
      <protection hidden="1"/>
    </xf>
    <xf numFmtId="3" fontId="35" fillId="3" borderId="0" xfId="0" applyNumberFormat="1" applyFont="1" applyFill="1" applyAlignment="1" applyProtection="1">
      <alignment horizontal="center"/>
      <protection hidden="1"/>
    </xf>
    <xf numFmtId="1" fontId="9" fillId="0" borderId="1" xfId="0" applyNumberFormat="1" applyFont="1" applyBorder="1" applyAlignment="1" applyProtection="1">
      <alignment horizontal="center" vertical="center" wrapText="1" readingOrder="1"/>
      <protection hidden="1"/>
    </xf>
    <xf numFmtId="0" fontId="63" fillId="3" borderId="77" xfId="0" applyFont="1" applyFill="1" applyBorder="1" applyAlignment="1">
      <alignment vertical="center"/>
    </xf>
    <xf numFmtId="0" fontId="63" fillId="3" borderId="0" xfId="0" applyFont="1" applyFill="1" applyAlignment="1">
      <alignment vertical="center"/>
    </xf>
    <xf numFmtId="0" fontId="63" fillId="3" borderId="76" xfId="0" applyFont="1" applyFill="1" applyBorder="1" applyAlignment="1">
      <alignment vertical="center"/>
    </xf>
    <xf numFmtId="0" fontId="73" fillId="0" borderId="0" xfId="0" applyFont="1" applyAlignment="1" applyProtection="1">
      <alignment horizontal="center"/>
      <protection hidden="1"/>
    </xf>
    <xf numFmtId="0" fontId="65" fillId="3" borderId="7" xfId="0" applyFont="1" applyFill="1" applyBorder="1" applyAlignment="1" applyProtection="1">
      <alignment horizontal="center" vertical="center" wrapText="1" readingOrder="2"/>
      <protection hidden="1"/>
    </xf>
    <xf numFmtId="0" fontId="77" fillId="3" borderId="1" xfId="0" applyFont="1" applyFill="1" applyBorder="1" applyAlignment="1" applyProtection="1">
      <alignment horizontal="center" vertical="center" wrapText="1" readingOrder="2"/>
      <protection hidden="1"/>
    </xf>
    <xf numFmtId="0" fontId="0" fillId="24" borderId="31" xfId="0" applyFill="1" applyBorder="1" applyAlignment="1">
      <alignment horizontal="center" vertical="center"/>
    </xf>
    <xf numFmtId="1" fontId="0" fillId="24" borderId="31" xfId="0" applyNumberFormat="1" applyFill="1" applyBorder="1" applyAlignment="1">
      <alignment horizontal="center" vertical="center"/>
    </xf>
    <xf numFmtId="0" fontId="78" fillId="3" borderId="1" xfId="0" applyFont="1" applyFill="1" applyBorder="1" applyAlignment="1" applyProtection="1">
      <alignment horizontal="center" vertical="center" wrapText="1" readingOrder="2"/>
      <protection hidden="1"/>
    </xf>
    <xf numFmtId="0" fontId="79" fillId="3" borderId="1" xfId="0" applyFont="1" applyFill="1" applyBorder="1" applyAlignment="1" applyProtection="1">
      <alignment horizontal="center" vertical="center" wrapText="1" readingOrder="2"/>
      <protection hidden="1"/>
    </xf>
    <xf numFmtId="0" fontId="80" fillId="3" borderId="0" xfId="0" applyFont="1" applyFill="1" applyAlignment="1" applyProtection="1">
      <alignment horizontal="center"/>
      <protection hidden="1"/>
    </xf>
    <xf numFmtId="0" fontId="80" fillId="3" borderId="0" xfId="0" applyFont="1" applyFill="1" applyAlignment="1" applyProtection="1">
      <alignment horizontal="center" vertical="center"/>
      <protection hidden="1"/>
    </xf>
    <xf numFmtId="1" fontId="80" fillId="3" borderId="0" xfId="0" applyNumberFormat="1" applyFont="1" applyFill="1" applyAlignment="1" applyProtection="1">
      <alignment horizontal="center" vertical="center"/>
      <protection hidden="1"/>
    </xf>
    <xf numFmtId="0" fontId="79" fillId="3" borderId="5" xfId="0" applyFont="1" applyFill="1" applyBorder="1" applyAlignment="1" applyProtection="1">
      <alignment horizontal="center" vertical="center" wrapText="1" readingOrder="1"/>
      <protection hidden="1"/>
    </xf>
    <xf numFmtId="0" fontId="79" fillId="3" borderId="7" xfId="0" applyFont="1" applyFill="1" applyBorder="1" applyAlignment="1" applyProtection="1">
      <alignment horizontal="center" vertical="center" wrapText="1" readingOrder="1"/>
      <protection hidden="1"/>
    </xf>
    <xf numFmtId="0" fontId="79" fillId="3" borderId="6" xfId="0" applyFont="1" applyFill="1" applyBorder="1" applyAlignment="1" applyProtection="1">
      <alignment horizontal="center" vertical="center" wrapText="1" readingOrder="1"/>
      <protection hidden="1"/>
    </xf>
    <xf numFmtId="2" fontId="79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3" fontId="79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1" fontId="80" fillId="3" borderId="0" xfId="0" applyNumberFormat="1" applyFont="1" applyFill="1" applyAlignment="1" applyProtection="1">
      <alignment horizontal="center"/>
      <protection hidden="1"/>
    </xf>
    <xf numFmtId="0" fontId="79" fillId="3" borderId="5" xfId="0" applyFont="1" applyFill="1" applyBorder="1" applyAlignment="1" applyProtection="1">
      <alignment vertical="center" wrapText="1" readingOrder="1"/>
      <protection hidden="1"/>
    </xf>
    <xf numFmtId="0" fontId="79" fillId="3" borderId="7" xfId="0" applyFont="1" applyFill="1" applyBorder="1" applyAlignment="1" applyProtection="1">
      <alignment vertical="center" wrapText="1" readingOrder="1"/>
      <protection hidden="1"/>
    </xf>
    <xf numFmtId="0" fontId="79" fillId="3" borderId="6" xfId="0" applyFont="1" applyFill="1" applyBorder="1" applyAlignment="1" applyProtection="1">
      <alignment vertical="center" wrapText="1" readingOrder="1"/>
      <protection hidden="1"/>
    </xf>
    <xf numFmtId="1" fontId="79" fillId="3" borderId="5" xfId="0" applyNumberFormat="1" applyFont="1" applyFill="1" applyBorder="1" applyAlignment="1" applyProtection="1">
      <alignment vertical="center" wrapText="1" readingOrder="1"/>
      <protection hidden="1"/>
    </xf>
    <xf numFmtId="0" fontId="80" fillId="0" borderId="0" xfId="0" applyFont="1" applyAlignment="1" applyProtection="1">
      <alignment horizontal="center"/>
      <protection hidden="1"/>
    </xf>
    <xf numFmtId="1" fontId="80" fillId="0" borderId="0" xfId="0" applyNumberFormat="1" applyFont="1" applyAlignment="1" applyProtection="1">
      <alignment horizontal="center"/>
      <protection hidden="1"/>
    </xf>
    <xf numFmtId="0" fontId="79" fillId="0" borderId="5" xfId="0" applyFont="1" applyBorder="1" applyAlignment="1" applyProtection="1">
      <alignment horizontal="center" vertical="center" wrapText="1" readingOrder="2"/>
      <protection hidden="1"/>
    </xf>
    <xf numFmtId="0" fontId="79" fillId="0" borderId="6" xfId="0" applyFont="1" applyBorder="1" applyAlignment="1" applyProtection="1">
      <alignment horizontal="center" vertical="center" wrapText="1" readingOrder="2"/>
      <protection hidden="1"/>
    </xf>
    <xf numFmtId="1" fontId="79" fillId="0" borderId="5" xfId="0" applyNumberFormat="1" applyFont="1" applyBorder="1" applyAlignment="1" applyProtection="1">
      <alignment vertical="center" wrapText="1" readingOrder="1"/>
      <protection hidden="1"/>
    </xf>
    <xf numFmtId="0" fontId="79" fillId="0" borderId="7" xfId="0" applyFont="1" applyBorder="1" applyAlignment="1" applyProtection="1">
      <alignment vertical="center" wrapText="1" readingOrder="1"/>
      <protection hidden="1"/>
    </xf>
    <xf numFmtId="0" fontId="79" fillId="0" borderId="6" xfId="0" applyFont="1" applyBorder="1" applyAlignment="1" applyProtection="1">
      <alignment vertical="center" wrapText="1" readingOrder="1"/>
      <protection hidden="1"/>
    </xf>
    <xf numFmtId="0" fontId="79" fillId="0" borderId="1" xfId="0" applyFont="1" applyBorder="1" applyAlignment="1" applyProtection="1">
      <alignment horizontal="center" vertical="center" wrapText="1" readingOrder="2"/>
      <protection hidden="1"/>
    </xf>
    <xf numFmtId="3" fontId="79" fillId="0" borderId="1" xfId="0" applyNumberFormat="1" applyFont="1" applyBorder="1" applyAlignment="1" applyProtection="1">
      <alignment horizontal="center" vertical="center" wrapText="1" readingOrder="2"/>
      <protection hidden="1"/>
    </xf>
    <xf numFmtId="169" fontId="79" fillId="0" borderId="1" xfId="0" applyNumberFormat="1" applyFont="1" applyBorder="1" applyAlignment="1" applyProtection="1">
      <alignment horizontal="center" vertical="center" wrapText="1" readingOrder="2"/>
      <protection hidden="1"/>
    </xf>
    <xf numFmtId="0" fontId="80" fillId="0" borderId="1" xfId="0" applyFont="1" applyBorder="1" applyAlignment="1" applyProtection="1">
      <alignment horizontal="center" vertical="center"/>
      <protection hidden="1"/>
    </xf>
    <xf numFmtId="4" fontId="79" fillId="0" borderId="1" xfId="0" applyNumberFormat="1" applyFont="1" applyBorder="1" applyAlignment="1" applyProtection="1">
      <alignment horizontal="center" vertical="center" wrapText="1" readingOrder="2"/>
      <protection hidden="1"/>
    </xf>
    <xf numFmtId="0" fontId="79" fillId="0" borderId="5" xfId="0" applyFont="1" applyBorder="1" applyAlignment="1" applyProtection="1">
      <alignment vertical="center" wrapText="1" readingOrder="2"/>
      <protection hidden="1"/>
    </xf>
    <xf numFmtId="0" fontId="79" fillId="0" borderId="7" xfId="0" applyFont="1" applyBorder="1" applyAlignment="1" applyProtection="1">
      <alignment vertical="center" wrapText="1" readingOrder="2"/>
      <protection hidden="1"/>
    </xf>
    <xf numFmtId="0" fontId="79" fillId="0" borderId="6" xfId="0" applyFont="1" applyBorder="1" applyAlignment="1" applyProtection="1">
      <alignment vertical="center" wrapText="1" readingOrder="2"/>
      <protection hidden="1"/>
    </xf>
    <xf numFmtId="0" fontId="79" fillId="3" borderId="5" xfId="0" applyFont="1" applyFill="1" applyBorder="1" applyAlignment="1" applyProtection="1">
      <alignment vertical="center" wrapText="1" readingOrder="2"/>
      <protection hidden="1"/>
    </xf>
    <xf numFmtId="0" fontId="79" fillId="3" borderId="7" xfId="0" applyFont="1" applyFill="1" applyBorder="1" applyAlignment="1" applyProtection="1">
      <alignment vertical="center" wrapText="1" readingOrder="2"/>
      <protection hidden="1"/>
    </xf>
    <xf numFmtId="0" fontId="79" fillId="3" borderId="6" xfId="0" applyFont="1" applyFill="1" applyBorder="1" applyAlignment="1" applyProtection="1">
      <alignment vertical="center" wrapText="1" readingOrder="2"/>
      <protection hidden="1"/>
    </xf>
    <xf numFmtId="1" fontId="79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0" fontId="79" fillId="3" borderId="5" xfId="0" applyFont="1" applyFill="1" applyBorder="1" applyAlignment="1" applyProtection="1">
      <alignment horizontal="center" vertical="center" wrapText="1" readingOrder="2"/>
      <protection hidden="1"/>
    </xf>
    <xf numFmtId="0" fontId="79" fillId="3" borderId="6" xfId="0" applyFont="1" applyFill="1" applyBorder="1" applyAlignment="1" applyProtection="1">
      <alignment horizontal="center" vertical="center" wrapText="1" readingOrder="2"/>
      <protection hidden="1"/>
    </xf>
    <xf numFmtId="0" fontId="79" fillId="3" borderId="7" xfId="0" applyFont="1" applyFill="1" applyBorder="1" applyAlignment="1" applyProtection="1">
      <alignment horizontal="center" vertical="center" wrapText="1" readingOrder="2"/>
      <protection hidden="1"/>
    </xf>
    <xf numFmtId="1" fontId="82" fillId="0" borderId="1" xfId="0" applyNumberFormat="1" applyFont="1" applyBorder="1" applyAlignment="1" applyProtection="1">
      <alignment horizontal="center" vertical="center" wrapText="1" readingOrder="2"/>
      <protection hidden="1"/>
    </xf>
    <xf numFmtId="0" fontId="81" fillId="0" borderId="1" xfId="0" applyFont="1" applyBorder="1" applyAlignment="1" applyProtection="1">
      <alignment horizontal="center" vertical="center" wrapText="1" readingOrder="2"/>
      <protection hidden="1"/>
    </xf>
    <xf numFmtId="1" fontId="79" fillId="0" borderId="1" xfId="0" applyNumberFormat="1" applyFont="1" applyBorder="1" applyAlignment="1" applyProtection="1">
      <alignment horizontal="center" vertical="center" wrapText="1" readingOrder="1"/>
      <protection hidden="1"/>
    </xf>
    <xf numFmtId="164" fontId="80" fillId="0" borderId="1" xfId="0" applyNumberFormat="1" applyFont="1" applyBorder="1" applyAlignment="1" applyProtection="1">
      <alignment horizontal="center" vertical="center"/>
      <protection hidden="1"/>
    </xf>
    <xf numFmtId="1" fontId="81" fillId="0" borderId="1" xfId="0" applyNumberFormat="1" applyFont="1" applyBorder="1" applyAlignment="1" applyProtection="1">
      <alignment horizontal="center" vertical="center" wrapText="1"/>
      <protection hidden="1"/>
    </xf>
    <xf numFmtId="165" fontId="81" fillId="0" borderId="1" xfId="0" applyNumberFormat="1" applyFont="1" applyBorder="1" applyAlignment="1" applyProtection="1">
      <alignment horizontal="center" vertical="center" wrapText="1"/>
      <protection hidden="1"/>
    </xf>
    <xf numFmtId="1" fontId="80" fillId="0" borderId="1" xfId="0" applyNumberFormat="1" applyFont="1" applyBorder="1" applyAlignment="1" applyProtection="1">
      <alignment horizontal="center" vertical="center" wrapText="1"/>
      <protection hidden="1"/>
    </xf>
    <xf numFmtId="0" fontId="80" fillId="0" borderId="1" xfId="0" applyFont="1" applyBorder="1" applyAlignment="1" applyProtection="1">
      <alignment horizontal="center" vertical="center" wrapText="1"/>
      <protection hidden="1"/>
    </xf>
    <xf numFmtId="3" fontId="80" fillId="0" borderId="1" xfId="0" applyNumberFormat="1" applyFont="1" applyBorder="1" applyAlignment="1" applyProtection="1">
      <alignment horizontal="center" vertical="center" wrapText="1"/>
      <protection hidden="1"/>
    </xf>
    <xf numFmtId="0" fontId="83" fillId="0" borderId="1" xfId="0" applyFont="1" applyBorder="1" applyAlignment="1" applyProtection="1">
      <alignment horizontal="center" vertical="center" wrapText="1" readingOrder="1"/>
      <protection hidden="1"/>
    </xf>
    <xf numFmtId="0" fontId="81" fillId="0" borderId="1" xfId="0" applyFont="1" applyBorder="1" applyAlignment="1" applyProtection="1">
      <alignment horizontal="center" vertical="center" wrapText="1"/>
      <protection hidden="1"/>
    </xf>
    <xf numFmtId="2" fontId="81" fillId="0" borderId="1" xfId="0" applyNumberFormat="1" applyFont="1" applyBorder="1" applyAlignment="1" applyProtection="1">
      <alignment horizontal="center" vertical="center" wrapText="1"/>
      <protection hidden="1"/>
    </xf>
    <xf numFmtId="3" fontId="80" fillId="3" borderId="1" xfId="0" applyNumberFormat="1" applyFont="1" applyFill="1" applyBorder="1" applyAlignment="1" applyProtection="1">
      <alignment horizontal="center" vertical="center" wrapText="1"/>
      <protection hidden="1"/>
    </xf>
    <xf numFmtId="1" fontId="8" fillId="24" borderId="1" xfId="0" applyNumberFormat="1" applyFont="1" applyFill="1" applyBorder="1" applyAlignment="1" applyProtection="1">
      <alignment horizontal="center" vertical="center" wrapText="1" readingOrder="2"/>
      <protection hidden="1"/>
    </xf>
    <xf numFmtId="0" fontId="78" fillId="3" borderId="5" xfId="0" applyFont="1" applyFill="1" applyBorder="1" applyAlignment="1" applyProtection="1">
      <alignment horizontal="center" vertical="center" wrapText="1" readingOrder="2"/>
      <protection hidden="1"/>
    </xf>
    <xf numFmtId="0" fontId="79" fillId="3" borderId="8" xfId="0" applyFont="1" applyFill="1" applyBorder="1" applyAlignment="1" applyProtection="1">
      <alignment horizontal="center" vertical="center" wrapText="1" readingOrder="2"/>
      <protection hidden="1"/>
    </xf>
    <xf numFmtId="0" fontId="79" fillId="3" borderId="155" xfId="0" applyFont="1" applyFill="1" applyBorder="1" applyAlignment="1" applyProtection="1">
      <alignment horizontal="center" vertical="center" wrapText="1" readingOrder="2"/>
      <protection hidden="1"/>
    </xf>
    <xf numFmtId="0" fontId="79" fillId="3" borderId="119" xfId="0" applyFont="1" applyFill="1" applyBorder="1" applyAlignment="1" applyProtection="1">
      <alignment horizontal="center" vertical="center" wrapText="1" readingOrder="2"/>
      <protection hidden="1"/>
    </xf>
    <xf numFmtId="0" fontId="79" fillId="3" borderId="154" xfId="0" applyFont="1" applyFill="1" applyBorder="1" applyAlignment="1" applyProtection="1">
      <alignment horizontal="center" vertical="center" wrapText="1" readingOrder="2"/>
      <protection hidden="1"/>
    </xf>
    <xf numFmtId="3" fontId="79" fillId="3" borderId="8" xfId="0" applyNumberFormat="1" applyFont="1" applyFill="1" applyBorder="1" applyAlignment="1" applyProtection="1">
      <alignment horizontal="center" vertical="center" wrapText="1" readingOrder="2"/>
      <protection hidden="1"/>
    </xf>
    <xf numFmtId="0" fontId="8" fillId="3" borderId="10" xfId="0" applyFont="1" applyFill="1" applyBorder="1" applyAlignment="1" applyProtection="1">
      <alignment horizontal="center" vertical="center" wrapText="1" readingOrder="2"/>
      <protection hidden="1"/>
    </xf>
    <xf numFmtId="1" fontId="8" fillId="3" borderId="10" xfId="0" applyNumberFormat="1" applyFont="1" applyFill="1" applyBorder="1" applyAlignment="1" applyProtection="1">
      <alignment horizontal="center" vertical="center" wrapText="1" readingOrder="2"/>
      <protection hidden="1"/>
    </xf>
    <xf numFmtId="3" fontId="8" fillId="3" borderId="10" xfId="0" applyNumberFormat="1" applyFont="1" applyFill="1" applyBorder="1" applyAlignment="1" applyProtection="1">
      <alignment horizontal="center" vertical="center" wrapText="1" readingOrder="2"/>
      <protection hidden="1"/>
    </xf>
    <xf numFmtId="0" fontId="79" fillId="3" borderId="10" xfId="0" applyFont="1" applyFill="1" applyBorder="1" applyAlignment="1" applyProtection="1">
      <alignment horizontal="center" vertical="center" wrapText="1" readingOrder="2"/>
      <protection hidden="1"/>
    </xf>
    <xf numFmtId="1" fontId="8" fillId="24" borderId="44" xfId="0" applyNumberFormat="1" applyFont="1" applyFill="1" applyBorder="1" applyAlignment="1" applyProtection="1">
      <alignment horizontal="center" vertical="center" wrapText="1" readingOrder="2"/>
      <protection hidden="1"/>
    </xf>
    <xf numFmtId="0" fontId="79" fillId="3" borderId="44" xfId="0" applyFont="1" applyFill="1" applyBorder="1" applyAlignment="1" applyProtection="1">
      <alignment horizontal="center" vertical="center" wrapText="1" readingOrder="2"/>
      <protection hidden="1"/>
    </xf>
    <xf numFmtId="3" fontId="79" fillId="3" borderId="44" xfId="0" applyNumberFormat="1" applyFont="1" applyFill="1" applyBorder="1" applyAlignment="1" applyProtection="1">
      <alignment horizontal="center" vertical="center" wrapText="1" readingOrder="2"/>
      <protection hidden="1"/>
    </xf>
    <xf numFmtId="1" fontId="8" fillId="24" borderId="49" xfId="0" applyNumberFormat="1" applyFont="1" applyFill="1" applyBorder="1" applyAlignment="1" applyProtection="1">
      <alignment horizontal="center" vertical="center" wrapText="1" readingOrder="2"/>
      <protection hidden="1"/>
    </xf>
    <xf numFmtId="1" fontId="8" fillId="3" borderId="49" xfId="0" applyNumberFormat="1" applyFont="1" applyFill="1" applyBorder="1" applyAlignment="1" applyProtection="1">
      <alignment horizontal="center" vertical="center" wrapText="1" readingOrder="2"/>
      <protection hidden="1"/>
    </xf>
    <xf numFmtId="0" fontId="79" fillId="3" borderId="49" xfId="0" applyFont="1" applyFill="1" applyBorder="1" applyAlignment="1" applyProtection="1">
      <alignment horizontal="center" vertical="center" wrapText="1" readingOrder="2"/>
      <protection hidden="1"/>
    </xf>
    <xf numFmtId="3" fontId="79" fillId="3" borderId="49" xfId="0" applyNumberFormat="1" applyFont="1" applyFill="1" applyBorder="1" applyAlignment="1" applyProtection="1">
      <alignment horizontal="center" vertical="center" wrapText="1" readingOrder="2"/>
      <protection hidden="1"/>
    </xf>
    <xf numFmtId="1" fontId="8" fillId="3" borderId="44" xfId="0" applyNumberFormat="1" applyFont="1" applyFill="1" applyBorder="1" applyAlignment="1" applyProtection="1">
      <alignment horizontal="center" vertical="center" wrapText="1" readingOrder="2"/>
      <protection hidden="1"/>
    </xf>
    <xf numFmtId="3" fontId="8" fillId="3" borderId="44" xfId="0" applyNumberFormat="1" applyFont="1" applyFill="1" applyBorder="1" applyAlignment="1" applyProtection="1">
      <alignment horizontal="center" vertical="center" wrapText="1" readingOrder="2"/>
      <protection hidden="1"/>
    </xf>
    <xf numFmtId="0" fontId="8" fillId="3" borderId="49" xfId="0" applyFont="1" applyFill="1" applyBorder="1" applyAlignment="1" applyProtection="1">
      <alignment horizontal="center" vertical="center" wrapText="1" readingOrder="2"/>
      <protection hidden="1"/>
    </xf>
    <xf numFmtId="1" fontId="8" fillId="3" borderId="159" xfId="0" applyNumberFormat="1" applyFont="1" applyFill="1" applyBorder="1" applyAlignment="1" applyProtection="1">
      <alignment horizontal="center" vertical="center" wrapText="1" readingOrder="2"/>
      <protection hidden="1"/>
    </xf>
    <xf numFmtId="1" fontId="73" fillId="5" borderId="1" xfId="0" applyNumberFormat="1" applyFont="1" applyFill="1" applyBorder="1" applyAlignment="1" applyProtection="1">
      <alignment horizontal="center" wrapText="1"/>
      <protection hidden="1"/>
    </xf>
    <xf numFmtId="1" fontId="73" fillId="5" borderId="43" xfId="0" applyNumberFormat="1" applyFont="1" applyFill="1" applyBorder="1" applyAlignment="1" applyProtection="1">
      <alignment horizontal="center" wrapText="1"/>
      <protection hidden="1"/>
    </xf>
    <xf numFmtId="0" fontId="8" fillId="3" borderId="44" xfId="0" applyFont="1" applyFill="1" applyBorder="1" applyAlignment="1" applyProtection="1">
      <alignment horizontal="center" vertical="center" wrapText="1" readingOrder="2"/>
      <protection hidden="1"/>
    </xf>
    <xf numFmtId="1" fontId="73" fillId="5" borderId="46" xfId="0" applyNumberFormat="1" applyFont="1" applyFill="1" applyBorder="1" applyAlignment="1" applyProtection="1">
      <alignment horizontal="center" wrapText="1"/>
      <protection hidden="1"/>
    </xf>
    <xf numFmtId="1" fontId="73" fillId="5" borderId="48" xfId="0" applyNumberFormat="1" applyFont="1" applyFill="1" applyBorder="1" applyAlignment="1" applyProtection="1">
      <alignment horizontal="center" wrapText="1"/>
      <protection hidden="1"/>
    </xf>
    <xf numFmtId="1" fontId="73" fillId="5" borderId="49" xfId="0" applyNumberFormat="1" applyFont="1" applyFill="1" applyBorder="1" applyAlignment="1" applyProtection="1">
      <alignment horizontal="center" wrapText="1"/>
      <protection hidden="1"/>
    </xf>
    <xf numFmtId="0" fontId="73" fillId="0" borderId="1" xfId="0" applyFont="1" applyBorder="1" applyAlignment="1" applyProtection="1">
      <alignment horizontal="center"/>
      <protection hidden="1"/>
    </xf>
    <xf numFmtId="0" fontId="73" fillId="0" borderId="43" xfId="0" applyFont="1" applyBorder="1" applyAlignment="1" applyProtection="1">
      <alignment horizontal="center"/>
      <protection hidden="1"/>
    </xf>
    <xf numFmtId="0" fontId="73" fillId="0" borderId="44" xfId="0" applyFont="1" applyBorder="1" applyAlignment="1" applyProtection="1">
      <alignment horizontal="center"/>
      <protection hidden="1"/>
    </xf>
    <xf numFmtId="0" fontId="73" fillId="0" borderId="46" xfId="0" applyFont="1" applyBorder="1" applyAlignment="1" applyProtection="1">
      <alignment horizontal="center"/>
      <protection hidden="1"/>
    </xf>
    <xf numFmtId="0" fontId="73" fillId="0" borderId="48" xfId="0" applyFont="1" applyBorder="1" applyAlignment="1" applyProtection="1">
      <alignment horizontal="center"/>
      <protection hidden="1"/>
    </xf>
    <xf numFmtId="0" fontId="73" fillId="0" borderId="49" xfId="0" applyFont="1" applyBorder="1" applyAlignment="1" applyProtection="1">
      <alignment horizontal="center"/>
      <protection hidden="1"/>
    </xf>
    <xf numFmtId="1" fontId="20" fillId="5" borderId="1" xfId="0" applyNumberFormat="1" applyFont="1" applyFill="1" applyBorder="1" applyAlignment="1" applyProtection="1">
      <alignment horizontal="center" vertical="center" wrapText="1"/>
      <protection hidden="1"/>
    </xf>
    <xf numFmtId="1" fontId="20" fillId="5" borderId="1" xfId="0" applyNumberFormat="1" applyFont="1" applyFill="1" applyBorder="1" applyAlignment="1" applyProtection="1">
      <alignment horizontal="center" wrapText="1"/>
      <protection hidden="1"/>
    </xf>
    <xf numFmtId="0" fontId="18" fillId="16" borderId="43" xfId="0" applyFont="1" applyFill="1" applyBorder="1" applyAlignment="1" applyProtection="1">
      <alignment horizontal="center" vertical="center" wrapText="1"/>
      <protection hidden="1"/>
    </xf>
    <xf numFmtId="0" fontId="18" fillId="16" borderId="44" xfId="0" applyFont="1" applyFill="1" applyBorder="1" applyAlignment="1" applyProtection="1">
      <alignment horizontal="center" vertical="center" wrapText="1"/>
      <protection hidden="1"/>
    </xf>
    <xf numFmtId="1" fontId="20" fillId="5" borderId="46" xfId="0" applyNumberFormat="1" applyFont="1" applyFill="1" applyBorder="1" applyAlignment="1" applyProtection="1">
      <alignment horizontal="center" vertical="center" wrapText="1"/>
      <protection hidden="1"/>
    </xf>
    <xf numFmtId="1" fontId="20" fillId="5" borderId="46" xfId="0" applyNumberFormat="1" applyFont="1" applyFill="1" applyBorder="1" applyAlignment="1" applyProtection="1">
      <alignment horizontal="center" wrapText="1"/>
      <protection hidden="1"/>
    </xf>
    <xf numFmtId="0" fontId="8" fillId="3" borderId="159" xfId="0" applyFont="1" applyFill="1" applyBorder="1" applyAlignment="1" applyProtection="1">
      <alignment horizontal="center" vertical="center" wrapText="1" readingOrder="2"/>
      <protection hidden="1"/>
    </xf>
    <xf numFmtId="3" fontId="8" fillId="3" borderId="159" xfId="0" applyNumberFormat="1" applyFont="1" applyFill="1" applyBorder="1" applyAlignment="1" applyProtection="1">
      <alignment horizontal="center" vertical="center" wrapText="1" readingOrder="2"/>
      <protection hidden="1"/>
    </xf>
    <xf numFmtId="1" fontId="73" fillId="5" borderId="163" xfId="0" applyNumberFormat="1" applyFont="1" applyFill="1" applyBorder="1" applyAlignment="1" applyProtection="1">
      <alignment horizontal="center" wrapText="1"/>
      <protection hidden="1"/>
    </xf>
    <xf numFmtId="1" fontId="73" fillId="5" borderId="10" xfId="0" applyNumberFormat="1" applyFont="1" applyFill="1" applyBorder="1" applyAlignment="1" applyProtection="1">
      <alignment horizontal="center" wrapText="1"/>
      <protection hidden="1"/>
    </xf>
    <xf numFmtId="0" fontId="8" fillId="3" borderId="157" xfId="0" applyFont="1" applyFill="1" applyBorder="1" applyAlignment="1" applyProtection="1">
      <alignment vertical="center" wrapText="1" readingOrder="2"/>
      <protection hidden="1"/>
    </xf>
    <xf numFmtId="0" fontId="8" fillId="3" borderId="5" xfId="0" applyFont="1" applyFill="1" applyBorder="1" applyAlignment="1" applyProtection="1">
      <alignment vertical="center" wrapText="1" readingOrder="2"/>
      <protection hidden="1"/>
    </xf>
    <xf numFmtId="3" fontId="8" fillId="3" borderId="49" xfId="0" applyNumberFormat="1" applyFont="1" applyFill="1" applyBorder="1" applyAlignment="1" applyProtection="1">
      <alignment horizontal="center" vertical="center" wrapText="1" readingOrder="2"/>
      <protection hidden="1"/>
    </xf>
    <xf numFmtId="0" fontId="63" fillId="3" borderId="167" xfId="0" applyFont="1" applyFill="1" applyBorder="1" applyAlignment="1">
      <alignment vertical="center"/>
    </xf>
    <xf numFmtId="0" fontId="63" fillId="4" borderId="167" xfId="0" applyFont="1" applyFill="1" applyBorder="1" applyAlignment="1">
      <alignment vertical="center"/>
    </xf>
    <xf numFmtId="0" fontId="63" fillId="20" borderId="77" xfId="0" applyFont="1" applyFill="1" applyBorder="1" applyAlignment="1">
      <alignment vertical="center"/>
    </xf>
    <xf numFmtId="0" fontId="63" fillId="20" borderId="168" xfId="0" applyFont="1" applyFill="1" applyBorder="1" applyAlignment="1">
      <alignment vertical="center"/>
    </xf>
    <xf numFmtId="0" fontId="63" fillId="20" borderId="0" xfId="0" applyFont="1" applyFill="1" applyAlignment="1">
      <alignment vertical="center"/>
    </xf>
    <xf numFmtId="0" fontId="63" fillId="20" borderId="76" xfId="0" applyFont="1" applyFill="1" applyBorder="1" applyAlignment="1">
      <alignment vertical="center"/>
    </xf>
    <xf numFmtId="0" fontId="0" fillId="20" borderId="0" xfId="0" applyFill="1" applyAlignment="1">
      <alignment vertical="center"/>
    </xf>
    <xf numFmtId="0" fontId="0" fillId="20" borderId="76" xfId="0" applyFill="1" applyBorder="1" applyAlignment="1">
      <alignment vertical="center"/>
    </xf>
    <xf numFmtId="0" fontId="63" fillId="20" borderId="169" xfId="0" applyFont="1" applyFill="1" applyBorder="1" applyAlignment="1">
      <alignment horizontal="center" vertical="center"/>
    </xf>
    <xf numFmtId="0" fontId="0" fillId="20" borderId="170" xfId="0" applyFill="1" applyBorder="1" applyAlignment="1">
      <alignment horizontal="center" vertical="center"/>
    </xf>
    <xf numFmtId="0" fontId="0" fillId="20" borderId="171" xfId="0" applyFill="1" applyBorder="1" applyAlignment="1">
      <alignment horizontal="center" vertical="center"/>
    </xf>
    <xf numFmtId="0" fontId="0" fillId="20" borderId="77" xfId="0" applyFill="1" applyBorder="1" applyAlignment="1">
      <alignment vertical="center"/>
    </xf>
    <xf numFmtId="0" fontId="74" fillId="3" borderId="172" xfId="0" applyFont="1" applyFill="1" applyBorder="1" applyAlignment="1">
      <alignment vertical="center" wrapText="1"/>
    </xf>
    <xf numFmtId="0" fontId="35" fillId="3" borderId="156" xfId="0" applyFont="1" applyFill="1" applyBorder="1" applyAlignment="1">
      <alignment vertical="center" wrapText="1"/>
    </xf>
    <xf numFmtId="1" fontId="72" fillId="0" borderId="7" xfId="2" applyNumberFormat="1" applyFont="1" applyBorder="1" applyAlignment="1">
      <alignment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79" fillId="3" borderId="65" xfId="0" applyFont="1" applyFill="1" applyBorder="1" applyAlignment="1" applyProtection="1">
      <alignment horizontal="center" vertical="center" wrapText="1" readingOrder="1"/>
      <protection hidden="1"/>
    </xf>
    <xf numFmtId="0" fontId="79" fillId="3" borderId="66" xfId="0" applyFont="1" applyFill="1" applyBorder="1" applyAlignment="1" applyProtection="1">
      <alignment vertical="center" wrapText="1" readingOrder="1"/>
      <protection hidden="1"/>
    </xf>
    <xf numFmtId="1" fontId="79" fillId="3" borderId="66" xfId="0" applyNumberFormat="1" applyFont="1" applyFill="1" applyBorder="1" applyAlignment="1" applyProtection="1">
      <alignment vertical="center" wrapText="1" readingOrder="1"/>
      <protection hidden="1"/>
    </xf>
    <xf numFmtId="0" fontId="79" fillId="3" borderId="67" xfId="0" applyFont="1" applyFill="1" applyBorder="1" applyAlignment="1" applyProtection="1">
      <alignment vertical="center" wrapText="1" readingOrder="1"/>
      <protection hidden="1"/>
    </xf>
    <xf numFmtId="0" fontId="79" fillId="3" borderId="65" xfId="0" applyFont="1" applyFill="1" applyBorder="1" applyAlignment="1" applyProtection="1">
      <alignment horizontal="center" vertical="center" wrapText="1" readingOrder="2"/>
      <protection hidden="1"/>
    </xf>
    <xf numFmtId="0" fontId="79" fillId="3" borderId="66" xfId="0" applyFont="1" applyFill="1" applyBorder="1" applyAlignment="1" applyProtection="1">
      <alignment horizontal="center" vertical="center" wrapText="1" readingOrder="2"/>
      <protection hidden="1"/>
    </xf>
    <xf numFmtId="0" fontId="79" fillId="3" borderId="67" xfId="0" applyFont="1" applyFill="1" applyBorder="1" applyAlignment="1" applyProtection="1">
      <alignment horizontal="center" vertical="center" wrapText="1" readingOrder="2"/>
      <protection hidden="1"/>
    </xf>
    <xf numFmtId="0" fontId="79" fillId="3" borderId="66" xfId="0" applyFont="1" applyFill="1" applyBorder="1" applyAlignment="1" applyProtection="1">
      <alignment horizontal="center" vertical="center" wrapText="1" readingOrder="1"/>
      <protection hidden="1"/>
    </xf>
    <xf numFmtId="0" fontId="79" fillId="3" borderId="67" xfId="0" applyFont="1" applyFill="1" applyBorder="1" applyAlignment="1" applyProtection="1">
      <alignment horizontal="center" vertical="center" wrapText="1" readingOrder="1"/>
      <protection hidden="1"/>
    </xf>
    <xf numFmtId="2" fontId="79" fillId="0" borderId="0" xfId="0" applyNumberFormat="1" applyFont="1" applyAlignment="1" applyProtection="1">
      <alignment horizontal="center" vertical="center" wrapText="1" readingOrder="2"/>
      <protection hidden="1"/>
    </xf>
    <xf numFmtId="0" fontId="0" fillId="5" borderId="1" xfId="0" applyFill="1" applyBorder="1" applyAlignment="1" applyProtection="1">
      <alignment horizontal="center" vertical="center" wrapText="1"/>
      <protection hidden="1"/>
    </xf>
    <xf numFmtId="0" fontId="13" fillId="2" borderId="0" xfId="0" applyFont="1" applyFill="1" applyAlignment="1" applyProtection="1">
      <alignment horizontal="left" vertical="center"/>
      <protection hidden="1"/>
    </xf>
    <xf numFmtId="2" fontId="8" fillId="0" borderId="1" xfId="0" applyNumberFormat="1" applyFont="1" applyBorder="1" applyAlignment="1" applyProtection="1">
      <alignment horizontal="center" vertical="center" wrapText="1" readingOrder="1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35" fillId="2" borderId="0" xfId="0" applyFont="1" applyFill="1" applyAlignment="1" applyProtection="1">
      <alignment horizontal="center" vertical="center"/>
      <protection hidden="1"/>
    </xf>
    <xf numFmtId="0" fontId="17" fillId="0" borderId="0" xfId="0" applyFont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9" fontId="8" fillId="0" borderId="6" xfId="0" applyNumberFormat="1" applyFont="1" applyBorder="1" applyAlignment="1" applyProtection="1">
      <alignment horizontal="center" vertical="center" wrapText="1" readingOrder="2"/>
      <protection hidden="1"/>
    </xf>
    <xf numFmtId="0" fontId="3" fillId="5" borderId="6" xfId="0" applyFont="1" applyFill="1" applyBorder="1" applyAlignment="1" applyProtection="1">
      <alignment horizontal="center" vertical="center" wrapText="1" readingOrder="2"/>
      <protection hidden="1"/>
    </xf>
    <xf numFmtId="3" fontId="8" fillId="0" borderId="1" xfId="0" applyNumberFormat="1" applyFont="1" applyBorder="1" applyAlignment="1" applyProtection="1">
      <alignment horizontal="center" vertical="center" wrapText="1" readingOrder="1"/>
      <protection hidden="1"/>
    </xf>
    <xf numFmtId="0" fontId="17" fillId="7" borderId="183" xfId="0" applyFont="1" applyFill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0" fillId="4" borderId="0" xfId="0" applyFill="1" applyAlignment="1" applyProtection="1">
      <alignment horizontal="center" vertical="center"/>
      <protection hidden="1"/>
    </xf>
    <xf numFmtId="9" fontId="62" fillId="0" borderId="1" xfId="3" applyNumberFormat="1" applyBorder="1" applyAlignment="1">
      <alignment horizontal="center" vertical="center"/>
    </xf>
    <xf numFmtId="9" fontId="71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9" fontId="79" fillId="3" borderId="1" xfId="0" applyNumberFormat="1" applyFont="1" applyFill="1" applyBorder="1" applyAlignment="1" applyProtection="1">
      <alignment horizontal="center" vertical="center" wrapText="1" readingOrder="2"/>
      <protection hidden="1"/>
    </xf>
    <xf numFmtId="9" fontId="79" fillId="0" borderId="1" xfId="0" applyNumberFormat="1" applyFont="1" applyBorder="1" applyAlignment="1" applyProtection="1">
      <alignment horizontal="center" vertical="center" wrapText="1" readingOrder="2"/>
      <protection hidden="1"/>
    </xf>
    <xf numFmtId="9" fontId="79" fillId="3" borderId="8" xfId="0" applyNumberFormat="1" applyFont="1" applyFill="1" applyBorder="1" applyAlignment="1" applyProtection="1">
      <alignment horizontal="center" vertical="center" wrapText="1" readingOrder="2"/>
      <protection hidden="1"/>
    </xf>
    <xf numFmtId="9" fontId="79" fillId="24" borderId="45" xfId="0" applyNumberFormat="1" applyFont="1" applyFill="1" applyBorder="1" applyAlignment="1" applyProtection="1">
      <alignment horizontal="center" vertical="center" wrapText="1" readingOrder="2"/>
      <protection hidden="1"/>
    </xf>
    <xf numFmtId="9" fontId="79" fillId="3" borderId="47" xfId="0" applyNumberFormat="1" applyFont="1" applyFill="1" applyBorder="1" applyAlignment="1" applyProtection="1">
      <alignment horizontal="center" vertical="center" wrapText="1" readingOrder="2"/>
      <protection hidden="1"/>
    </xf>
    <xf numFmtId="9" fontId="79" fillId="3" borderId="50" xfId="0" applyNumberFormat="1" applyFont="1" applyFill="1" applyBorder="1" applyAlignment="1" applyProtection="1">
      <alignment horizontal="center" vertical="center" wrapText="1" readingOrder="2"/>
      <protection hidden="1"/>
    </xf>
    <xf numFmtId="9" fontId="79" fillId="3" borderId="164" xfId="0" applyNumberFormat="1" applyFont="1" applyFill="1" applyBorder="1" applyAlignment="1" applyProtection="1">
      <alignment horizontal="center" vertical="center" wrapText="1" readingOrder="2"/>
      <protection hidden="1"/>
    </xf>
    <xf numFmtId="9" fontId="79" fillId="3" borderId="45" xfId="0" applyNumberFormat="1" applyFont="1" applyFill="1" applyBorder="1" applyAlignment="1" applyProtection="1">
      <alignment horizontal="center" vertical="center" wrapText="1" readingOrder="2"/>
      <protection hidden="1"/>
    </xf>
    <xf numFmtId="9" fontId="79" fillId="3" borderId="162" xfId="0" applyNumberFormat="1" applyFont="1" applyFill="1" applyBorder="1" applyAlignment="1" applyProtection="1">
      <alignment horizontal="center" vertical="center" wrapText="1" readingOrder="2"/>
      <protection hidden="1"/>
    </xf>
    <xf numFmtId="1" fontId="8" fillId="0" borderId="1" xfId="0" applyNumberFormat="1" applyFont="1" applyBorder="1" applyAlignment="1" applyProtection="1">
      <alignment horizontal="center" vertical="center" wrapText="1" readingOrder="2"/>
      <protection hidden="1"/>
    </xf>
    <xf numFmtId="0" fontId="0" fillId="3" borderId="15" xfId="0" applyFill="1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/>
      <protection hidden="1"/>
    </xf>
    <xf numFmtId="0" fontId="0" fillId="0" borderId="186" xfId="0" applyBorder="1" applyAlignment="1" applyProtection="1">
      <alignment horizontal="center"/>
      <protection hidden="1"/>
    </xf>
    <xf numFmtId="0" fontId="0" fillId="0" borderId="66" xfId="0" applyBorder="1" applyAlignment="1" applyProtection="1">
      <alignment horizontal="center"/>
      <protection hidden="1"/>
    </xf>
    <xf numFmtId="0" fontId="0" fillId="0" borderId="188" xfId="0" applyBorder="1" applyAlignment="1" applyProtection="1">
      <alignment horizontal="center"/>
      <protection hidden="1"/>
    </xf>
    <xf numFmtId="14" fontId="35" fillId="0" borderId="0" xfId="0" applyNumberFormat="1" applyFont="1" applyAlignment="1" applyProtection="1">
      <alignment horizontal="center"/>
      <protection hidden="1"/>
    </xf>
    <xf numFmtId="1" fontId="21" fillId="2" borderId="1" xfId="0" applyNumberFormat="1" applyFont="1" applyFill="1" applyBorder="1" applyAlignment="1">
      <alignment horizontal="center" vertical="center"/>
    </xf>
    <xf numFmtId="1" fontId="29" fillId="2" borderId="5" xfId="0" applyNumberFormat="1" applyFont="1" applyFill="1" applyBorder="1" applyAlignment="1">
      <alignment horizontal="center" vertical="center"/>
    </xf>
    <xf numFmtId="1" fontId="21" fillId="0" borderId="46" xfId="0" applyNumberFormat="1" applyFont="1" applyBorder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88" fillId="0" borderId="0" xfId="0" applyFont="1" applyAlignment="1">
      <alignment horizontal="center" vertical="center" wrapText="1" readingOrder="2"/>
    </xf>
    <xf numFmtId="0" fontId="17" fillId="0" borderId="0" xfId="0" applyFont="1"/>
    <xf numFmtId="0" fontId="89" fillId="0" borderId="0" xfId="0" applyFont="1" applyAlignment="1">
      <alignment horizontal="center" vertical="center"/>
    </xf>
    <xf numFmtId="164" fontId="11" fillId="0" borderId="46" xfId="0" applyNumberFormat="1" applyFont="1" applyBorder="1" applyAlignment="1">
      <alignment horizontal="center" vertical="center"/>
    </xf>
    <xf numFmtId="164" fontId="25" fillId="0" borderId="1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2" fillId="3" borderId="0" xfId="0" applyFont="1" applyFill="1" applyAlignment="1" applyProtection="1">
      <alignment horizontal="center"/>
      <protection hidden="1"/>
    </xf>
    <xf numFmtId="0" fontId="24" fillId="17" borderId="130" xfId="0" applyFont="1" applyFill="1" applyBorder="1" applyAlignment="1" applyProtection="1">
      <alignment horizontal="center" vertical="center"/>
      <protection hidden="1"/>
    </xf>
    <xf numFmtId="0" fontId="24" fillId="17" borderId="135" xfId="0" applyFont="1" applyFill="1" applyBorder="1" applyAlignment="1" applyProtection="1">
      <alignment horizontal="center" vertical="center"/>
      <protection hidden="1"/>
    </xf>
    <xf numFmtId="0" fontId="24" fillId="17" borderId="132" xfId="0" applyFont="1" applyFill="1" applyBorder="1" applyAlignment="1" applyProtection="1">
      <alignment horizontal="center"/>
      <protection hidden="1"/>
    </xf>
    <xf numFmtId="0" fontId="24" fillId="17" borderId="0" xfId="0" applyFont="1" applyFill="1" applyAlignment="1" applyProtection="1">
      <alignment horizontal="center"/>
      <protection hidden="1"/>
    </xf>
    <xf numFmtId="0" fontId="22" fillId="3" borderId="133" xfId="0" applyFont="1" applyFill="1" applyBorder="1" applyAlignment="1" applyProtection="1">
      <alignment horizontal="center"/>
      <protection hidden="1"/>
    </xf>
    <xf numFmtId="0" fontId="24" fillId="17" borderId="128" xfId="0" applyFont="1" applyFill="1" applyBorder="1" applyAlignment="1" applyProtection="1">
      <alignment vertical="center"/>
      <protection hidden="1"/>
    </xf>
    <xf numFmtId="0" fontId="24" fillId="17" borderId="129" xfId="0" applyFont="1" applyFill="1" applyBorder="1" applyAlignment="1" applyProtection="1">
      <alignment vertical="center"/>
      <protection hidden="1"/>
    </xf>
    <xf numFmtId="0" fontId="24" fillId="17" borderId="133" xfId="0" applyFont="1" applyFill="1" applyBorder="1" applyAlignment="1" applyProtection="1">
      <alignment vertical="center"/>
      <protection hidden="1"/>
    </xf>
    <xf numFmtId="0" fontId="24" fillId="17" borderId="0" xfId="0" applyFont="1" applyFill="1" applyAlignment="1" applyProtection="1">
      <alignment vertical="center"/>
      <protection hidden="1"/>
    </xf>
    <xf numFmtId="0" fontId="22" fillId="3" borderId="0" xfId="0" applyFont="1" applyFill="1" applyAlignment="1" applyProtection="1">
      <alignment horizontal="center" vertical="center"/>
      <protection hidden="1"/>
    </xf>
    <xf numFmtId="0" fontId="91" fillId="3" borderId="0" xfId="0" applyFont="1" applyFill="1" applyAlignment="1" applyProtection="1">
      <alignment horizontal="center" vertical="center"/>
      <protection hidden="1"/>
    </xf>
    <xf numFmtId="0" fontId="91" fillId="3" borderId="133" xfId="0" applyFont="1" applyFill="1" applyBorder="1" applyAlignment="1" applyProtection="1">
      <alignment horizontal="center" vertical="center"/>
      <protection hidden="1"/>
    </xf>
    <xf numFmtId="0" fontId="64" fillId="3" borderId="0" xfId="0" applyFont="1" applyFill="1" applyAlignment="1" applyProtection="1">
      <alignment horizontal="center" vertical="center" wrapText="1"/>
      <protection hidden="1"/>
    </xf>
    <xf numFmtId="0" fontId="64" fillId="0" borderId="0" xfId="0" applyFont="1" applyAlignment="1" applyProtection="1">
      <alignment horizontal="center" vertical="center" wrapText="1"/>
      <protection hidden="1"/>
    </xf>
    <xf numFmtId="0" fontId="24" fillId="16" borderId="20" xfId="0" applyFont="1" applyFill="1" applyBorder="1" applyAlignment="1" applyProtection="1">
      <alignment horizontal="center" vertical="center" wrapText="1"/>
      <protection hidden="1"/>
    </xf>
    <xf numFmtId="0" fontId="24" fillId="16" borderId="20" xfId="0" applyFont="1" applyFill="1" applyBorder="1" applyAlignment="1" applyProtection="1">
      <alignment horizontal="center" wrapText="1"/>
      <protection hidden="1"/>
    </xf>
    <xf numFmtId="1" fontId="24" fillId="5" borderId="20" xfId="0" applyNumberFormat="1" applyFont="1" applyFill="1" applyBorder="1" applyAlignment="1" applyProtection="1">
      <alignment horizontal="center" vertical="center" wrapText="1"/>
      <protection hidden="1"/>
    </xf>
    <xf numFmtId="1" fontId="24" fillId="5" borderId="127" xfId="0" applyNumberFormat="1" applyFont="1" applyFill="1" applyBorder="1" applyAlignment="1" applyProtection="1">
      <alignment horizontal="center" vertical="center" wrapText="1"/>
      <protection hidden="1"/>
    </xf>
    <xf numFmtId="0" fontId="24" fillId="17" borderId="136" xfId="0" applyFont="1" applyFill="1" applyBorder="1" applyAlignment="1" applyProtection="1">
      <alignment horizontal="center"/>
      <protection hidden="1"/>
    </xf>
    <xf numFmtId="0" fontId="24" fillId="17" borderId="130" xfId="0" applyFont="1" applyFill="1" applyBorder="1" applyAlignment="1" applyProtection="1">
      <alignment horizontal="center"/>
      <protection hidden="1"/>
    </xf>
    <xf numFmtId="0" fontId="24" fillId="17" borderId="135" xfId="0" applyFont="1" applyFill="1" applyBorder="1" applyAlignment="1" applyProtection="1">
      <alignment horizontal="center"/>
      <protection hidden="1"/>
    </xf>
    <xf numFmtId="0" fontId="24" fillId="17" borderId="136" xfId="0" applyFont="1" applyFill="1" applyBorder="1" applyAlignment="1" applyProtection="1">
      <alignment horizontal="center" vertical="center" wrapText="1"/>
      <protection hidden="1"/>
    </xf>
    <xf numFmtId="0" fontId="24" fillId="17" borderId="130" xfId="0" applyFont="1" applyFill="1" applyBorder="1" applyAlignment="1" applyProtection="1">
      <alignment horizontal="center" vertical="center" wrapText="1"/>
      <protection hidden="1"/>
    </xf>
    <xf numFmtId="0" fontId="24" fillId="17" borderId="135" xfId="0" applyFont="1" applyFill="1" applyBorder="1" applyAlignment="1" applyProtection="1">
      <alignment horizontal="center" vertical="center" wrapText="1"/>
      <protection hidden="1"/>
    </xf>
    <xf numFmtId="0" fontId="22" fillId="3" borderId="139" xfId="0" applyFont="1" applyFill="1" applyBorder="1" applyAlignment="1" applyProtection="1">
      <alignment horizontal="center"/>
      <protection hidden="1"/>
    </xf>
    <xf numFmtId="0" fontId="24" fillId="17" borderId="11" xfId="0" applyFont="1" applyFill="1" applyBorder="1" applyAlignment="1" applyProtection="1">
      <alignment horizontal="center" vertical="center"/>
      <protection hidden="1"/>
    </xf>
    <xf numFmtId="0" fontId="24" fillId="17" borderId="15" xfId="0" applyFont="1" applyFill="1" applyBorder="1" applyAlignment="1" applyProtection="1">
      <alignment horizontal="center" vertical="center"/>
      <protection hidden="1"/>
    </xf>
    <xf numFmtId="0" fontId="24" fillId="17" borderId="133" xfId="0" applyFont="1" applyFill="1" applyBorder="1" applyAlignment="1" applyProtection="1">
      <alignment horizontal="center" vertical="center"/>
      <protection hidden="1"/>
    </xf>
    <xf numFmtId="0" fontId="24" fillId="17" borderId="131" xfId="0" applyFont="1" applyFill="1" applyBorder="1" applyAlignment="1" applyProtection="1">
      <alignment horizontal="center" vertical="center"/>
      <protection hidden="1"/>
    </xf>
    <xf numFmtId="1" fontId="26" fillId="5" borderId="20" xfId="0" applyNumberFormat="1" applyFont="1" applyFill="1" applyBorder="1" applyAlignment="1" applyProtection="1">
      <alignment horizontal="center" vertical="center" wrapText="1"/>
      <protection hidden="1"/>
    </xf>
    <xf numFmtId="0" fontId="22" fillId="5" borderId="58" xfId="0" applyFont="1" applyFill="1" applyBorder="1" applyAlignment="1" applyProtection="1">
      <alignment horizontal="center"/>
      <protection hidden="1"/>
    </xf>
    <xf numFmtId="0" fontId="22" fillId="5" borderId="58" xfId="0" applyFont="1" applyFill="1" applyBorder="1" applyAlignment="1" applyProtection="1">
      <alignment horizontal="center" vertical="center"/>
      <protection hidden="1"/>
    </xf>
    <xf numFmtId="0" fontId="22" fillId="5" borderId="41" xfId="0" applyFont="1" applyFill="1" applyBorder="1" applyAlignment="1" applyProtection="1">
      <alignment horizontal="center" vertical="center"/>
      <protection hidden="1"/>
    </xf>
    <xf numFmtId="0" fontId="24" fillId="13" borderId="22" xfId="0" applyFont="1" applyFill="1" applyBorder="1" applyAlignment="1" applyProtection="1">
      <alignment horizontal="center" vertical="center" wrapText="1"/>
      <protection hidden="1"/>
    </xf>
    <xf numFmtId="0" fontId="24" fillId="13" borderId="9" xfId="0" applyFont="1" applyFill="1" applyBorder="1" applyAlignment="1" applyProtection="1">
      <alignment horizontal="center" vertical="center" wrapText="1"/>
      <protection hidden="1"/>
    </xf>
    <xf numFmtId="0" fontId="24" fillId="9" borderId="2" xfId="0" applyFont="1" applyFill="1" applyBorder="1" applyAlignment="1" applyProtection="1">
      <alignment horizontal="center" vertical="center" wrapText="1"/>
      <protection hidden="1"/>
    </xf>
    <xf numFmtId="0" fontId="24" fillId="14" borderId="2" xfId="0" applyFont="1" applyFill="1" applyBorder="1" applyAlignment="1" applyProtection="1">
      <alignment horizontal="center" vertical="center" wrapText="1"/>
      <protection hidden="1"/>
    </xf>
    <xf numFmtId="0" fontId="24" fillId="18" borderId="2" xfId="0" applyFont="1" applyFill="1" applyBorder="1" applyAlignment="1" applyProtection="1">
      <alignment horizontal="center" vertical="center" wrapText="1"/>
      <protection hidden="1"/>
    </xf>
    <xf numFmtId="0" fontId="24" fillId="15" borderId="2" xfId="0" applyFont="1" applyFill="1" applyBorder="1" applyAlignment="1" applyProtection="1">
      <alignment horizontal="center" vertical="center" wrapText="1"/>
      <protection hidden="1"/>
    </xf>
    <xf numFmtId="0" fontId="24" fillId="15" borderId="3" xfId="0" applyFont="1" applyFill="1" applyBorder="1" applyAlignment="1" applyProtection="1">
      <alignment horizontal="center" vertical="center" wrapText="1"/>
      <protection hidden="1"/>
    </xf>
    <xf numFmtId="0" fontId="24" fillId="16" borderId="11" xfId="0" applyFont="1" applyFill="1" applyBorder="1" applyAlignment="1" applyProtection="1">
      <alignment horizontal="center" vertical="center" wrapText="1"/>
      <protection hidden="1"/>
    </xf>
    <xf numFmtId="0" fontId="24" fillId="4" borderId="11" xfId="0" applyFont="1" applyFill="1" applyBorder="1" applyAlignment="1" applyProtection="1">
      <alignment horizontal="center" vertical="center" wrapText="1"/>
      <protection hidden="1"/>
    </xf>
    <xf numFmtId="0" fontId="24" fillId="15" borderId="4" xfId="0" applyFont="1" applyFill="1" applyBorder="1" applyAlignment="1" applyProtection="1">
      <alignment horizontal="center" vertical="center" textRotation="90" wrapText="1"/>
      <protection hidden="1"/>
    </xf>
    <xf numFmtId="1" fontId="24" fillId="5" borderId="11" xfId="0" applyNumberFormat="1" applyFont="1" applyFill="1" applyBorder="1" applyAlignment="1" applyProtection="1">
      <alignment horizontal="center" vertical="center" wrapText="1"/>
      <protection hidden="1"/>
    </xf>
    <xf numFmtId="1" fontId="24" fillId="5" borderId="15" xfId="0" applyNumberFormat="1" applyFont="1" applyFill="1" applyBorder="1" applyAlignment="1" applyProtection="1">
      <alignment horizontal="center" vertical="center" wrapText="1"/>
      <protection hidden="1"/>
    </xf>
    <xf numFmtId="0" fontId="22" fillId="0" borderId="0" xfId="0" applyFont="1" applyAlignment="1" applyProtection="1">
      <alignment horizontal="center" vertical="center"/>
      <protection hidden="1"/>
    </xf>
    <xf numFmtId="0" fontId="22" fillId="0" borderId="0" xfId="0" applyFont="1" applyAlignment="1" applyProtection="1">
      <alignment horizontal="center"/>
      <protection hidden="1"/>
    </xf>
    <xf numFmtId="0" fontId="22" fillId="0" borderId="133" xfId="0" applyFont="1" applyBorder="1" applyAlignment="1" applyProtection="1">
      <alignment horizontal="center"/>
      <protection hidden="1"/>
    </xf>
    <xf numFmtId="1" fontId="26" fillId="5" borderId="11" xfId="0" applyNumberFormat="1" applyFont="1" applyFill="1" applyBorder="1" applyAlignment="1" applyProtection="1">
      <alignment horizontal="center" vertical="center" wrapText="1"/>
      <protection hidden="1"/>
    </xf>
    <xf numFmtId="164" fontId="22" fillId="3" borderId="0" xfId="0" applyNumberFormat="1" applyFont="1" applyFill="1" applyAlignment="1" applyProtection="1">
      <alignment horizontal="center"/>
      <protection hidden="1"/>
    </xf>
    <xf numFmtId="164" fontId="64" fillId="0" borderId="0" xfId="0" applyNumberFormat="1" applyFont="1" applyAlignment="1" applyProtection="1">
      <alignment horizontal="center" vertical="center" wrapText="1"/>
      <protection hidden="1"/>
    </xf>
    <xf numFmtId="164" fontId="26" fillId="12" borderId="23" xfId="0" applyNumberFormat="1" applyFont="1" applyFill="1" applyBorder="1" applyAlignment="1" applyProtection="1">
      <alignment horizontal="center" vertical="center" wrapText="1" readingOrder="2"/>
      <protection hidden="1"/>
    </xf>
    <xf numFmtId="164" fontId="26" fillId="12" borderId="2" xfId="0" applyNumberFormat="1" applyFont="1" applyFill="1" applyBorder="1" applyAlignment="1" applyProtection="1">
      <alignment horizontal="center" vertical="center" wrapText="1" readingOrder="2"/>
      <protection hidden="1"/>
    </xf>
    <xf numFmtId="165" fontId="26" fillId="12" borderId="2" xfId="0" applyNumberFormat="1" applyFont="1" applyFill="1" applyBorder="1" applyAlignment="1" applyProtection="1">
      <alignment horizontal="center" vertical="center" wrapText="1"/>
      <protection hidden="1"/>
    </xf>
    <xf numFmtId="164" fontId="26" fillId="8" borderId="2" xfId="0" applyNumberFormat="1" applyFont="1" applyFill="1" applyBorder="1" applyAlignment="1" applyProtection="1">
      <alignment horizontal="center" vertical="center" wrapText="1"/>
      <protection hidden="1"/>
    </xf>
    <xf numFmtId="164" fontId="26" fillId="10" borderId="2" xfId="0" applyNumberFormat="1" applyFont="1" applyFill="1" applyBorder="1" applyAlignment="1" applyProtection="1">
      <alignment horizontal="center" vertical="center" wrapText="1"/>
      <protection hidden="1"/>
    </xf>
    <xf numFmtId="164" fontId="26" fillId="18" borderId="2" xfId="0" applyNumberFormat="1" applyFont="1" applyFill="1" applyBorder="1" applyAlignment="1" applyProtection="1">
      <alignment horizontal="center" vertical="center" wrapText="1"/>
      <protection hidden="1"/>
    </xf>
    <xf numFmtId="1" fontId="26" fillId="11" borderId="2" xfId="0" applyNumberFormat="1" applyFont="1" applyFill="1" applyBorder="1" applyAlignment="1" applyProtection="1">
      <alignment horizontal="center" vertical="center" wrapText="1"/>
      <protection hidden="1"/>
    </xf>
    <xf numFmtId="1" fontId="26" fillId="11" borderId="3" xfId="0" applyNumberFormat="1" applyFont="1" applyFill="1" applyBorder="1" applyAlignment="1" applyProtection="1">
      <alignment horizontal="center" vertical="center" wrapText="1"/>
      <protection hidden="1"/>
    </xf>
    <xf numFmtId="1" fontId="26" fillId="5" borderId="11" xfId="0" applyNumberFormat="1" applyFont="1" applyFill="1" applyBorder="1" applyAlignment="1" applyProtection="1">
      <alignment horizontal="center" wrapText="1"/>
      <protection hidden="1"/>
    </xf>
    <xf numFmtId="2" fontId="26" fillId="5" borderId="11" xfId="0" applyNumberFormat="1" applyFont="1" applyFill="1" applyBorder="1" applyAlignment="1" applyProtection="1">
      <alignment horizontal="center" wrapText="1"/>
      <protection hidden="1"/>
    </xf>
    <xf numFmtId="1" fontId="26" fillId="11" borderId="4" xfId="0" applyNumberFormat="1" applyFont="1" applyFill="1" applyBorder="1" applyAlignment="1" applyProtection="1">
      <alignment horizontal="center" vertical="center" wrapText="1"/>
      <protection hidden="1"/>
    </xf>
    <xf numFmtId="1" fontId="26" fillId="6" borderId="2" xfId="0" applyNumberFormat="1" applyFont="1" applyFill="1" applyBorder="1" applyAlignment="1" applyProtection="1">
      <alignment horizontal="center" vertical="center" wrapText="1"/>
      <protection hidden="1"/>
    </xf>
    <xf numFmtId="1" fontId="26" fillId="6" borderId="3" xfId="0" applyNumberFormat="1" applyFont="1" applyFill="1" applyBorder="1" applyAlignment="1" applyProtection="1">
      <alignment horizontal="center" vertical="center" wrapText="1"/>
      <protection hidden="1"/>
    </xf>
    <xf numFmtId="0" fontId="29" fillId="17" borderId="131" xfId="0" applyFont="1" applyFill="1" applyBorder="1" applyAlignment="1" applyProtection="1">
      <alignment horizontal="center" vertical="center"/>
      <protection hidden="1"/>
    </xf>
    <xf numFmtId="0" fontId="29" fillId="17" borderId="11" xfId="0" applyFont="1" applyFill="1" applyBorder="1" applyAlignment="1" applyProtection="1">
      <alignment horizontal="center" vertical="center"/>
      <protection hidden="1"/>
    </xf>
    <xf numFmtId="0" fontId="29" fillId="17" borderId="15" xfId="0" applyFont="1" applyFill="1" applyBorder="1" applyAlignment="1" applyProtection="1">
      <alignment horizontal="center" vertical="center"/>
      <protection hidden="1"/>
    </xf>
    <xf numFmtId="0" fontId="29" fillId="17" borderId="133" xfId="0" applyFont="1" applyFill="1" applyBorder="1" applyAlignment="1" applyProtection="1">
      <alignment horizontal="center" vertical="center"/>
      <protection hidden="1"/>
    </xf>
    <xf numFmtId="0" fontId="29" fillId="17" borderId="143" xfId="0" applyFont="1" applyFill="1" applyBorder="1" applyAlignment="1" applyProtection="1">
      <alignment horizontal="center" vertical="center"/>
      <protection hidden="1"/>
    </xf>
    <xf numFmtId="0" fontId="29" fillId="5" borderId="137" xfId="0" applyFont="1" applyFill="1" applyBorder="1" applyAlignment="1" applyProtection="1">
      <alignment horizontal="center" vertical="center"/>
      <protection hidden="1"/>
    </xf>
    <xf numFmtId="0" fontId="29" fillId="5" borderId="40" xfId="0" applyFont="1" applyFill="1" applyBorder="1" applyAlignment="1" applyProtection="1">
      <alignment horizontal="center" vertical="center"/>
      <protection hidden="1"/>
    </xf>
    <xf numFmtId="1" fontId="26" fillId="5" borderId="73" xfId="0" applyNumberFormat="1" applyFont="1" applyFill="1" applyBorder="1" applyAlignment="1" applyProtection="1">
      <alignment horizontal="center" vertical="center" wrapText="1"/>
      <protection hidden="1"/>
    </xf>
    <xf numFmtId="1" fontId="22" fillId="5" borderId="11" xfId="0" applyNumberFormat="1" applyFont="1" applyFill="1" applyBorder="1" applyAlignment="1" applyProtection="1">
      <alignment horizontal="center" wrapText="1"/>
      <protection hidden="1"/>
    </xf>
    <xf numFmtId="1" fontId="26" fillId="5" borderId="126" xfId="0" applyNumberFormat="1" applyFont="1" applyFill="1" applyBorder="1" applyAlignment="1" applyProtection="1">
      <alignment horizontal="center" wrapText="1"/>
      <protection hidden="1"/>
    </xf>
    <xf numFmtId="1" fontId="22" fillId="5" borderId="126" xfId="0" applyNumberFormat="1" applyFont="1" applyFill="1" applyBorder="1" applyAlignment="1" applyProtection="1">
      <alignment horizontal="center" wrapText="1"/>
      <protection hidden="1"/>
    </xf>
    <xf numFmtId="1" fontId="26" fillId="5" borderId="0" xfId="0" applyNumberFormat="1" applyFont="1" applyFill="1" applyAlignment="1" applyProtection="1">
      <alignment horizontal="center" vertical="center" wrapText="1"/>
      <protection hidden="1"/>
    </xf>
    <xf numFmtId="0" fontId="22" fillId="5" borderId="0" xfId="0" applyFont="1" applyFill="1" applyAlignment="1" applyProtection="1">
      <alignment horizontal="center"/>
      <protection hidden="1"/>
    </xf>
    <xf numFmtId="0" fontId="22" fillId="3" borderId="138" xfId="0" applyFont="1" applyFill="1" applyBorder="1" applyAlignment="1" applyProtection="1">
      <alignment horizontal="center"/>
      <protection hidden="1"/>
    </xf>
    <xf numFmtId="0" fontId="19" fillId="19" borderId="24" xfId="0" applyFont="1" applyFill="1" applyBorder="1" applyAlignment="1" applyProtection="1">
      <alignment horizontal="center" vertical="center" wrapText="1"/>
      <protection hidden="1"/>
    </xf>
    <xf numFmtId="0" fontId="19" fillId="19" borderId="25" xfId="0" applyFont="1" applyFill="1" applyBorder="1" applyAlignment="1" applyProtection="1">
      <alignment horizontal="center" vertical="center" wrapText="1"/>
      <protection hidden="1"/>
    </xf>
    <xf numFmtId="165" fontId="19" fillId="19" borderId="25" xfId="0" applyNumberFormat="1" applyFont="1" applyFill="1" applyBorder="1" applyAlignment="1" applyProtection="1">
      <alignment horizontal="center" vertical="center" wrapText="1"/>
      <protection hidden="1"/>
    </xf>
    <xf numFmtId="0" fontId="22" fillId="19" borderId="25" xfId="0" applyFont="1" applyFill="1" applyBorder="1" applyAlignment="1" applyProtection="1">
      <alignment horizontal="center" vertical="center" wrapText="1"/>
      <protection hidden="1"/>
    </xf>
    <xf numFmtId="2" fontId="19" fillId="19" borderId="25" xfId="0" applyNumberFormat="1" applyFont="1" applyFill="1" applyBorder="1" applyAlignment="1" applyProtection="1">
      <alignment horizontal="center" vertical="center" wrapText="1"/>
      <protection hidden="1"/>
    </xf>
    <xf numFmtId="164" fontId="19" fillId="19" borderId="25" xfId="0" applyNumberFormat="1" applyFont="1" applyFill="1" applyBorder="1" applyAlignment="1" applyProtection="1">
      <alignment horizontal="center" vertical="center" wrapText="1"/>
      <protection hidden="1"/>
    </xf>
    <xf numFmtId="1" fontId="19" fillId="19" borderId="26" xfId="0" applyNumberFormat="1" applyFont="1" applyFill="1" applyBorder="1" applyAlignment="1" applyProtection="1">
      <alignment horizontal="center" vertical="center" wrapText="1"/>
      <protection hidden="1"/>
    </xf>
    <xf numFmtId="1" fontId="26" fillId="5" borderId="27" xfId="0" applyNumberFormat="1" applyFont="1" applyFill="1" applyBorder="1" applyAlignment="1" applyProtection="1">
      <alignment horizontal="center" wrapText="1"/>
      <protection hidden="1"/>
    </xf>
    <xf numFmtId="0" fontId="22" fillId="19" borderId="27" xfId="0" applyFont="1" applyFill="1" applyBorder="1" applyAlignment="1" applyProtection="1">
      <alignment horizontal="center" wrapText="1"/>
      <protection hidden="1"/>
    </xf>
    <xf numFmtId="0" fontId="22" fillId="19" borderId="29" xfId="0" applyFont="1" applyFill="1" applyBorder="1" applyAlignment="1" applyProtection="1">
      <alignment horizontal="center" wrapText="1"/>
      <protection hidden="1"/>
    </xf>
    <xf numFmtId="1" fontId="19" fillId="19" borderId="28" xfId="0" applyNumberFormat="1" applyFont="1" applyFill="1" applyBorder="1" applyAlignment="1" applyProtection="1">
      <alignment horizontal="center" vertical="center" wrapText="1"/>
      <protection hidden="1"/>
    </xf>
    <xf numFmtId="1" fontId="19" fillId="19" borderId="25" xfId="0" applyNumberFormat="1" applyFont="1" applyFill="1" applyBorder="1" applyAlignment="1" applyProtection="1">
      <alignment horizontal="center" vertical="center" wrapText="1"/>
      <protection hidden="1"/>
    </xf>
    <xf numFmtId="0" fontId="22" fillId="19" borderId="29" xfId="0" applyFont="1" applyFill="1" applyBorder="1" applyAlignment="1" applyProtection="1">
      <alignment horizontal="center"/>
      <protection hidden="1"/>
    </xf>
    <xf numFmtId="0" fontId="19" fillId="19" borderId="29" xfId="0" applyFont="1" applyFill="1" applyBorder="1" applyAlignment="1" applyProtection="1">
      <alignment horizontal="center" vertical="center"/>
      <protection hidden="1"/>
    </xf>
    <xf numFmtId="0" fontId="22" fillId="19" borderId="29" xfId="0" applyFont="1" applyFill="1" applyBorder="1" applyAlignment="1" applyProtection="1">
      <alignment horizontal="center" vertical="center"/>
      <protection hidden="1"/>
    </xf>
    <xf numFmtId="0" fontId="22" fillId="19" borderId="0" xfId="0" applyFont="1" applyFill="1" applyAlignment="1" applyProtection="1">
      <alignment horizontal="center" vertical="center"/>
      <protection hidden="1"/>
    </xf>
    <xf numFmtId="0" fontId="19" fillId="19" borderId="30" xfId="0" applyFont="1" applyFill="1" applyBorder="1" applyAlignment="1" applyProtection="1">
      <alignment horizontal="center" vertical="center"/>
      <protection hidden="1"/>
    </xf>
    <xf numFmtId="0" fontId="22" fillId="5" borderId="72" xfId="0" applyFont="1" applyFill="1" applyBorder="1" applyAlignment="1" applyProtection="1">
      <alignment horizontal="center"/>
      <protection hidden="1"/>
    </xf>
    <xf numFmtId="0" fontId="22" fillId="5" borderId="29" xfId="0" applyFont="1" applyFill="1" applyBorder="1" applyAlignment="1" applyProtection="1">
      <alignment horizontal="center"/>
      <protection hidden="1"/>
    </xf>
    <xf numFmtId="0" fontId="22" fillId="5" borderId="144" xfId="0" applyFont="1" applyFill="1" applyBorder="1" applyAlignment="1" applyProtection="1">
      <alignment horizontal="center"/>
      <protection hidden="1"/>
    </xf>
    <xf numFmtId="0" fontId="22" fillId="5" borderId="30" xfId="0" applyFont="1" applyFill="1" applyBorder="1" applyAlignment="1" applyProtection="1">
      <alignment horizontal="center"/>
      <protection hidden="1"/>
    </xf>
    <xf numFmtId="0" fontId="22" fillId="3" borderId="133" xfId="0" applyFont="1" applyFill="1" applyBorder="1" applyAlignment="1" applyProtection="1">
      <alignment horizontal="center" vertical="center"/>
      <protection hidden="1"/>
    </xf>
    <xf numFmtId="0" fontId="22" fillId="0" borderId="133" xfId="0" applyFont="1" applyBorder="1" applyAlignment="1" applyProtection="1">
      <alignment horizontal="center" vertical="center"/>
      <protection hidden="1"/>
    </xf>
    <xf numFmtId="0" fontId="22" fillId="3" borderId="0" xfId="0" applyFont="1" applyFill="1" applyProtection="1">
      <protection hidden="1"/>
    </xf>
    <xf numFmtId="0" fontId="22" fillId="3" borderId="0" xfId="0" applyFont="1" applyFill="1" applyAlignment="1" applyProtection="1">
      <alignment vertical="center"/>
      <protection hidden="1"/>
    </xf>
    <xf numFmtId="0" fontId="22" fillId="3" borderId="133" xfId="0" applyFont="1" applyFill="1" applyBorder="1" applyProtection="1">
      <protection hidden="1"/>
    </xf>
    <xf numFmtId="1" fontId="92" fillId="2" borderId="11" xfId="0" applyNumberFormat="1" applyFont="1" applyFill="1" applyBorder="1" applyAlignment="1" applyProtection="1">
      <alignment horizontal="center" vertical="center" wrapText="1"/>
      <protection hidden="1"/>
    </xf>
    <xf numFmtId="0" fontId="94" fillId="2" borderId="0" xfId="0" applyFont="1" applyFill="1" applyAlignment="1" applyProtection="1">
      <alignment horizontal="center" vertical="center"/>
      <protection hidden="1"/>
    </xf>
    <xf numFmtId="0" fontId="94" fillId="2" borderId="42" xfId="0" applyFont="1" applyFill="1" applyBorder="1" applyAlignment="1" applyProtection="1">
      <alignment horizontal="center" vertical="center"/>
      <protection hidden="1"/>
    </xf>
    <xf numFmtId="164" fontId="95" fillId="2" borderId="55" xfId="0" applyNumberFormat="1" applyFont="1" applyFill="1" applyBorder="1" applyAlignment="1" applyProtection="1">
      <alignment horizontal="center" vertical="center" wrapText="1"/>
      <protection hidden="1"/>
    </xf>
    <xf numFmtId="164" fontId="95" fillId="2" borderId="14" xfId="0" applyNumberFormat="1" applyFont="1" applyFill="1" applyBorder="1" applyAlignment="1" applyProtection="1">
      <alignment horizontal="center" vertical="center" wrapText="1"/>
      <protection hidden="1"/>
    </xf>
    <xf numFmtId="1" fontId="92" fillId="2" borderId="11" xfId="0" applyNumberFormat="1" applyFont="1" applyFill="1" applyBorder="1" applyAlignment="1" applyProtection="1">
      <alignment horizontal="center" wrapText="1"/>
      <protection hidden="1"/>
    </xf>
    <xf numFmtId="1" fontId="92" fillId="2" borderId="126" xfId="0" applyNumberFormat="1" applyFont="1" applyFill="1" applyBorder="1" applyAlignment="1" applyProtection="1">
      <alignment horizontal="center" wrapText="1"/>
      <protection hidden="1"/>
    </xf>
    <xf numFmtId="0" fontId="94" fillId="2" borderId="0" xfId="0" applyFont="1" applyFill="1" applyAlignment="1" applyProtection="1">
      <alignment horizontal="center"/>
      <protection hidden="1"/>
    </xf>
    <xf numFmtId="0" fontId="94" fillId="2" borderId="29" xfId="0" applyFont="1" applyFill="1" applyBorder="1" applyAlignment="1" applyProtection="1">
      <alignment horizontal="center"/>
      <protection hidden="1"/>
    </xf>
    <xf numFmtId="0" fontId="94" fillId="2" borderId="30" xfId="0" applyFont="1" applyFill="1" applyBorder="1" applyAlignment="1" applyProtection="1">
      <alignment horizontal="center" vertical="center"/>
      <protection hidden="1"/>
    </xf>
    <xf numFmtId="0" fontId="94" fillId="0" borderId="0" xfId="0" applyFont="1" applyAlignment="1" applyProtection="1">
      <alignment horizontal="center"/>
      <protection hidden="1"/>
    </xf>
    <xf numFmtId="0" fontId="90" fillId="2" borderId="0" xfId="0" applyFont="1" applyFill="1" applyAlignment="1" applyProtection="1">
      <alignment horizontal="center" vertical="center"/>
      <protection hidden="1"/>
    </xf>
    <xf numFmtId="0" fontId="90" fillId="2" borderId="29" xfId="0" applyFont="1" applyFill="1" applyBorder="1" applyAlignment="1" applyProtection="1">
      <alignment horizontal="center" vertical="center"/>
      <protection hidden="1"/>
    </xf>
    <xf numFmtId="0" fontId="96" fillId="5" borderId="1" xfId="0" applyFont="1" applyFill="1" applyBorder="1" applyAlignment="1" applyProtection="1">
      <alignment horizontal="center" vertical="center" wrapText="1" readingOrder="2"/>
      <protection hidden="1"/>
    </xf>
    <xf numFmtId="0" fontId="35" fillId="3" borderId="114" xfId="0" applyFont="1" applyFill="1" applyBorder="1" applyProtection="1">
      <protection hidden="1"/>
    </xf>
    <xf numFmtId="0" fontId="35" fillId="3" borderId="117" xfId="0" applyFont="1" applyFill="1" applyBorder="1" applyProtection="1">
      <protection hidden="1"/>
    </xf>
    <xf numFmtId="0" fontId="35" fillId="3" borderId="116" xfId="0" applyFont="1" applyFill="1" applyBorder="1" applyProtection="1">
      <protection hidden="1"/>
    </xf>
    <xf numFmtId="0" fontId="35" fillId="3" borderId="91" xfId="0" applyFont="1" applyFill="1" applyBorder="1" applyProtection="1">
      <protection hidden="1"/>
    </xf>
    <xf numFmtId="0" fontId="35" fillId="5" borderId="0" xfId="0" applyFont="1" applyFill="1" applyAlignment="1" applyProtection="1">
      <alignment horizontal="center"/>
      <protection hidden="1"/>
    </xf>
    <xf numFmtId="0" fontId="35" fillId="5" borderId="116" xfId="0" applyFont="1" applyFill="1" applyBorder="1" applyProtection="1">
      <protection hidden="1"/>
    </xf>
    <xf numFmtId="0" fontId="35" fillId="5" borderId="91" xfId="0" applyFont="1" applyFill="1" applyBorder="1" applyProtection="1">
      <protection hidden="1"/>
    </xf>
    <xf numFmtId="0" fontId="35" fillId="5" borderId="0" xfId="0" applyFont="1" applyFill="1" applyAlignment="1" applyProtection="1">
      <alignment horizontal="center" vertical="center"/>
      <protection hidden="1"/>
    </xf>
    <xf numFmtId="0" fontId="35" fillId="5" borderId="14" xfId="0" applyFont="1" applyFill="1" applyBorder="1" applyProtection="1">
      <protection hidden="1"/>
    </xf>
    <xf numFmtId="0" fontId="35" fillId="5" borderId="118" xfId="0" applyFont="1" applyFill="1" applyBorder="1" applyProtection="1">
      <protection hidden="1"/>
    </xf>
    <xf numFmtId="0" fontId="35" fillId="5" borderId="58" xfId="0" applyFont="1" applyFill="1" applyBorder="1" applyAlignment="1" applyProtection="1">
      <alignment vertical="center" readingOrder="2"/>
      <protection hidden="1"/>
    </xf>
    <xf numFmtId="3" fontId="35" fillId="5" borderId="58" xfId="1" applyNumberFormat="1" applyFont="1" applyFill="1" applyBorder="1" applyAlignment="1" applyProtection="1">
      <alignment vertical="center"/>
      <protection hidden="1"/>
    </xf>
    <xf numFmtId="0" fontId="35" fillId="5" borderId="42" xfId="0" applyFont="1" applyFill="1" applyBorder="1" applyAlignment="1" applyProtection="1">
      <alignment horizontal="center" vertical="center"/>
      <protection hidden="1"/>
    </xf>
    <xf numFmtId="0" fontId="36" fillId="5" borderId="0" xfId="0" applyFont="1" applyFill="1" applyAlignment="1" applyProtection="1">
      <alignment horizontal="center" vertical="center"/>
      <protection hidden="1"/>
    </xf>
    <xf numFmtId="0" fontId="29" fillId="17" borderId="0" xfId="0" applyFont="1" applyFill="1" applyAlignment="1" applyProtection="1">
      <alignment horizontal="center" vertical="center"/>
      <protection hidden="1"/>
    </xf>
    <xf numFmtId="0" fontId="24" fillId="17" borderId="0" xfId="0" applyFont="1" applyFill="1" applyAlignment="1" applyProtection="1">
      <alignment horizontal="center" vertical="center"/>
      <protection hidden="1"/>
    </xf>
    <xf numFmtId="0" fontId="24" fillId="17" borderId="0" xfId="0" applyFont="1" applyFill="1" applyAlignment="1" applyProtection="1">
      <alignment horizontal="center" vertical="center" wrapText="1"/>
      <protection hidden="1"/>
    </xf>
    <xf numFmtId="0" fontId="29" fillId="17" borderId="129" xfId="0" applyFont="1" applyFill="1" applyBorder="1" applyAlignment="1" applyProtection="1">
      <alignment horizontal="center" vertical="center"/>
      <protection hidden="1"/>
    </xf>
    <xf numFmtId="1" fontId="26" fillId="5" borderId="131" xfId="0" applyNumberFormat="1" applyFont="1" applyFill="1" applyBorder="1" applyAlignment="1" applyProtection="1">
      <alignment horizontal="center" vertical="center" wrapText="1"/>
      <protection hidden="1"/>
    </xf>
    <xf numFmtId="1" fontId="26" fillId="5" borderId="190" xfId="0" applyNumberFormat="1" applyFont="1" applyFill="1" applyBorder="1" applyAlignment="1" applyProtection="1">
      <alignment horizontal="center" wrapText="1"/>
      <protection hidden="1"/>
    </xf>
    <xf numFmtId="1" fontId="26" fillId="25" borderId="189" xfId="0" applyNumberFormat="1" applyFont="1" applyFill="1" applyBorder="1" applyAlignment="1" applyProtection="1">
      <alignment horizontal="center" wrapText="1"/>
      <protection hidden="1"/>
    </xf>
    <xf numFmtId="1" fontId="66" fillId="5" borderId="0" xfId="0" applyNumberFormat="1" applyFont="1" applyFill="1" applyAlignment="1" applyProtection="1">
      <alignment horizontal="center" vertical="center" textRotation="90" wrapText="1"/>
      <protection hidden="1"/>
    </xf>
    <xf numFmtId="2" fontId="63" fillId="4" borderId="7" xfId="0" applyNumberFormat="1" applyFont="1" applyFill="1" applyBorder="1" applyAlignment="1">
      <alignment horizontal="center" vertical="center"/>
    </xf>
    <xf numFmtId="0" fontId="63" fillId="4" borderId="0" xfId="0" applyFont="1" applyFill="1" applyAlignment="1">
      <alignment vertical="center"/>
    </xf>
    <xf numFmtId="1" fontId="64" fillId="25" borderId="189" xfId="0" applyNumberFormat="1" applyFont="1" applyFill="1" applyBorder="1" applyAlignment="1" applyProtection="1">
      <alignment horizontal="center" vertical="center" wrapText="1"/>
      <protection hidden="1"/>
    </xf>
    <xf numFmtId="1" fontId="64" fillId="5" borderId="126" xfId="0" applyNumberFormat="1" applyFont="1" applyFill="1" applyBorder="1" applyAlignment="1" applyProtection="1">
      <alignment horizontal="center" vertical="center" wrapText="1"/>
      <protection hidden="1"/>
    </xf>
    <xf numFmtId="0" fontId="91" fillId="26" borderId="0" xfId="0" applyFont="1" applyFill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24" fillId="17" borderId="129" xfId="0" applyFont="1" applyFill="1" applyBorder="1" applyAlignment="1" applyProtection="1">
      <alignment horizontal="center" vertical="center"/>
      <protection hidden="1"/>
    </xf>
    <xf numFmtId="0" fontId="24" fillId="26" borderId="191" xfId="0" applyFont="1" applyFill="1" applyBorder="1" applyAlignment="1" applyProtection="1">
      <alignment horizontal="center"/>
      <protection hidden="1"/>
    </xf>
    <xf numFmtId="1" fontId="64" fillId="25" borderId="192" xfId="0" applyNumberFormat="1" applyFont="1" applyFill="1" applyBorder="1" applyAlignment="1" applyProtection="1">
      <alignment horizontal="center" vertical="center" wrapText="1"/>
      <protection hidden="1"/>
    </xf>
    <xf numFmtId="1" fontId="64" fillId="25" borderId="193" xfId="0" applyNumberFormat="1" applyFont="1" applyFill="1" applyBorder="1" applyAlignment="1" applyProtection="1">
      <alignment horizontal="center" vertical="center" wrapText="1"/>
      <protection hidden="1"/>
    </xf>
    <xf numFmtId="1" fontId="64" fillId="25" borderId="191" xfId="0" applyNumberFormat="1" applyFont="1" applyFill="1" applyBorder="1" applyAlignment="1" applyProtection="1">
      <alignment horizontal="center" vertical="center" wrapText="1"/>
      <protection hidden="1"/>
    </xf>
    <xf numFmtId="1" fontId="64" fillId="25" borderId="194" xfId="0" applyNumberFormat="1" applyFont="1" applyFill="1" applyBorder="1" applyAlignment="1" applyProtection="1">
      <alignment horizontal="center" vertical="center" wrapText="1"/>
      <protection hidden="1"/>
    </xf>
    <xf numFmtId="0" fontId="24" fillId="17" borderId="191" xfId="0" applyFont="1" applyFill="1" applyBorder="1" applyAlignment="1" applyProtection="1">
      <alignment horizontal="center" vertical="center" wrapText="1"/>
      <protection hidden="1"/>
    </xf>
    <xf numFmtId="1" fontId="61" fillId="5" borderId="0" xfId="0" applyNumberFormat="1" applyFont="1" applyFill="1" applyAlignment="1" applyProtection="1">
      <alignment horizontal="center" wrapText="1"/>
      <protection hidden="1"/>
    </xf>
    <xf numFmtId="1" fontId="61" fillId="5" borderId="196" xfId="0" applyNumberFormat="1" applyFont="1" applyFill="1" applyBorder="1" applyAlignment="1" applyProtection="1">
      <alignment horizontal="center" wrapText="1"/>
      <protection hidden="1"/>
    </xf>
    <xf numFmtId="1" fontId="61" fillId="5" borderId="197" xfId="0" applyNumberFormat="1" applyFont="1" applyFill="1" applyBorder="1" applyAlignment="1" applyProtection="1">
      <alignment horizontal="center" wrapText="1"/>
      <protection hidden="1"/>
    </xf>
    <xf numFmtId="1" fontId="61" fillId="5" borderId="195" xfId="0" applyNumberFormat="1" applyFont="1" applyFill="1" applyBorder="1" applyAlignment="1" applyProtection="1">
      <alignment horizontal="center" wrapText="1"/>
      <protection hidden="1"/>
    </xf>
    <xf numFmtId="0" fontId="94" fillId="2" borderId="29" xfId="0" applyFont="1" applyFill="1" applyBorder="1" applyAlignment="1" applyProtection="1">
      <alignment horizontal="center" vertical="center"/>
      <protection hidden="1"/>
    </xf>
    <xf numFmtId="2" fontId="26" fillId="5" borderId="15" xfId="0" applyNumberFormat="1" applyFont="1" applyFill="1" applyBorder="1" applyAlignment="1" applyProtection="1">
      <alignment horizontal="center" vertical="center" wrapText="1"/>
      <protection hidden="1"/>
    </xf>
    <xf numFmtId="2" fontId="26" fillId="5" borderId="15" xfId="0" applyNumberFormat="1" applyFont="1" applyFill="1" applyBorder="1" applyAlignment="1" applyProtection="1">
      <alignment horizontal="center" wrapText="1"/>
      <protection hidden="1"/>
    </xf>
    <xf numFmtId="2" fontId="26" fillId="5" borderId="0" xfId="0" applyNumberFormat="1" applyFont="1" applyFill="1" applyAlignment="1" applyProtection="1">
      <alignment horizontal="center" vertical="center" wrapText="1"/>
      <protection hidden="1"/>
    </xf>
    <xf numFmtId="2" fontId="22" fillId="19" borderId="29" xfId="0" applyNumberFormat="1" applyFont="1" applyFill="1" applyBorder="1" applyAlignment="1" applyProtection="1">
      <alignment horizontal="center"/>
      <protection hidden="1"/>
    </xf>
    <xf numFmtId="2" fontId="22" fillId="5" borderId="29" xfId="0" applyNumberFormat="1" applyFont="1" applyFill="1" applyBorder="1" applyAlignment="1" applyProtection="1">
      <alignment horizontal="center"/>
      <protection hidden="1"/>
    </xf>
    <xf numFmtId="2" fontId="22" fillId="3" borderId="0" xfId="0" applyNumberFormat="1" applyFont="1" applyFill="1" applyAlignment="1" applyProtection="1">
      <alignment horizontal="center"/>
      <protection hidden="1"/>
    </xf>
    <xf numFmtId="2" fontId="22" fillId="3" borderId="0" xfId="0" applyNumberFormat="1" applyFont="1" applyFill="1" applyAlignment="1" applyProtection="1">
      <alignment horizontal="center" vertical="center"/>
      <protection hidden="1"/>
    </xf>
    <xf numFmtId="1" fontId="22" fillId="5" borderId="198" xfId="0" applyNumberFormat="1" applyFont="1" applyFill="1" applyBorder="1" applyAlignment="1" applyProtection="1">
      <alignment horizontal="center" wrapText="1"/>
      <protection hidden="1"/>
    </xf>
    <xf numFmtId="0" fontId="0" fillId="0" borderId="198" xfId="0" applyBorder="1" applyAlignment="1" applyProtection="1">
      <alignment horizontal="center"/>
      <protection hidden="1"/>
    </xf>
    <xf numFmtId="0" fontId="22" fillId="3" borderId="198" xfId="0" applyFont="1" applyFill="1" applyBorder="1" applyAlignment="1" applyProtection="1">
      <alignment horizontal="center"/>
      <protection hidden="1"/>
    </xf>
    <xf numFmtId="0" fontId="22" fillId="3" borderId="198" xfId="0" applyFont="1" applyFill="1" applyBorder="1" applyAlignment="1" applyProtection="1">
      <alignment horizontal="center" vertical="center"/>
      <protection hidden="1"/>
    </xf>
    <xf numFmtId="1" fontId="55" fillId="5" borderId="198" xfId="0" applyNumberFormat="1" applyFont="1" applyFill="1" applyBorder="1" applyAlignment="1" applyProtection="1">
      <alignment horizontal="center" vertical="center" wrapText="1"/>
      <protection hidden="1"/>
    </xf>
    <xf numFmtId="0" fontId="35" fillId="0" borderId="198" xfId="0" applyFont="1" applyBorder="1" applyAlignment="1" applyProtection="1">
      <alignment horizontal="center" vertical="center"/>
      <protection hidden="1"/>
    </xf>
    <xf numFmtId="1" fontId="98" fillId="5" borderId="198" xfId="0" applyNumberFormat="1" applyFont="1" applyFill="1" applyBorder="1" applyAlignment="1" applyProtection="1">
      <alignment horizontal="center" vertical="center" wrapText="1"/>
      <protection hidden="1"/>
    </xf>
    <xf numFmtId="0" fontId="99" fillId="0" borderId="198" xfId="0" applyFont="1" applyBorder="1" applyAlignment="1" applyProtection="1">
      <alignment horizontal="center" vertical="center"/>
      <protection hidden="1"/>
    </xf>
    <xf numFmtId="0" fontId="0" fillId="0" borderId="0" xfId="1" applyNumberFormat="1" applyFont="1" applyAlignment="1" applyProtection="1">
      <alignment horizontal="center"/>
      <protection hidden="1"/>
    </xf>
    <xf numFmtId="1" fontId="23" fillId="2" borderId="0" xfId="0" applyNumberFormat="1" applyFont="1" applyFill="1" applyAlignment="1">
      <alignment horizontal="center" vertical="center" wrapText="1"/>
    </xf>
    <xf numFmtId="1" fontId="28" fillId="2" borderId="0" xfId="0" applyNumberFormat="1" applyFont="1" applyFill="1" applyAlignment="1">
      <alignment horizontal="center" vertical="center" wrapText="1"/>
    </xf>
    <xf numFmtId="167" fontId="24" fillId="0" borderId="0" xfId="0" applyNumberFormat="1" applyFont="1" applyAlignment="1">
      <alignment horizontal="center" vertical="center"/>
    </xf>
    <xf numFmtId="1" fontId="33" fillId="3" borderId="5" xfId="0" applyNumberFormat="1" applyFont="1" applyFill="1" applyBorder="1" applyAlignment="1" applyProtection="1">
      <alignment horizontal="center" vertical="center" wrapText="1" readingOrder="1"/>
      <protection hidden="1"/>
    </xf>
    <xf numFmtId="0" fontId="52" fillId="24" borderId="34" xfId="0" applyFont="1" applyFill="1" applyBorder="1" applyAlignment="1" applyProtection="1">
      <alignment horizontal="center" vertical="center" wrapText="1"/>
      <protection hidden="1"/>
    </xf>
    <xf numFmtId="0" fontId="52" fillId="24" borderId="146" xfId="0" applyFont="1" applyFill="1" applyBorder="1" applyAlignment="1" applyProtection="1">
      <alignment horizontal="center" vertical="center" wrapText="1"/>
      <protection hidden="1"/>
    </xf>
    <xf numFmtId="0" fontId="52" fillId="24" borderId="38" xfId="0" applyFont="1" applyFill="1" applyBorder="1" applyAlignment="1" applyProtection="1">
      <alignment vertical="center" wrapText="1"/>
      <protection hidden="1"/>
    </xf>
    <xf numFmtId="164" fontId="64" fillId="24" borderId="140" xfId="0" applyNumberFormat="1" applyFont="1" applyFill="1" applyBorder="1" applyAlignment="1" applyProtection="1">
      <alignment horizontal="center" vertical="center" wrapText="1"/>
      <protection hidden="1"/>
    </xf>
    <xf numFmtId="164" fontId="55" fillId="24" borderId="37" xfId="0" applyNumberFormat="1" applyFont="1" applyFill="1" applyBorder="1" applyAlignment="1" applyProtection="1">
      <alignment horizontal="center" vertical="center" wrapText="1"/>
      <protection hidden="1"/>
    </xf>
    <xf numFmtId="1" fontId="17" fillId="0" borderId="203" xfId="0" applyNumberFormat="1" applyFont="1" applyBorder="1" applyAlignment="1">
      <alignment horizontal="center" vertical="center"/>
    </xf>
    <xf numFmtId="0" fontId="0" fillId="0" borderId="1" xfId="0" applyBorder="1"/>
    <xf numFmtId="0" fontId="100" fillId="0" borderId="0" xfId="0" applyFont="1"/>
    <xf numFmtId="1" fontId="29" fillId="0" borderId="57" xfId="0" applyNumberFormat="1" applyFont="1" applyBorder="1" applyAlignment="1">
      <alignment horizontal="center" vertical="center"/>
    </xf>
    <xf numFmtId="1" fontId="25" fillId="0" borderId="46" xfId="0" applyNumberFormat="1" applyFont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64" fontId="11" fillId="0" borderId="47" xfId="0" applyNumberFormat="1" applyFont="1" applyBorder="1" applyAlignment="1">
      <alignment horizontal="center" vertical="center"/>
    </xf>
    <xf numFmtId="164" fontId="21" fillId="0" borderId="46" xfId="0" applyNumberFormat="1" applyFont="1" applyBorder="1" applyAlignment="1">
      <alignment horizontal="center" vertical="center"/>
    </xf>
    <xf numFmtId="2" fontId="11" fillId="0" borderId="47" xfId="0" applyNumberFormat="1" applyFont="1" applyBorder="1" applyAlignment="1">
      <alignment horizontal="center" vertical="center" wrapText="1"/>
    </xf>
    <xf numFmtId="164" fontId="21" fillId="2" borderId="46" xfId="0" applyNumberFormat="1" applyFont="1" applyFill="1" applyBorder="1" applyAlignment="1">
      <alignment horizontal="center" vertical="center"/>
    </xf>
    <xf numFmtId="2" fontId="11" fillId="2" borderId="47" xfId="0" applyNumberFormat="1" applyFont="1" applyFill="1" applyBorder="1" applyAlignment="1">
      <alignment horizontal="center" vertical="center" wrapText="1"/>
    </xf>
    <xf numFmtId="164" fontId="11" fillId="2" borderId="46" xfId="0" applyNumberFormat="1" applyFont="1" applyFill="1" applyBorder="1" applyAlignment="1">
      <alignment horizontal="center" vertical="center"/>
    </xf>
    <xf numFmtId="1" fontId="11" fillId="2" borderId="47" xfId="0" applyNumberFormat="1" applyFont="1" applyFill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" fontId="11" fillId="0" borderId="47" xfId="0" applyNumberFormat="1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164" fontId="11" fillId="2" borderId="47" xfId="0" applyNumberFormat="1" applyFont="1" applyFill="1" applyBorder="1" applyAlignment="1">
      <alignment horizontal="center" vertical="center"/>
    </xf>
    <xf numFmtId="1" fontId="17" fillId="2" borderId="203" xfId="0" applyNumberFormat="1" applyFont="1" applyFill="1" applyBorder="1" applyAlignment="1">
      <alignment horizontal="center" vertical="center"/>
    </xf>
    <xf numFmtId="0" fontId="5" fillId="0" borderId="203" xfId="0" applyFont="1" applyBorder="1" applyAlignment="1">
      <alignment horizontal="center" vertical="center"/>
    </xf>
    <xf numFmtId="1" fontId="104" fillId="0" borderId="0" xfId="0" applyNumberFormat="1" applyFont="1" applyAlignment="1">
      <alignment horizontal="center" vertical="center"/>
    </xf>
    <xf numFmtId="1" fontId="35" fillId="0" borderId="0" xfId="0" applyNumberFormat="1" applyFont="1" applyAlignment="1">
      <alignment horizontal="center" vertical="center"/>
    </xf>
    <xf numFmtId="1" fontId="99" fillId="0" borderId="0" xfId="0" applyNumberFormat="1" applyFont="1" applyAlignment="1">
      <alignment horizontal="center" vertical="center"/>
    </xf>
    <xf numFmtId="1" fontId="85" fillId="4" borderId="69" xfId="0" applyNumberFormat="1" applyFont="1" applyFill="1" applyBorder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/>
    </xf>
    <xf numFmtId="1" fontId="85" fillId="0" borderId="0" xfId="0" applyNumberFormat="1" applyFont="1" applyAlignment="1">
      <alignment horizontal="center" vertical="center"/>
    </xf>
    <xf numFmtId="1" fontId="36" fillId="5" borderId="163" xfId="0" applyNumberFormat="1" applyFont="1" applyFill="1" applyBorder="1" applyAlignment="1">
      <alignment horizontal="center" vertical="center"/>
    </xf>
    <xf numFmtId="1" fontId="36" fillId="5" borderId="10" xfId="0" applyNumberFormat="1" applyFont="1" applyFill="1" applyBorder="1" applyAlignment="1">
      <alignment horizontal="center" vertical="center"/>
    </xf>
    <xf numFmtId="1" fontId="36" fillId="5" borderId="164" xfId="0" applyNumberFormat="1" applyFont="1" applyFill="1" applyBorder="1" applyAlignment="1">
      <alignment horizontal="center" vertical="center"/>
    </xf>
    <xf numFmtId="1" fontId="36" fillId="5" borderId="158" xfId="0" applyNumberFormat="1" applyFont="1" applyFill="1" applyBorder="1" applyAlignment="1">
      <alignment horizontal="center" vertical="center"/>
    </xf>
    <xf numFmtId="1" fontId="36" fillId="5" borderId="157" xfId="0" applyNumberFormat="1" applyFont="1" applyFill="1" applyBorder="1" applyAlignment="1">
      <alignment horizontal="center" vertical="center"/>
    </xf>
    <xf numFmtId="1" fontId="102" fillId="0" borderId="0" xfId="0" applyNumberFormat="1" applyFont="1" applyAlignment="1">
      <alignment horizontal="center" vertical="center"/>
    </xf>
    <xf numFmtId="164" fontId="59" fillId="5" borderId="48" xfId="0" applyNumberFormat="1" applyFont="1" applyFill="1" applyBorder="1" applyAlignment="1">
      <alignment horizontal="center" vertical="center"/>
    </xf>
    <xf numFmtId="2" fontId="59" fillId="5" borderId="49" xfId="0" applyNumberFormat="1" applyFont="1" applyFill="1" applyBorder="1" applyAlignment="1">
      <alignment horizontal="center" vertical="center"/>
    </xf>
    <xf numFmtId="1" fontId="59" fillId="5" borderId="50" xfId="0" applyNumberFormat="1" applyFont="1" applyFill="1" applyBorder="1" applyAlignment="1">
      <alignment horizontal="center" vertical="center"/>
    </xf>
    <xf numFmtId="2" fontId="59" fillId="5" borderId="64" xfId="0" applyNumberFormat="1" applyFont="1" applyFill="1" applyBorder="1" applyAlignment="1">
      <alignment horizontal="center" vertical="center"/>
    </xf>
    <xf numFmtId="1" fontId="59" fillId="5" borderId="52" xfId="0" applyNumberFormat="1" applyFont="1" applyFill="1" applyBorder="1" applyAlignment="1">
      <alignment horizontal="center" vertical="center"/>
    </xf>
    <xf numFmtId="164" fontId="59" fillId="5" borderId="50" xfId="0" applyNumberFormat="1" applyFont="1" applyFill="1" applyBorder="1" applyAlignment="1">
      <alignment horizontal="center" vertical="center"/>
    </xf>
    <xf numFmtId="0" fontId="36" fillId="5" borderId="163" xfId="0" applyFont="1" applyFill="1" applyBorder="1" applyAlignment="1">
      <alignment horizontal="center" vertical="center"/>
    </xf>
    <xf numFmtId="0" fontId="36" fillId="5" borderId="10" xfId="0" applyFont="1" applyFill="1" applyBorder="1" applyAlignment="1">
      <alignment horizontal="center" vertical="center"/>
    </xf>
    <xf numFmtId="0" fontId="36" fillId="5" borderId="164" xfId="0" applyFont="1" applyFill="1" applyBorder="1" applyAlignment="1">
      <alignment horizontal="center" vertical="center"/>
    </xf>
    <xf numFmtId="1" fontId="36" fillId="5" borderId="1" xfId="0" applyNumberFormat="1" applyFont="1" applyFill="1" applyBorder="1" applyAlignment="1">
      <alignment horizontal="center" vertical="center"/>
    </xf>
    <xf numFmtId="1" fontId="36" fillId="5" borderId="47" xfId="0" applyNumberFormat="1" applyFont="1" applyFill="1" applyBorder="1" applyAlignment="1">
      <alignment horizontal="center" vertical="center"/>
    </xf>
    <xf numFmtId="1" fontId="59" fillId="5" borderId="1" xfId="0" applyNumberFormat="1" applyFont="1" applyFill="1" applyBorder="1" applyAlignment="1">
      <alignment horizontal="center" vertical="center" wrapText="1"/>
    </xf>
    <xf numFmtId="1" fontId="59" fillId="5" borderId="46" xfId="0" applyNumberFormat="1" applyFont="1" applyFill="1" applyBorder="1" applyAlignment="1">
      <alignment horizontal="center" vertical="center" wrapText="1"/>
    </xf>
    <xf numFmtId="1" fontId="59" fillId="5" borderId="47" xfId="0" applyNumberFormat="1" applyFont="1" applyFill="1" applyBorder="1" applyAlignment="1">
      <alignment horizontal="center" vertical="center" wrapText="1"/>
    </xf>
    <xf numFmtId="1" fontId="59" fillId="5" borderId="57" xfId="0" applyNumberFormat="1" applyFont="1" applyFill="1" applyBorder="1" applyAlignment="1">
      <alignment horizontal="center" vertical="center" wrapText="1"/>
    </xf>
    <xf numFmtId="164" fontId="35" fillId="2" borderId="46" xfId="0" applyNumberFormat="1" applyFont="1" applyFill="1" applyBorder="1" applyAlignment="1">
      <alignment horizontal="center" vertical="center"/>
    </xf>
    <xf numFmtId="164" fontId="35" fillId="0" borderId="46" xfId="0" applyNumberFormat="1" applyFont="1" applyBorder="1" applyAlignment="1">
      <alignment horizontal="center" vertical="center"/>
    </xf>
    <xf numFmtId="1" fontId="99" fillId="0" borderId="46" xfId="0" applyNumberFormat="1" applyFont="1" applyBorder="1" applyAlignment="1">
      <alignment horizontal="center" vertical="center"/>
    </xf>
    <xf numFmtId="1" fontId="99" fillId="0" borderId="48" xfId="0" applyNumberFormat="1" applyFont="1" applyBorder="1" applyAlignment="1">
      <alignment horizontal="center" vertical="center"/>
    </xf>
    <xf numFmtId="0" fontId="99" fillId="0" borderId="46" xfId="0" applyFont="1" applyBorder="1" applyAlignment="1">
      <alignment horizontal="center" vertical="center"/>
    </xf>
    <xf numFmtId="0" fontId="99" fillId="0" borderId="206" xfId="0" applyFont="1" applyBorder="1" applyAlignment="1">
      <alignment horizontal="center" vertical="center"/>
    </xf>
    <xf numFmtId="0" fontId="99" fillId="0" borderId="48" xfId="0" applyFont="1" applyBorder="1" applyAlignment="1">
      <alignment horizontal="center" vertical="center"/>
    </xf>
    <xf numFmtId="1" fontId="106" fillId="0" borderId="0" xfId="0" applyNumberFormat="1" applyFont="1" applyAlignment="1">
      <alignment horizontal="center" vertical="center"/>
    </xf>
    <xf numFmtId="1" fontId="105" fillId="0" borderId="57" xfId="0" applyNumberFormat="1" applyFont="1" applyBorder="1" applyAlignment="1">
      <alignment horizontal="center" vertical="center"/>
    </xf>
    <xf numFmtId="1" fontId="106" fillId="0" borderId="46" xfId="0" applyNumberFormat="1" applyFont="1" applyBorder="1" applyAlignment="1">
      <alignment horizontal="center" vertical="center" wrapText="1"/>
    </xf>
    <xf numFmtId="164" fontId="106" fillId="2" borderId="1" xfId="0" applyNumberFormat="1" applyFont="1" applyFill="1" applyBorder="1" applyAlignment="1">
      <alignment horizontal="center" vertical="center"/>
    </xf>
    <xf numFmtId="164" fontId="106" fillId="0" borderId="1" xfId="0" applyNumberFormat="1" applyFont="1" applyBorder="1" applyAlignment="1">
      <alignment horizontal="center" vertical="center"/>
    </xf>
    <xf numFmtId="164" fontId="106" fillId="2" borderId="46" xfId="0" applyNumberFormat="1" applyFont="1" applyFill="1" applyBorder="1" applyAlignment="1">
      <alignment horizontal="center" vertical="center"/>
    </xf>
    <xf numFmtId="0" fontId="106" fillId="0" borderId="0" xfId="0" applyFont="1"/>
    <xf numFmtId="164" fontId="98" fillId="0" borderId="46" xfId="0" applyNumberFormat="1" applyFont="1" applyBorder="1" applyAlignment="1">
      <alignment horizontal="center" vertical="center"/>
    </xf>
    <xf numFmtId="1" fontId="98" fillId="0" borderId="1" xfId="0" applyNumberFormat="1" applyFont="1" applyBorder="1" applyAlignment="1">
      <alignment horizontal="center" vertical="center"/>
    </xf>
    <xf numFmtId="2" fontId="99" fillId="0" borderId="47" xfId="0" applyNumberFormat="1" applyFont="1" applyBorder="1" applyAlignment="1">
      <alignment horizontal="center" vertical="center" wrapText="1"/>
    </xf>
    <xf numFmtId="164" fontId="98" fillId="2" borderId="46" xfId="0" applyNumberFormat="1" applyFont="1" applyFill="1" applyBorder="1" applyAlignment="1">
      <alignment horizontal="center" vertical="center"/>
    </xf>
    <xf numFmtId="1" fontId="98" fillId="2" borderId="1" xfId="0" applyNumberFormat="1" applyFont="1" applyFill="1" applyBorder="1" applyAlignment="1">
      <alignment horizontal="center" vertical="center"/>
    </xf>
    <xf numFmtId="2" fontId="99" fillId="2" borderId="47" xfId="0" applyNumberFormat="1" applyFont="1" applyFill="1" applyBorder="1" applyAlignment="1">
      <alignment horizontal="center" vertical="center" wrapText="1"/>
    </xf>
    <xf numFmtId="164" fontId="99" fillId="2" borderId="1" xfId="0" applyNumberFormat="1" applyFont="1" applyFill="1" applyBorder="1" applyAlignment="1">
      <alignment horizontal="center" vertical="center"/>
    </xf>
    <xf numFmtId="1" fontId="99" fillId="2" borderId="1" xfId="0" applyNumberFormat="1" applyFont="1" applyFill="1" applyBorder="1" applyAlignment="1">
      <alignment horizontal="center" vertical="center"/>
    </xf>
    <xf numFmtId="164" fontId="99" fillId="0" borderId="47" xfId="0" applyNumberFormat="1" applyFont="1" applyBorder="1" applyAlignment="1">
      <alignment horizontal="center" vertical="center"/>
    </xf>
    <xf numFmtId="1" fontId="99" fillId="2" borderId="47" xfId="0" applyNumberFormat="1" applyFont="1" applyFill="1" applyBorder="1" applyAlignment="1">
      <alignment horizontal="center" vertical="center"/>
    </xf>
    <xf numFmtId="164" fontId="99" fillId="0" borderId="6" xfId="0" applyNumberFormat="1" applyFont="1" applyBorder="1" applyAlignment="1">
      <alignment horizontal="center" vertical="center"/>
    </xf>
    <xf numFmtId="164" fontId="99" fillId="0" borderId="1" xfId="0" applyNumberFormat="1" applyFont="1" applyBorder="1" applyAlignment="1">
      <alignment horizontal="center" vertical="center"/>
    </xf>
    <xf numFmtId="1" fontId="99" fillId="0" borderId="47" xfId="0" applyNumberFormat="1" applyFont="1" applyBorder="1" applyAlignment="1">
      <alignment horizontal="center" vertical="center"/>
    </xf>
    <xf numFmtId="164" fontId="99" fillId="0" borderId="46" xfId="0" applyNumberFormat="1" applyFont="1" applyBorder="1" applyAlignment="1">
      <alignment horizontal="center" vertical="center"/>
    </xf>
    <xf numFmtId="1" fontId="99" fillId="0" borderId="5" xfId="0" applyNumberFormat="1" applyFont="1" applyBorder="1" applyAlignment="1">
      <alignment horizontal="center" vertical="center"/>
    </xf>
    <xf numFmtId="1" fontId="99" fillId="0" borderId="50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59" fillId="5" borderId="53" xfId="0" applyNumberFormat="1" applyFont="1" applyFill="1" applyBorder="1" applyAlignment="1">
      <alignment horizontal="center" vertical="center"/>
    </xf>
    <xf numFmtId="1" fontId="59" fillId="5" borderId="64" xfId="0" applyNumberFormat="1" applyFont="1" applyFill="1" applyBorder="1" applyAlignment="1">
      <alignment horizontal="center" vertical="center"/>
    </xf>
    <xf numFmtId="2" fontId="59" fillId="5" borderId="50" xfId="0" applyNumberFormat="1" applyFont="1" applyFill="1" applyBorder="1" applyAlignment="1">
      <alignment horizontal="center" vertical="center" wrapText="1"/>
    </xf>
    <xf numFmtId="1" fontId="59" fillId="5" borderId="0" xfId="0" applyNumberFormat="1" applyFont="1" applyFill="1" applyAlignment="1">
      <alignment horizontal="center" vertical="center"/>
    </xf>
    <xf numFmtId="2" fontId="59" fillId="5" borderId="50" xfId="0" applyNumberFormat="1" applyFont="1" applyFill="1" applyBorder="1" applyAlignment="1">
      <alignment horizontal="center" vertical="center"/>
    </xf>
    <xf numFmtId="164" fontId="106" fillId="0" borderId="1" xfId="0" applyNumberFormat="1" applyFont="1" applyBorder="1" applyAlignment="1" applyProtection="1">
      <alignment horizontal="center" vertical="center"/>
      <protection locked="0"/>
    </xf>
    <xf numFmtId="1" fontId="98" fillId="0" borderId="1" xfId="0" applyNumberFormat="1" applyFont="1" applyBorder="1" applyAlignment="1" applyProtection="1">
      <alignment horizontal="center" vertical="center"/>
      <protection locked="0"/>
    </xf>
    <xf numFmtId="164" fontId="106" fillId="0" borderId="49" xfId="0" applyNumberFormat="1" applyFont="1" applyBorder="1" applyAlignment="1" applyProtection="1">
      <alignment horizontal="center" vertical="center"/>
      <protection locked="0"/>
    </xf>
    <xf numFmtId="1" fontId="98" fillId="0" borderId="49" xfId="0" applyNumberFormat="1" applyFont="1" applyBorder="1" applyAlignment="1" applyProtection="1">
      <alignment horizontal="center" vertical="center"/>
      <protection locked="0"/>
    </xf>
    <xf numFmtId="164" fontId="106" fillId="0" borderId="1" xfId="0" applyNumberFormat="1" applyFont="1" applyBorder="1" applyAlignment="1" applyProtection="1">
      <alignment vertical="center"/>
      <protection locked="0"/>
    </xf>
    <xf numFmtId="1" fontId="99" fillId="0" borderId="1" xfId="0" applyNumberFormat="1" applyFont="1" applyBorder="1" applyAlignment="1" applyProtection="1">
      <alignment horizontal="center" vertical="center"/>
      <protection locked="0"/>
    </xf>
    <xf numFmtId="1" fontId="106" fillId="0" borderId="47" xfId="0" applyNumberFormat="1" applyFont="1" applyBorder="1" applyAlignment="1" applyProtection="1">
      <alignment horizontal="center" vertical="center"/>
      <protection locked="0"/>
    </xf>
    <xf numFmtId="0" fontId="99" fillId="0" borderId="1" xfId="0" applyFont="1" applyBorder="1" applyProtection="1">
      <protection locked="0"/>
    </xf>
    <xf numFmtId="1" fontId="99" fillId="0" borderId="49" xfId="0" applyNumberFormat="1" applyFont="1" applyBorder="1" applyAlignment="1" applyProtection="1">
      <alignment horizontal="center" vertical="center"/>
      <protection locked="0"/>
    </xf>
    <xf numFmtId="1" fontId="106" fillId="0" borderId="50" xfId="0" applyNumberFormat="1" applyFont="1" applyBorder="1" applyAlignment="1" applyProtection="1">
      <alignment horizontal="center" vertical="center"/>
      <protection locked="0"/>
    </xf>
    <xf numFmtId="0" fontId="106" fillId="0" borderId="1" xfId="0" applyFont="1" applyBorder="1" applyAlignment="1" applyProtection="1">
      <alignment horizontal="center" vertical="center"/>
      <protection locked="0"/>
    </xf>
    <xf numFmtId="0" fontId="99" fillId="0" borderId="47" xfId="0" applyFont="1" applyBorder="1" applyAlignment="1" applyProtection="1">
      <alignment horizontal="center" vertical="center"/>
      <protection locked="0"/>
    </xf>
    <xf numFmtId="0" fontId="106" fillId="0" borderId="8" xfId="0" applyFont="1" applyBorder="1" applyAlignment="1" applyProtection="1">
      <alignment horizontal="center" vertical="center"/>
      <protection locked="0"/>
    </xf>
    <xf numFmtId="0" fontId="99" fillId="0" borderId="207" xfId="0" applyFont="1" applyBorder="1" applyAlignment="1" applyProtection="1">
      <alignment horizontal="center" vertical="center"/>
      <protection locked="0"/>
    </xf>
    <xf numFmtId="0" fontId="106" fillId="0" borderId="49" xfId="0" applyFont="1" applyBorder="1" applyAlignment="1" applyProtection="1">
      <alignment horizontal="center" vertical="center"/>
      <protection locked="0"/>
    </xf>
    <xf numFmtId="0" fontId="99" fillId="0" borderId="50" xfId="0" applyFont="1" applyBorder="1" applyAlignment="1" applyProtection="1">
      <alignment horizontal="center" vertical="center"/>
      <protection locked="0"/>
    </xf>
    <xf numFmtId="1" fontId="99" fillId="0" borderId="8" xfId="0" applyNumberFormat="1" applyFont="1" applyBorder="1" applyAlignment="1" applyProtection="1">
      <alignment horizontal="center" vertical="center"/>
      <protection locked="0"/>
    </xf>
    <xf numFmtId="1" fontId="106" fillId="0" borderId="207" xfId="0" applyNumberFormat="1" applyFont="1" applyBorder="1" applyAlignment="1" applyProtection="1">
      <alignment horizontal="center" vertical="center"/>
      <protection locked="0"/>
    </xf>
    <xf numFmtId="164" fontId="106" fillId="2" borderId="47" xfId="0" applyNumberFormat="1" applyFont="1" applyFill="1" applyBorder="1" applyAlignment="1" applyProtection="1">
      <alignment horizontal="center" vertical="center"/>
      <protection locked="0"/>
    </xf>
    <xf numFmtId="1" fontId="105" fillId="0" borderId="46" xfId="0" applyNumberFormat="1" applyFont="1" applyBorder="1" applyAlignment="1">
      <alignment horizontal="center" vertical="center"/>
    </xf>
    <xf numFmtId="1" fontId="105" fillId="0" borderId="47" xfId="0" applyNumberFormat="1" applyFont="1" applyBorder="1" applyAlignment="1">
      <alignment horizontal="center" vertical="center"/>
    </xf>
    <xf numFmtId="1" fontId="105" fillId="2" borderId="46" xfId="0" applyNumberFormat="1" applyFont="1" applyFill="1" applyBorder="1" applyAlignment="1">
      <alignment horizontal="center" vertical="center"/>
    </xf>
    <xf numFmtId="1" fontId="105" fillId="2" borderId="47" xfId="0" applyNumberFormat="1" applyFont="1" applyFill="1" applyBorder="1" applyAlignment="1">
      <alignment horizontal="center" vertical="center"/>
    </xf>
    <xf numFmtId="0" fontId="17" fillId="4" borderId="180" xfId="0" applyFont="1" applyFill="1" applyBorder="1" applyAlignment="1">
      <alignment horizontal="center" vertical="center"/>
    </xf>
    <xf numFmtId="1" fontId="55" fillId="0" borderId="7" xfId="0" applyNumberFormat="1" applyFont="1" applyBorder="1" applyAlignment="1">
      <alignment horizontal="center" vertical="center"/>
    </xf>
    <xf numFmtId="0" fontId="17" fillId="4" borderId="2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9" fillId="0" borderId="198" xfId="0" applyFont="1" applyBorder="1" applyAlignment="1" applyProtection="1">
      <alignment horizontal="center" vertical="center"/>
      <protection hidden="1"/>
    </xf>
    <xf numFmtId="0" fontId="107" fillId="3" borderId="0" xfId="0" applyFont="1" applyFill="1" applyAlignment="1" applyProtection="1">
      <alignment horizontal="center" vertical="center"/>
      <protection hidden="1"/>
    </xf>
    <xf numFmtId="0" fontId="5" fillId="0" borderId="180" xfId="0" applyFont="1" applyBorder="1" applyAlignment="1" applyProtection="1">
      <alignment horizontal="center" vertical="center"/>
      <protection hidden="1"/>
    </xf>
    <xf numFmtId="0" fontId="5" fillId="0" borderId="187" xfId="0" applyFont="1" applyBorder="1" applyAlignment="1" applyProtection="1">
      <alignment horizontal="center" vertical="center"/>
      <protection hidden="1"/>
    </xf>
    <xf numFmtId="0" fontId="0" fillId="0" borderId="148" xfId="0" applyBorder="1" applyAlignment="1" applyProtection="1">
      <alignment horizontal="center" vertical="center"/>
      <protection hidden="1"/>
    </xf>
    <xf numFmtId="0" fontId="0" fillId="0" borderId="149" xfId="0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52" fillId="21" borderId="35" xfId="0" applyFont="1" applyFill="1" applyBorder="1" applyAlignment="1" applyProtection="1">
      <alignment horizontal="center" vertical="center" wrapText="1"/>
      <protection hidden="1"/>
    </xf>
    <xf numFmtId="0" fontId="52" fillId="21" borderId="34" xfId="0" applyFont="1" applyFill="1" applyBorder="1" applyAlignment="1" applyProtection="1">
      <alignment horizontal="center" vertical="center" wrapText="1"/>
      <protection hidden="1"/>
    </xf>
    <xf numFmtId="0" fontId="57" fillId="0" borderId="69" xfId="0" applyFont="1" applyBorder="1" applyAlignment="1" applyProtection="1">
      <alignment horizontal="center" vertical="center" wrapText="1"/>
      <protection hidden="1"/>
    </xf>
    <xf numFmtId="0" fontId="57" fillId="0" borderId="70" xfId="0" applyFont="1" applyBorder="1" applyAlignment="1" applyProtection="1">
      <alignment horizontal="center" vertical="center" wrapText="1"/>
      <protection hidden="1"/>
    </xf>
    <xf numFmtId="0" fontId="57" fillId="0" borderId="112" xfId="0" applyFont="1" applyBorder="1" applyAlignment="1" applyProtection="1">
      <alignment horizontal="center" vertical="center" wrapText="1"/>
      <protection hidden="1"/>
    </xf>
    <xf numFmtId="0" fontId="29" fillId="5" borderId="41" xfId="0" applyFont="1" applyFill="1" applyBorder="1" applyAlignment="1" applyProtection="1">
      <alignment horizontal="center" vertical="center" wrapText="1"/>
      <protection hidden="1"/>
    </xf>
    <xf numFmtId="0" fontId="29" fillId="5" borderId="42" xfId="0" applyFont="1" applyFill="1" applyBorder="1" applyAlignment="1" applyProtection="1">
      <alignment horizontal="center" vertical="center" wrapText="1"/>
      <protection hidden="1"/>
    </xf>
    <xf numFmtId="0" fontId="67" fillId="15" borderId="19" xfId="0" applyFont="1" applyFill="1" applyBorder="1" applyAlignment="1" applyProtection="1">
      <alignment horizontal="center" vertical="center" wrapText="1"/>
      <protection hidden="1"/>
    </xf>
    <xf numFmtId="0" fontId="67" fillId="15" borderId="17" xfId="0" applyFont="1" applyFill="1" applyBorder="1" applyAlignment="1" applyProtection="1">
      <alignment horizontal="center" vertical="center" wrapText="1"/>
      <protection hidden="1"/>
    </xf>
    <xf numFmtId="0" fontId="67" fillId="15" borderId="18" xfId="0" applyFont="1" applyFill="1" applyBorder="1" applyAlignment="1" applyProtection="1">
      <alignment horizontal="center" vertical="center" wrapText="1"/>
      <protection hidden="1"/>
    </xf>
    <xf numFmtId="0" fontId="93" fillId="2" borderId="63" xfId="0" applyFont="1" applyFill="1" applyBorder="1" applyAlignment="1" applyProtection="1">
      <alignment horizontal="center" vertical="center"/>
      <protection hidden="1"/>
    </xf>
    <xf numFmtId="0" fontId="93" fillId="2" borderId="0" xfId="0" applyFont="1" applyFill="1" applyAlignment="1" applyProtection="1">
      <alignment horizontal="center" vertical="center"/>
      <protection hidden="1"/>
    </xf>
    <xf numFmtId="1" fontId="26" fillId="5" borderId="74" xfId="0" applyNumberFormat="1" applyFont="1" applyFill="1" applyBorder="1" applyAlignment="1" applyProtection="1">
      <alignment horizontal="center" vertical="center" wrapText="1"/>
      <protection hidden="1"/>
    </xf>
    <xf numFmtId="1" fontId="26" fillId="5" borderId="75" xfId="0" applyNumberFormat="1" applyFont="1" applyFill="1" applyBorder="1" applyAlignment="1" applyProtection="1">
      <alignment horizontal="center" vertical="center" wrapText="1"/>
      <protection hidden="1"/>
    </xf>
    <xf numFmtId="0" fontId="24" fillId="7" borderId="21" xfId="0" applyFont="1" applyFill="1" applyBorder="1" applyAlignment="1" applyProtection="1">
      <alignment horizontal="center" vertical="center" wrapText="1"/>
      <protection hidden="1"/>
    </xf>
    <xf numFmtId="0" fontId="24" fillId="7" borderId="2" xfId="0" applyFont="1" applyFill="1" applyBorder="1" applyAlignment="1" applyProtection="1">
      <alignment horizontal="center" vertical="center" wrapText="1"/>
      <protection hidden="1"/>
    </xf>
    <xf numFmtId="0" fontId="24" fillId="15" borderId="18" xfId="0" applyFont="1" applyFill="1" applyBorder="1" applyAlignment="1" applyProtection="1">
      <alignment horizontal="center" vertical="center" wrapText="1"/>
      <protection hidden="1"/>
    </xf>
    <xf numFmtId="0" fontId="24" fillId="15" borderId="4" xfId="0" applyFont="1" applyFill="1" applyBorder="1" applyAlignment="1" applyProtection="1">
      <alignment horizontal="center" vertical="center" wrapText="1"/>
      <protection hidden="1"/>
    </xf>
    <xf numFmtId="0" fontId="67" fillId="15" borderId="21" xfId="0" applyFont="1" applyFill="1" applyBorder="1" applyAlignment="1" applyProtection="1">
      <alignment horizontal="center" vertical="center" wrapText="1"/>
      <protection hidden="1"/>
    </xf>
    <xf numFmtId="0" fontId="68" fillId="15" borderId="21" xfId="0" applyFont="1" applyFill="1" applyBorder="1" applyAlignment="1" applyProtection="1">
      <alignment horizontal="center" vertical="center" wrapText="1"/>
      <protection hidden="1"/>
    </xf>
    <xf numFmtId="0" fontId="24" fillId="15" borderId="19" xfId="0" applyFont="1" applyFill="1" applyBorder="1" applyAlignment="1" applyProtection="1">
      <alignment horizontal="center" vertical="center" wrapText="1"/>
      <protection hidden="1"/>
    </xf>
    <xf numFmtId="0" fontId="24" fillId="15" borderId="17" xfId="0" applyFont="1" applyFill="1" applyBorder="1" applyAlignment="1" applyProtection="1">
      <alignment horizontal="center" vertical="center" wrapText="1"/>
      <protection hidden="1"/>
    </xf>
    <xf numFmtId="0" fontId="24" fillId="9" borderId="19" xfId="0" applyFont="1" applyFill="1" applyBorder="1" applyAlignment="1" applyProtection="1">
      <alignment horizontal="center" vertical="center" wrapText="1"/>
      <protection hidden="1"/>
    </xf>
    <xf numFmtId="0" fontId="24" fillId="9" borderId="17" xfId="0" applyFont="1" applyFill="1" applyBorder="1" applyAlignment="1" applyProtection="1">
      <alignment horizontal="center" vertical="center" wrapText="1"/>
      <protection hidden="1"/>
    </xf>
    <xf numFmtId="0" fontId="24" fillId="9" borderId="18" xfId="0" applyFont="1" applyFill="1" applyBorder="1" applyAlignment="1" applyProtection="1">
      <alignment horizontal="center" vertical="center" wrapText="1"/>
      <protection hidden="1"/>
    </xf>
    <xf numFmtId="0" fontId="24" fillId="13" borderId="16" xfId="0" applyFont="1" applyFill="1" applyBorder="1" applyAlignment="1" applyProtection="1">
      <alignment horizontal="center" vertical="center"/>
      <protection hidden="1"/>
    </xf>
    <xf numFmtId="0" fontId="24" fillId="13" borderId="17" xfId="0" applyFont="1" applyFill="1" applyBorder="1" applyAlignment="1" applyProtection="1">
      <alignment horizontal="center" vertical="center"/>
      <protection hidden="1"/>
    </xf>
    <xf numFmtId="0" fontId="24" fillId="13" borderId="18" xfId="0" applyFont="1" applyFill="1" applyBorder="1" applyAlignment="1" applyProtection="1">
      <alignment horizontal="center" vertical="center"/>
      <protection hidden="1"/>
    </xf>
    <xf numFmtId="0" fontId="24" fillId="14" borderId="19" xfId="0" applyFont="1" applyFill="1" applyBorder="1" applyAlignment="1" applyProtection="1">
      <alignment horizontal="center" vertical="center" wrapText="1"/>
      <protection hidden="1"/>
    </xf>
    <xf numFmtId="0" fontId="24" fillId="14" borderId="17" xfId="0" applyFont="1" applyFill="1" applyBorder="1" applyAlignment="1" applyProtection="1">
      <alignment horizontal="center" vertical="center" wrapText="1"/>
      <protection hidden="1"/>
    </xf>
    <xf numFmtId="0" fontId="24" fillId="14" borderId="18" xfId="0" applyFont="1" applyFill="1" applyBorder="1" applyAlignment="1" applyProtection="1">
      <alignment horizontal="center" vertical="center" wrapText="1"/>
      <protection hidden="1"/>
    </xf>
    <xf numFmtId="0" fontId="52" fillId="24" borderId="147" xfId="0" applyFont="1" applyFill="1" applyBorder="1" applyAlignment="1" applyProtection="1">
      <alignment horizontal="center" vertical="center" wrapText="1"/>
      <protection hidden="1"/>
    </xf>
    <xf numFmtId="0" fontId="52" fillId="24" borderId="70" xfId="0" applyFont="1" applyFill="1" applyBorder="1" applyAlignment="1" applyProtection="1">
      <alignment horizontal="center" vertical="center" wrapText="1"/>
      <protection hidden="1"/>
    </xf>
    <xf numFmtId="0" fontId="52" fillId="24" borderId="71" xfId="0" applyFont="1" applyFill="1" applyBorder="1" applyAlignment="1" applyProtection="1">
      <alignment horizontal="center" vertical="center" wrapText="1"/>
      <protection hidden="1"/>
    </xf>
    <xf numFmtId="9" fontId="35" fillId="5" borderId="58" xfId="0" applyNumberFormat="1" applyFont="1" applyFill="1" applyBorder="1" applyAlignment="1" applyProtection="1">
      <alignment horizontal="center" vertical="center" readingOrder="2"/>
      <protection hidden="1"/>
    </xf>
    <xf numFmtId="0" fontId="36" fillId="5" borderId="0" xfId="0" applyFont="1" applyFill="1" applyAlignment="1" applyProtection="1">
      <alignment horizontal="center" vertical="center"/>
      <protection hidden="1"/>
    </xf>
    <xf numFmtId="3" fontId="35" fillId="5" borderId="58" xfId="1" applyNumberFormat="1" applyFont="1" applyFill="1" applyBorder="1" applyAlignment="1" applyProtection="1">
      <alignment horizontal="center" vertical="center"/>
      <protection hidden="1"/>
    </xf>
    <xf numFmtId="0" fontId="22" fillId="3" borderId="133" xfId="0" applyFont="1" applyFill="1" applyBorder="1" applyAlignment="1" applyProtection="1">
      <alignment horizontal="center"/>
      <protection hidden="1"/>
    </xf>
    <xf numFmtId="0" fontId="22" fillId="3" borderId="138" xfId="0" applyFont="1" applyFill="1" applyBorder="1" applyAlignment="1" applyProtection="1">
      <alignment horizontal="center"/>
      <protection hidden="1"/>
    </xf>
    <xf numFmtId="0" fontId="68" fillId="3" borderId="0" xfId="0" applyFont="1" applyFill="1" applyAlignment="1" applyProtection="1">
      <alignment horizontal="center" vertical="center" textRotation="90"/>
      <protection hidden="1"/>
    </xf>
    <xf numFmtId="0" fontId="68" fillId="3" borderId="199" xfId="0" applyFont="1" applyFill="1" applyBorder="1" applyAlignment="1" applyProtection="1">
      <alignment horizontal="center" vertical="center" textRotation="90"/>
      <protection hidden="1"/>
    </xf>
    <xf numFmtId="0" fontId="91" fillId="3" borderId="199" xfId="0" applyFont="1" applyFill="1" applyBorder="1" applyAlignment="1" applyProtection="1">
      <alignment horizontal="center" vertical="center"/>
      <protection hidden="1"/>
    </xf>
    <xf numFmtId="0" fontId="91" fillId="3" borderId="200" xfId="0" applyFont="1" applyFill="1" applyBorder="1" applyAlignment="1" applyProtection="1">
      <alignment horizontal="center" vertical="center"/>
      <protection hidden="1"/>
    </xf>
    <xf numFmtId="0" fontId="91" fillId="3" borderId="201" xfId="0" applyFont="1" applyFill="1" applyBorder="1" applyAlignment="1" applyProtection="1">
      <alignment horizontal="center" vertical="center"/>
      <protection hidden="1"/>
    </xf>
    <xf numFmtId="0" fontId="91" fillId="3" borderId="202" xfId="0" applyFont="1" applyFill="1" applyBorder="1" applyAlignment="1" applyProtection="1">
      <alignment horizontal="center" vertical="center"/>
      <protection hidden="1"/>
    </xf>
    <xf numFmtId="3" fontId="59" fillId="5" borderId="100" xfId="0" applyNumberFormat="1" applyFont="1" applyFill="1" applyBorder="1" applyAlignment="1" applyProtection="1">
      <alignment horizontal="center" vertical="center" wrapText="1"/>
      <protection hidden="1"/>
    </xf>
    <xf numFmtId="3" fontId="59" fillId="5" borderId="141" xfId="0" applyNumberFormat="1" applyFont="1" applyFill="1" applyBorder="1" applyAlignment="1" applyProtection="1">
      <alignment horizontal="center" vertical="center" wrapText="1"/>
      <protection hidden="1"/>
    </xf>
    <xf numFmtId="3" fontId="59" fillId="5" borderId="101" xfId="0" applyNumberFormat="1" applyFont="1" applyFill="1" applyBorder="1" applyAlignment="1" applyProtection="1">
      <alignment horizontal="center" vertical="center" wrapText="1"/>
      <protection hidden="1"/>
    </xf>
    <xf numFmtId="0" fontId="59" fillId="5" borderId="99" xfId="0" applyFont="1" applyFill="1" applyBorder="1" applyAlignment="1" applyProtection="1">
      <alignment horizontal="center" vertical="center" wrapText="1" readingOrder="2"/>
      <protection hidden="1"/>
    </xf>
    <xf numFmtId="0" fontId="59" fillId="5" borderId="100" xfId="0" applyFont="1" applyFill="1" applyBorder="1" applyAlignment="1" applyProtection="1">
      <alignment horizontal="center" vertical="center" wrapText="1" readingOrder="2"/>
      <protection hidden="1"/>
    </xf>
    <xf numFmtId="3" fontId="52" fillId="5" borderId="105" xfId="0" applyNumberFormat="1" applyFont="1" applyFill="1" applyBorder="1" applyAlignment="1" applyProtection="1">
      <alignment horizontal="center" vertical="center" wrapText="1"/>
      <protection hidden="1"/>
    </xf>
    <xf numFmtId="3" fontId="52" fillId="5" borderId="106" xfId="0" applyNumberFormat="1" applyFont="1" applyFill="1" applyBorder="1" applyAlignment="1" applyProtection="1">
      <alignment horizontal="center" vertical="center" wrapText="1"/>
      <protection hidden="1"/>
    </xf>
    <xf numFmtId="3" fontId="52" fillId="5" borderId="109" xfId="0" applyNumberFormat="1" applyFont="1" applyFill="1" applyBorder="1" applyAlignment="1" applyProtection="1">
      <alignment horizontal="center" vertical="center" wrapText="1"/>
      <protection hidden="1"/>
    </xf>
    <xf numFmtId="1" fontId="35" fillId="5" borderId="54" xfId="1" applyNumberFormat="1" applyFont="1" applyFill="1" applyBorder="1" applyAlignment="1" applyProtection="1">
      <alignment horizontal="center" vertical="center"/>
      <protection hidden="1"/>
    </xf>
    <xf numFmtId="1" fontId="35" fillId="5" borderId="78" xfId="1" applyNumberFormat="1" applyFont="1" applyFill="1" applyBorder="1" applyAlignment="1" applyProtection="1">
      <alignment horizontal="center" vertical="center"/>
      <protection hidden="1"/>
    </xf>
    <xf numFmtId="1" fontId="35" fillId="5" borderId="103" xfId="1" applyNumberFormat="1" applyFont="1" applyFill="1" applyBorder="1" applyAlignment="1" applyProtection="1">
      <alignment horizontal="center" vertical="center"/>
      <protection hidden="1"/>
    </xf>
    <xf numFmtId="0" fontId="24" fillId="18" borderId="19" xfId="0" applyFont="1" applyFill="1" applyBorder="1" applyAlignment="1" applyProtection="1">
      <alignment horizontal="center" vertical="center" wrapText="1"/>
      <protection hidden="1"/>
    </xf>
    <xf numFmtId="0" fontId="24" fillId="18" borderId="17" xfId="0" applyFont="1" applyFill="1" applyBorder="1" applyAlignment="1" applyProtection="1">
      <alignment horizontal="center" vertical="center" wrapText="1"/>
      <protection hidden="1"/>
    </xf>
    <xf numFmtId="0" fontId="24" fillId="7" borderId="19" xfId="0" applyFont="1" applyFill="1" applyBorder="1" applyAlignment="1" applyProtection="1">
      <alignment horizontal="center" vertical="center" wrapText="1"/>
      <protection hidden="1"/>
    </xf>
    <xf numFmtId="0" fontId="24" fillId="7" borderId="3" xfId="0" applyFont="1" applyFill="1" applyBorder="1" applyAlignment="1" applyProtection="1">
      <alignment horizontal="center" vertical="center" wrapText="1"/>
      <protection hidden="1"/>
    </xf>
    <xf numFmtId="0" fontId="52" fillId="21" borderId="19" xfId="0" applyFont="1" applyFill="1" applyBorder="1" applyAlignment="1" applyProtection="1">
      <alignment horizontal="center" vertical="center" wrapText="1"/>
      <protection hidden="1"/>
    </xf>
    <xf numFmtId="0" fontId="52" fillId="21" borderId="18" xfId="0" applyFont="1" applyFill="1" applyBorder="1" applyAlignment="1" applyProtection="1">
      <alignment horizontal="center" vertical="center" wrapText="1"/>
      <protection hidden="1"/>
    </xf>
    <xf numFmtId="0" fontId="91" fillId="3" borderId="139" xfId="0" applyFont="1" applyFill="1" applyBorder="1" applyAlignment="1" applyProtection="1">
      <alignment horizontal="center" vertical="center"/>
      <protection hidden="1"/>
    </xf>
    <xf numFmtId="0" fontId="91" fillId="3" borderId="0" xfId="0" applyFont="1" applyFill="1" applyAlignment="1" applyProtection="1">
      <alignment horizontal="center" vertical="center"/>
      <protection hidden="1"/>
    </xf>
    <xf numFmtId="0" fontId="91" fillId="3" borderId="142" xfId="0" applyFont="1" applyFill="1" applyBorder="1" applyAlignment="1" applyProtection="1">
      <alignment horizontal="center" vertical="center"/>
      <protection hidden="1"/>
    </xf>
    <xf numFmtId="0" fontId="91" fillId="3" borderId="129" xfId="0" applyFont="1" applyFill="1" applyBorder="1" applyAlignment="1" applyProtection="1">
      <alignment horizontal="center" vertical="center"/>
      <protection hidden="1"/>
    </xf>
    <xf numFmtId="0" fontId="96" fillId="5" borderId="1" xfId="0" applyFont="1" applyFill="1" applyBorder="1" applyAlignment="1" applyProtection="1">
      <alignment horizontal="center" vertical="center" wrapText="1" readingOrder="2"/>
      <protection hidden="1"/>
    </xf>
    <xf numFmtId="4" fontId="96" fillId="5" borderId="1" xfId="0" applyNumberFormat="1" applyFont="1" applyFill="1" applyBorder="1" applyAlignment="1" applyProtection="1">
      <alignment horizontal="center" vertical="center" wrapText="1" readingOrder="2"/>
      <protection hidden="1"/>
    </xf>
    <xf numFmtId="0" fontId="8" fillId="3" borderId="1" xfId="0" applyFont="1" applyFill="1" applyBorder="1" applyAlignment="1" applyProtection="1">
      <alignment horizontal="center" vertical="center" wrapText="1" readingOrder="2"/>
      <protection hidden="1"/>
    </xf>
    <xf numFmtId="0" fontId="3" fillId="4" borderId="1" xfId="0" applyFont="1" applyFill="1" applyBorder="1" applyAlignment="1" applyProtection="1">
      <alignment horizontal="center" vertical="center" wrapText="1" readingOrder="2"/>
      <protection hidden="1"/>
    </xf>
    <xf numFmtId="0" fontId="4" fillId="4" borderId="1" xfId="0" applyFont="1" applyFill="1" applyBorder="1" applyAlignment="1" applyProtection="1">
      <alignment horizontal="center" vertical="center" wrapText="1" readingOrder="2"/>
      <protection hidden="1"/>
    </xf>
    <xf numFmtId="0" fontId="4" fillId="4" borderId="5" xfId="0" applyFont="1" applyFill="1" applyBorder="1" applyAlignment="1" applyProtection="1">
      <alignment horizontal="center" vertical="center" wrapText="1" readingOrder="2"/>
      <protection hidden="1"/>
    </xf>
    <xf numFmtId="0" fontId="96" fillId="5" borderId="8" xfId="0" applyFont="1" applyFill="1" applyBorder="1" applyAlignment="1" applyProtection="1">
      <alignment horizontal="center" vertical="center" wrapText="1" readingOrder="2"/>
      <protection hidden="1"/>
    </xf>
    <xf numFmtId="0" fontId="96" fillId="5" borderId="10" xfId="0" applyFont="1" applyFill="1" applyBorder="1" applyAlignment="1" applyProtection="1">
      <alignment horizontal="center" vertical="center" wrapText="1" readingOrder="2"/>
      <protection hidden="1"/>
    </xf>
    <xf numFmtId="0" fontId="3" fillId="3" borderId="1" xfId="0" applyFont="1" applyFill="1" applyBorder="1" applyAlignment="1" applyProtection="1">
      <alignment horizontal="center" vertical="center" wrapText="1" readingOrder="2"/>
      <protection hidden="1"/>
    </xf>
    <xf numFmtId="0" fontId="79" fillId="3" borderId="1" xfId="0" applyFont="1" applyFill="1" applyBorder="1" applyAlignment="1" applyProtection="1">
      <alignment horizontal="center" vertical="center" wrapText="1" readingOrder="2"/>
      <protection hidden="1"/>
    </xf>
    <xf numFmtId="0" fontId="8" fillId="24" borderId="44" xfId="0" applyFont="1" applyFill="1" applyBorder="1" applyAlignment="1" applyProtection="1">
      <alignment horizontal="center" vertical="center" wrapText="1" readingOrder="2"/>
      <protection hidden="1"/>
    </xf>
    <xf numFmtId="0" fontId="36" fillId="0" borderId="0" xfId="0" applyFont="1" applyAlignment="1" applyProtection="1">
      <alignment horizontal="center" vertical="center"/>
      <protection hidden="1"/>
    </xf>
    <xf numFmtId="0" fontId="35" fillId="2" borderId="12" xfId="0" applyFont="1" applyFill="1" applyBorder="1" applyAlignment="1" applyProtection="1">
      <alignment horizontal="right" vertical="center"/>
      <protection hidden="1"/>
    </xf>
    <xf numFmtId="0" fontId="35" fillId="2" borderId="85" xfId="0" applyFont="1" applyFill="1" applyBorder="1" applyAlignment="1" applyProtection="1">
      <alignment horizontal="right" vertical="center"/>
      <protection hidden="1"/>
    </xf>
    <xf numFmtId="0" fontId="52" fillId="21" borderId="35" xfId="0" applyFont="1" applyFill="1" applyBorder="1" applyAlignment="1" applyProtection="1">
      <alignment horizontal="center" vertical="center" textRotation="90" wrapText="1"/>
      <protection hidden="1"/>
    </xf>
    <xf numFmtId="0" fontId="52" fillId="21" borderId="34" xfId="0" applyFont="1" applyFill="1" applyBorder="1" applyAlignment="1" applyProtection="1">
      <alignment horizontal="center" vertical="center" textRotation="90" wrapText="1"/>
      <protection hidden="1"/>
    </xf>
    <xf numFmtId="0" fontId="52" fillId="5" borderId="104" xfId="0" applyFont="1" applyFill="1" applyBorder="1" applyAlignment="1" applyProtection="1">
      <alignment horizontal="center" vertical="center" wrapText="1" readingOrder="2"/>
      <protection hidden="1"/>
    </xf>
    <xf numFmtId="0" fontId="52" fillId="5" borderId="105" xfId="0" applyFont="1" applyFill="1" applyBorder="1" applyAlignment="1" applyProtection="1">
      <alignment horizontal="center" vertical="center" wrapText="1" readingOrder="2"/>
      <protection hidden="1"/>
    </xf>
    <xf numFmtId="0" fontId="35" fillId="5" borderId="102" xfId="0" applyFont="1" applyFill="1" applyBorder="1" applyAlignment="1" applyProtection="1">
      <alignment horizontal="left" vertical="center"/>
      <protection hidden="1"/>
    </xf>
    <xf numFmtId="0" fontId="35" fillId="5" borderId="54" xfId="0" applyFont="1" applyFill="1" applyBorder="1" applyAlignment="1" applyProtection="1">
      <alignment horizontal="left" vertical="center"/>
      <protection hidden="1"/>
    </xf>
    <xf numFmtId="9" fontId="36" fillId="5" borderId="54" xfId="1" applyFont="1" applyFill="1" applyBorder="1" applyAlignment="1" applyProtection="1">
      <alignment horizontal="right" vertical="center"/>
      <protection hidden="1"/>
    </xf>
    <xf numFmtId="0" fontId="71" fillId="3" borderId="1" xfId="0" applyFont="1" applyFill="1" applyBorder="1" applyAlignment="1" applyProtection="1">
      <alignment horizontal="center" vertical="center" wrapText="1" readingOrder="2"/>
      <protection hidden="1"/>
    </xf>
    <xf numFmtId="0" fontId="8" fillId="3" borderId="49" xfId="0" applyFont="1" applyFill="1" applyBorder="1" applyAlignment="1" applyProtection="1">
      <alignment horizontal="center" vertical="center" wrapText="1" readingOrder="2"/>
      <protection hidden="1"/>
    </xf>
    <xf numFmtId="0" fontId="8" fillId="3" borderId="10" xfId="0" applyFont="1" applyFill="1" applyBorder="1" applyAlignment="1" applyProtection="1">
      <alignment horizontal="center" vertical="center" wrapText="1" readingOrder="2"/>
      <protection hidden="1"/>
    </xf>
    <xf numFmtId="0" fontId="2" fillId="3" borderId="1" xfId="0" applyFont="1" applyFill="1" applyBorder="1" applyAlignment="1" applyProtection="1">
      <alignment horizontal="right" wrapText="1"/>
      <protection hidden="1"/>
    </xf>
    <xf numFmtId="0" fontId="8" fillId="3" borderId="161" xfId="0" applyFont="1" applyFill="1" applyBorder="1" applyAlignment="1" applyProtection="1">
      <alignment horizontal="center" vertical="center" wrapText="1" readingOrder="2"/>
      <protection hidden="1"/>
    </xf>
    <xf numFmtId="0" fontId="8" fillId="3" borderId="29" xfId="0" applyFont="1" applyFill="1" applyBorder="1" applyAlignment="1" applyProtection="1">
      <alignment horizontal="center" vertical="center" wrapText="1" readingOrder="2"/>
      <protection hidden="1"/>
    </xf>
    <xf numFmtId="0" fontId="8" fillId="3" borderId="160" xfId="0" applyFont="1" applyFill="1" applyBorder="1" applyAlignment="1" applyProtection="1">
      <alignment horizontal="center" vertical="center" wrapText="1" readingOrder="2"/>
      <protection hidden="1"/>
    </xf>
    <xf numFmtId="0" fontId="8" fillId="3" borderId="44" xfId="0" applyFont="1" applyFill="1" applyBorder="1" applyAlignment="1" applyProtection="1">
      <alignment horizontal="center" vertical="center" wrapText="1" readingOrder="2"/>
      <protection hidden="1"/>
    </xf>
    <xf numFmtId="0" fontId="8" fillId="3" borderId="51" xfId="0" applyFont="1" applyFill="1" applyBorder="1" applyAlignment="1" applyProtection="1">
      <alignment horizontal="center" vertical="center" wrapText="1" readingOrder="2"/>
      <protection hidden="1"/>
    </xf>
    <xf numFmtId="0" fontId="8" fillId="3" borderId="70" xfId="0" applyFont="1" applyFill="1" applyBorder="1" applyAlignment="1" applyProtection="1">
      <alignment horizontal="center" vertical="center" wrapText="1" readingOrder="2"/>
      <protection hidden="1"/>
    </xf>
    <xf numFmtId="0" fontId="8" fillId="3" borderId="68" xfId="0" applyFont="1" applyFill="1" applyBorder="1" applyAlignment="1" applyProtection="1">
      <alignment horizontal="center" vertical="center" wrapText="1" readingOrder="2"/>
      <protection hidden="1"/>
    </xf>
    <xf numFmtId="0" fontId="8" fillId="3" borderId="5" xfId="0" applyFont="1" applyFill="1" applyBorder="1" applyAlignment="1" applyProtection="1">
      <alignment horizontal="center" vertical="center" wrapText="1" readingOrder="2"/>
      <protection hidden="1"/>
    </xf>
    <xf numFmtId="0" fontId="8" fillId="3" borderId="7" xfId="0" applyFont="1" applyFill="1" applyBorder="1" applyAlignment="1" applyProtection="1">
      <alignment horizontal="center" vertical="center" wrapText="1" readingOrder="2"/>
      <protection hidden="1"/>
    </xf>
    <xf numFmtId="0" fontId="8" fillId="3" borderId="6" xfId="0" applyFont="1" applyFill="1" applyBorder="1" applyAlignment="1" applyProtection="1">
      <alignment horizontal="center" vertical="center" wrapText="1" readingOrder="2"/>
      <protection hidden="1"/>
    </xf>
    <xf numFmtId="0" fontId="8" fillId="3" borderId="57" xfId="0" applyFont="1" applyFill="1" applyBorder="1" applyAlignment="1" applyProtection="1">
      <alignment horizontal="center" vertical="center" wrapText="1" readingOrder="2"/>
      <protection hidden="1"/>
    </xf>
    <xf numFmtId="0" fontId="8" fillId="3" borderId="53" xfId="0" applyFont="1" applyFill="1" applyBorder="1" applyAlignment="1" applyProtection="1">
      <alignment horizontal="center" vertical="center" wrapText="1" readingOrder="2"/>
      <protection hidden="1"/>
    </xf>
    <xf numFmtId="0" fontId="8" fillId="3" borderId="64" xfId="0" applyFont="1" applyFill="1" applyBorder="1" applyAlignment="1" applyProtection="1">
      <alignment horizontal="center" vertical="center" wrapText="1" readingOrder="2"/>
      <protection hidden="1"/>
    </xf>
    <xf numFmtId="0" fontId="8" fillId="3" borderId="157" xfId="0" applyFont="1" applyFill="1" applyBorder="1" applyAlignment="1" applyProtection="1">
      <alignment horizontal="center" vertical="center" wrapText="1" readingOrder="2"/>
      <protection hidden="1"/>
    </xf>
    <xf numFmtId="0" fontId="8" fillId="3" borderId="158" xfId="0" applyFont="1" applyFill="1" applyBorder="1" applyAlignment="1" applyProtection="1">
      <alignment horizontal="center" vertical="center" wrapText="1" readingOrder="2"/>
      <protection hidden="1"/>
    </xf>
    <xf numFmtId="0" fontId="8" fillId="3" borderId="52" xfId="0" applyFont="1" applyFill="1" applyBorder="1" applyAlignment="1" applyProtection="1">
      <alignment horizontal="center" vertical="center" wrapText="1" readingOrder="2"/>
      <protection hidden="1"/>
    </xf>
    <xf numFmtId="0" fontId="8" fillId="3" borderId="87" xfId="0" applyFont="1" applyFill="1" applyBorder="1" applyAlignment="1" applyProtection="1">
      <alignment horizontal="center" vertical="center" wrapText="1" readingOrder="2"/>
      <protection hidden="1"/>
    </xf>
    <xf numFmtId="0" fontId="8" fillId="3" borderId="39" xfId="0" applyFont="1" applyFill="1" applyBorder="1" applyAlignment="1" applyProtection="1">
      <alignment horizontal="center" vertical="center" wrapText="1" readingOrder="2"/>
      <protection hidden="1"/>
    </xf>
    <xf numFmtId="0" fontId="52" fillId="0" borderId="0" xfId="0" applyFont="1" applyAlignment="1" applyProtection="1">
      <alignment horizontal="center" vertical="center"/>
      <protection hidden="1"/>
    </xf>
    <xf numFmtId="0" fontId="22" fillId="3" borderId="132" xfId="0" applyFont="1" applyFill="1" applyBorder="1" applyAlignment="1" applyProtection="1">
      <alignment horizontal="center"/>
      <protection hidden="1"/>
    </xf>
    <xf numFmtId="0" fontId="22" fillId="3" borderId="134" xfId="0" applyFont="1" applyFill="1" applyBorder="1" applyAlignment="1" applyProtection="1">
      <alignment horizontal="center"/>
      <protection hidden="1"/>
    </xf>
    <xf numFmtId="0" fontId="22" fillId="3" borderId="0" xfId="0" applyFont="1" applyFill="1" applyAlignment="1" applyProtection="1">
      <alignment horizontal="center" vertical="center"/>
      <protection hidden="1"/>
    </xf>
    <xf numFmtId="0" fontId="36" fillId="0" borderId="12" xfId="0" applyFont="1" applyBorder="1" applyAlignment="1" applyProtection="1">
      <alignment horizontal="center" vertical="center"/>
      <protection hidden="1"/>
    </xf>
    <xf numFmtId="0" fontId="35" fillId="3" borderId="119" xfId="0" applyFont="1" applyFill="1" applyBorder="1" applyAlignment="1" applyProtection="1">
      <alignment horizontal="center"/>
      <protection hidden="1"/>
    </xf>
    <xf numFmtId="0" fontId="60" fillId="5" borderId="0" xfId="0" applyFont="1" applyFill="1" applyAlignment="1" applyProtection="1">
      <alignment horizontal="center" vertical="center"/>
      <protection hidden="1"/>
    </xf>
    <xf numFmtId="0" fontId="60" fillId="5" borderId="42" xfId="0" applyFont="1" applyFill="1" applyBorder="1" applyAlignment="1" applyProtection="1">
      <alignment horizontal="center" vertical="center"/>
      <protection hidden="1"/>
    </xf>
    <xf numFmtId="0" fontId="57" fillId="0" borderId="51" xfId="0" applyFont="1" applyBorder="1" applyAlignment="1" applyProtection="1">
      <alignment horizontal="center" vertical="center" wrapText="1"/>
      <protection hidden="1"/>
    </xf>
    <xf numFmtId="14" fontId="53" fillId="22" borderId="121" xfId="0" applyNumberFormat="1" applyFont="1" applyFill="1" applyBorder="1" applyAlignment="1" applyProtection="1">
      <alignment horizontal="center" vertical="center"/>
      <protection hidden="1"/>
    </xf>
    <xf numFmtId="0" fontId="53" fillId="22" borderId="0" xfId="0" applyFont="1" applyFill="1" applyAlignment="1" applyProtection="1">
      <alignment horizontal="center" vertical="center"/>
      <protection hidden="1"/>
    </xf>
    <xf numFmtId="1" fontId="36" fillId="0" borderId="12" xfId="0" applyNumberFormat="1" applyFont="1" applyBorder="1" applyAlignment="1" applyProtection="1">
      <alignment horizontal="center" vertical="center"/>
      <protection hidden="1"/>
    </xf>
    <xf numFmtId="0" fontId="54" fillId="0" borderId="0" xfId="0" applyFont="1" applyAlignment="1" applyProtection="1">
      <alignment horizontal="center" vertical="center" wrapText="1"/>
      <protection hidden="1"/>
    </xf>
    <xf numFmtId="0" fontId="52" fillId="21" borderId="61" xfId="0" applyFont="1" applyFill="1" applyBorder="1" applyAlignment="1" applyProtection="1">
      <alignment horizontal="center" vertical="center" textRotation="90" wrapText="1"/>
      <protection hidden="1"/>
    </xf>
    <xf numFmtId="0" fontId="52" fillId="21" borderId="62" xfId="0" applyFont="1" applyFill="1" applyBorder="1" applyAlignment="1" applyProtection="1">
      <alignment horizontal="center" vertical="center" textRotation="90" wrapText="1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horizontal="center"/>
      <protection hidden="1"/>
    </xf>
    <xf numFmtId="3" fontId="11" fillId="3" borderId="1" xfId="0" applyNumberFormat="1" applyFont="1" applyFill="1" applyBorder="1" applyAlignment="1" applyProtection="1">
      <alignment horizontal="center"/>
      <protection hidden="1"/>
    </xf>
    <xf numFmtId="0" fontId="8" fillId="3" borderId="72" xfId="0" applyFont="1" applyFill="1" applyBorder="1" applyAlignment="1" applyProtection="1">
      <alignment horizontal="center" vertical="center" wrapText="1" readingOrder="2"/>
      <protection hidden="1"/>
    </xf>
    <xf numFmtId="0" fontId="8" fillId="3" borderId="69" xfId="0" applyFont="1" applyFill="1" applyBorder="1" applyAlignment="1" applyProtection="1">
      <alignment horizontal="center" vertical="center" wrapText="1" readingOrder="2"/>
      <protection hidden="1"/>
    </xf>
    <xf numFmtId="0" fontId="0" fillId="3" borderId="0" xfId="0" applyFill="1" applyAlignment="1" applyProtection="1">
      <alignment horizontal="center"/>
      <protection hidden="1"/>
    </xf>
    <xf numFmtId="0" fontId="2" fillId="3" borderId="1" xfId="0" applyFont="1" applyFill="1" applyBorder="1" applyAlignment="1" applyProtection="1">
      <alignment horizontal="right"/>
      <protection hidden="1"/>
    </xf>
    <xf numFmtId="0" fontId="2" fillId="3" borderId="1" xfId="0" applyFont="1" applyFill="1" applyBorder="1" applyAlignment="1" applyProtection="1">
      <alignment horizontal="center"/>
      <protection hidden="1"/>
    </xf>
    <xf numFmtId="3" fontId="2" fillId="3" borderId="1" xfId="0" applyNumberFormat="1" applyFont="1" applyFill="1" applyBorder="1" applyAlignment="1" applyProtection="1">
      <alignment horizontal="center"/>
      <protection hidden="1"/>
    </xf>
    <xf numFmtId="0" fontId="2" fillId="3" borderId="1" xfId="0" applyFont="1" applyFill="1" applyBorder="1" applyAlignment="1" applyProtection="1">
      <alignment horizontal="center" readingOrder="2"/>
      <protection hidden="1"/>
    </xf>
    <xf numFmtId="0" fontId="2" fillId="3" borderId="5" xfId="0" applyFont="1" applyFill="1" applyBorder="1" applyAlignment="1" applyProtection="1">
      <alignment horizontal="left"/>
      <protection hidden="1"/>
    </xf>
    <xf numFmtId="0" fontId="2" fillId="3" borderId="7" xfId="0" applyFont="1" applyFill="1" applyBorder="1" applyAlignment="1" applyProtection="1">
      <alignment horizontal="left"/>
      <protection hidden="1"/>
    </xf>
    <xf numFmtId="9" fontId="2" fillId="3" borderId="7" xfId="1" applyFont="1" applyFill="1" applyBorder="1" applyAlignment="1" applyProtection="1">
      <alignment horizontal="right"/>
      <protection hidden="1"/>
    </xf>
    <xf numFmtId="9" fontId="2" fillId="3" borderId="6" xfId="1" applyFont="1" applyFill="1" applyBorder="1" applyAlignment="1" applyProtection="1">
      <alignment horizontal="right"/>
      <protection hidden="1"/>
    </xf>
    <xf numFmtId="0" fontId="2" fillId="3" borderId="1" xfId="0" applyFont="1" applyFill="1" applyBorder="1" applyAlignment="1" applyProtection="1">
      <alignment horizontal="right" wrapText="1" readingOrder="2"/>
      <protection hidden="1"/>
    </xf>
    <xf numFmtId="0" fontId="2" fillId="3" borderId="1" xfId="0" applyFont="1" applyFill="1" applyBorder="1" applyAlignment="1" applyProtection="1">
      <alignment horizontal="right" readingOrder="2"/>
      <protection hidden="1"/>
    </xf>
    <xf numFmtId="164" fontId="106" fillId="0" borderId="57" xfId="0" applyNumberFormat="1" applyFont="1" applyBorder="1" applyAlignment="1">
      <alignment horizontal="center" vertical="center"/>
    </xf>
    <xf numFmtId="164" fontId="106" fillId="0" borderId="6" xfId="0" applyNumberFormat="1" applyFont="1" applyBorder="1" applyAlignment="1">
      <alignment horizontal="center" vertical="center"/>
    </xf>
    <xf numFmtId="164" fontId="106" fillId="0" borderId="53" xfId="0" applyNumberFormat="1" applyFont="1" applyBorder="1" applyAlignment="1">
      <alignment horizontal="center" vertical="center"/>
    </xf>
    <xf numFmtId="164" fontId="106" fillId="0" borderId="64" xfId="0" applyNumberFormat="1" applyFont="1" applyBorder="1" applyAlignment="1">
      <alignment horizontal="center" vertical="center"/>
    </xf>
    <xf numFmtId="1" fontId="23" fillId="2" borderId="0" xfId="0" applyNumberFormat="1" applyFont="1" applyFill="1" applyAlignment="1">
      <alignment horizontal="center" vertical="center" wrapText="1"/>
    </xf>
    <xf numFmtId="1" fontId="28" fillId="2" borderId="0" xfId="0" applyNumberFormat="1" applyFont="1" applyFill="1" applyAlignment="1">
      <alignment horizontal="center" vertical="center" wrapText="1"/>
    </xf>
    <xf numFmtId="14" fontId="98" fillId="0" borderId="100" xfId="0" applyNumberFormat="1" applyFont="1" applyBorder="1" applyAlignment="1" applyProtection="1">
      <alignment horizontal="center" vertical="center" wrapText="1"/>
      <protection locked="0"/>
    </xf>
    <xf numFmtId="14" fontId="98" fillId="0" borderId="101" xfId="0" applyNumberFormat="1" applyFont="1" applyBorder="1" applyAlignment="1" applyProtection="1">
      <alignment horizontal="center" vertical="center" wrapText="1"/>
      <protection locked="0"/>
    </xf>
    <xf numFmtId="1" fontId="103" fillId="0" borderId="99" xfId="0" applyNumberFormat="1" applyFont="1" applyBorder="1" applyAlignment="1">
      <alignment horizontal="center" vertical="center"/>
    </xf>
    <xf numFmtId="1" fontId="103" fillId="0" borderId="100" xfId="0" applyNumberFormat="1" applyFont="1" applyBorder="1" applyAlignment="1">
      <alignment horizontal="center" vertical="center"/>
    </xf>
    <xf numFmtId="1" fontId="103" fillId="0" borderId="102" xfId="0" applyNumberFormat="1" applyFont="1" applyBorder="1" applyAlignment="1">
      <alignment horizontal="center" vertical="center"/>
    </xf>
    <xf numFmtId="1" fontId="103" fillId="0" borderId="54" xfId="0" applyNumberFormat="1" applyFont="1" applyBorder="1" applyAlignment="1">
      <alignment horizontal="center" vertical="center"/>
    </xf>
    <xf numFmtId="14" fontId="98" fillId="0" borderId="54" xfId="0" applyNumberFormat="1" applyFont="1" applyBorder="1" applyAlignment="1" applyProtection="1">
      <alignment horizontal="center" vertical="center" wrapText="1"/>
      <protection locked="0"/>
    </xf>
    <xf numFmtId="14" fontId="98" fillId="0" borderId="103" xfId="0" applyNumberFormat="1" applyFont="1" applyBorder="1" applyAlignment="1" applyProtection="1">
      <alignment horizontal="center" vertical="center" wrapText="1"/>
      <protection locked="0"/>
    </xf>
    <xf numFmtId="1" fontId="103" fillId="0" borderId="211" xfId="0" applyNumberFormat="1" applyFont="1" applyBorder="1" applyAlignment="1">
      <alignment horizontal="center" vertical="center"/>
    </xf>
    <xf numFmtId="1" fontId="103" fillId="0" borderId="212" xfId="0" applyNumberFormat="1" applyFont="1" applyBorder="1" applyAlignment="1">
      <alignment horizontal="center" vertical="center"/>
    </xf>
    <xf numFmtId="1" fontId="103" fillId="0" borderId="213" xfId="0" applyNumberFormat="1" applyFont="1" applyBorder="1" applyAlignment="1">
      <alignment horizontal="center" vertical="center"/>
    </xf>
    <xf numFmtId="1" fontId="103" fillId="0" borderId="13" xfId="0" applyNumberFormat="1" applyFont="1" applyBorder="1" applyAlignment="1">
      <alignment horizontal="center" vertical="center"/>
    </xf>
    <xf numFmtId="1" fontId="98" fillId="0" borderId="141" xfId="0" applyNumberFormat="1" applyFont="1" applyBorder="1" applyAlignment="1" applyProtection="1">
      <alignment horizontal="center" vertical="center"/>
      <protection locked="0"/>
    </xf>
    <xf numFmtId="1" fontId="98" fillId="0" borderId="212" xfId="0" applyNumberFormat="1" applyFont="1" applyBorder="1" applyAlignment="1" applyProtection="1">
      <alignment horizontal="center" vertical="center"/>
      <protection locked="0"/>
    </xf>
    <xf numFmtId="1" fontId="98" fillId="0" borderId="215" xfId="0" applyNumberFormat="1" applyFont="1" applyBorder="1" applyAlignment="1" applyProtection="1">
      <alignment horizontal="center" vertical="center"/>
      <protection locked="0"/>
    </xf>
    <xf numFmtId="1" fontId="98" fillId="0" borderId="78" xfId="0" applyNumberFormat="1" applyFont="1" applyBorder="1" applyAlignment="1" applyProtection="1">
      <alignment horizontal="center" vertical="center"/>
      <protection locked="0"/>
    </xf>
    <xf numFmtId="1" fontId="98" fillId="0" borderId="13" xfId="0" applyNumberFormat="1" applyFont="1" applyBorder="1" applyAlignment="1" applyProtection="1">
      <alignment horizontal="center" vertical="center"/>
      <protection locked="0"/>
    </xf>
    <xf numFmtId="1" fontId="98" fillId="0" borderId="216" xfId="0" applyNumberFormat="1" applyFont="1" applyBorder="1" applyAlignment="1" applyProtection="1">
      <alignment horizontal="center" vertical="center"/>
      <protection locked="0"/>
    </xf>
    <xf numFmtId="1" fontId="103" fillId="0" borderId="104" xfId="0" applyNumberFormat="1" applyFont="1" applyBorder="1" applyAlignment="1">
      <alignment horizontal="center" vertical="center"/>
    </xf>
    <xf numFmtId="1" fontId="103" fillId="0" borderId="105" xfId="0" applyNumberFormat="1" applyFont="1" applyBorder="1" applyAlignment="1">
      <alignment horizontal="center" vertical="center"/>
    </xf>
    <xf numFmtId="14" fontId="98" fillId="0" borderId="106" xfId="0" applyNumberFormat="1" applyFont="1" applyBorder="1" applyAlignment="1" applyProtection="1">
      <alignment horizontal="center" vertical="center" wrapText="1" readingOrder="2"/>
      <protection locked="0"/>
    </xf>
    <xf numFmtId="14" fontId="98" fillId="0" borderId="107" xfId="0" applyNumberFormat="1" applyFont="1" applyBorder="1" applyAlignment="1" applyProtection="1">
      <alignment horizontal="center" vertical="center" wrapText="1" readingOrder="2"/>
      <protection locked="0"/>
    </xf>
    <xf numFmtId="14" fontId="98" fillId="0" borderId="108" xfId="0" applyNumberFormat="1" applyFont="1" applyBorder="1" applyAlignment="1" applyProtection="1">
      <alignment horizontal="center" vertical="center" wrapText="1" readingOrder="2"/>
      <protection locked="0"/>
    </xf>
    <xf numFmtId="1" fontId="85" fillId="4" borderId="165" xfId="0" applyNumberFormat="1" applyFont="1" applyFill="1" applyBorder="1" applyAlignment="1">
      <alignment horizontal="center" vertical="center"/>
    </xf>
    <xf numFmtId="1" fontId="85" fillId="4" borderId="203" xfId="0" applyNumberFormat="1" applyFont="1" applyFill="1" applyBorder="1" applyAlignment="1">
      <alignment horizontal="center" vertical="center"/>
    </xf>
    <xf numFmtId="1" fontId="85" fillId="4" borderId="166" xfId="0" applyNumberFormat="1" applyFont="1" applyFill="1" applyBorder="1" applyAlignment="1">
      <alignment horizontal="center" vertical="center"/>
    </xf>
    <xf numFmtId="1" fontId="85" fillId="4" borderId="210" xfId="0" applyNumberFormat="1" applyFont="1" applyFill="1" applyBorder="1" applyAlignment="1">
      <alignment horizontal="center" vertical="center"/>
    </xf>
    <xf numFmtId="1" fontId="85" fillId="4" borderId="209" xfId="0" applyNumberFormat="1" applyFont="1" applyFill="1" applyBorder="1" applyAlignment="1">
      <alignment horizontal="center" vertical="center"/>
    </xf>
    <xf numFmtId="1" fontId="85" fillId="4" borderId="204" xfId="0" applyNumberFormat="1" applyFont="1" applyFill="1" applyBorder="1" applyAlignment="1">
      <alignment horizontal="center" vertical="center"/>
    </xf>
    <xf numFmtId="1" fontId="85" fillId="4" borderId="208" xfId="0" applyNumberFormat="1" applyFont="1" applyFill="1" applyBorder="1" applyAlignment="1">
      <alignment horizontal="center" vertical="center"/>
    </xf>
    <xf numFmtId="164" fontId="59" fillId="5" borderId="48" xfId="0" applyNumberFormat="1" applyFont="1" applyFill="1" applyBorder="1" applyAlignment="1">
      <alignment horizontal="center" vertical="center"/>
    </xf>
    <xf numFmtId="164" fontId="59" fillId="5" borderId="49" xfId="0" applyNumberFormat="1" applyFont="1" applyFill="1" applyBorder="1" applyAlignment="1">
      <alignment horizontal="center" vertical="center"/>
    </xf>
    <xf numFmtId="1" fontId="59" fillId="5" borderId="53" xfId="0" applyNumberFormat="1" applyFont="1" applyFill="1" applyBorder="1" applyAlignment="1">
      <alignment horizontal="center" vertical="center"/>
    </xf>
    <xf numFmtId="1" fontId="59" fillId="5" borderId="87" xfId="0" applyNumberFormat="1" applyFont="1" applyFill="1" applyBorder="1" applyAlignment="1">
      <alignment horizontal="center" vertical="center"/>
    </xf>
    <xf numFmtId="1" fontId="85" fillId="4" borderId="43" xfId="0" applyNumberFormat="1" applyFont="1" applyFill="1" applyBorder="1" applyAlignment="1">
      <alignment horizontal="center" vertical="center"/>
    </xf>
    <xf numFmtId="1" fontId="85" fillId="4" borderId="44" xfId="0" applyNumberFormat="1" applyFont="1" applyFill="1" applyBorder="1" applyAlignment="1">
      <alignment horizontal="center" vertical="center"/>
    </xf>
    <xf numFmtId="1" fontId="85" fillId="4" borderId="45" xfId="0" applyNumberFormat="1" applyFont="1" applyFill="1" applyBorder="1" applyAlignment="1">
      <alignment horizontal="center" vertical="center"/>
    </xf>
    <xf numFmtId="1" fontId="36" fillId="4" borderId="70" xfId="0" applyNumberFormat="1" applyFont="1" applyFill="1" applyBorder="1" applyAlignment="1">
      <alignment horizontal="center" vertical="center" wrapText="1"/>
    </xf>
    <xf numFmtId="0" fontId="36" fillId="4" borderId="7" xfId="0" applyFont="1" applyFill="1" applyBorder="1" applyAlignment="1">
      <alignment horizontal="center" vertical="center" wrapText="1"/>
    </xf>
    <xf numFmtId="1" fontId="85" fillId="4" borderId="69" xfId="0" applyNumberFormat="1" applyFont="1" applyFill="1" applyBorder="1" applyAlignment="1">
      <alignment horizontal="center" vertical="center"/>
    </xf>
    <xf numFmtId="1" fontId="85" fillId="4" borderId="70" xfId="0" applyNumberFormat="1" applyFont="1" applyFill="1" applyBorder="1" applyAlignment="1">
      <alignment horizontal="center" vertical="center"/>
    </xf>
    <xf numFmtId="1" fontId="85" fillId="4" borderId="71" xfId="0" applyNumberFormat="1" applyFont="1" applyFill="1" applyBorder="1" applyAlignment="1">
      <alignment horizontal="center" vertical="center"/>
    </xf>
    <xf numFmtId="170" fontId="98" fillId="0" borderId="106" xfId="0" applyNumberFormat="1" applyFont="1" applyBorder="1" applyAlignment="1" applyProtection="1">
      <alignment horizontal="center" vertical="center"/>
      <protection locked="0"/>
    </xf>
    <xf numFmtId="170" fontId="98" fillId="0" borderId="107" xfId="0" applyNumberFormat="1" applyFont="1" applyBorder="1" applyAlignment="1" applyProtection="1">
      <alignment horizontal="center" vertical="center"/>
      <protection locked="0"/>
    </xf>
    <xf numFmtId="170" fontId="98" fillId="0" borderId="108" xfId="0" applyNumberFormat="1" applyFont="1" applyBorder="1" applyAlignment="1" applyProtection="1">
      <alignment horizontal="center" vertical="center"/>
      <protection locked="0"/>
    </xf>
    <xf numFmtId="0" fontId="106" fillId="0" borderId="48" xfId="0" applyFont="1" applyBorder="1" applyAlignment="1" applyProtection="1">
      <alignment horizontal="center" vertical="center"/>
      <protection locked="0"/>
    </xf>
    <xf numFmtId="0" fontId="106" fillId="0" borderId="49" xfId="0" applyFont="1" applyBorder="1" applyAlignment="1" applyProtection="1">
      <alignment horizontal="center" vertical="center"/>
      <protection locked="0"/>
    </xf>
    <xf numFmtId="164" fontId="17" fillId="0" borderId="203" xfId="0" applyNumberFormat="1" applyFont="1" applyBorder="1" applyAlignment="1">
      <alignment horizontal="center" vertical="center"/>
    </xf>
    <xf numFmtId="1" fontId="36" fillId="5" borderId="46" xfId="0" applyNumberFormat="1" applyFont="1" applyFill="1" applyBorder="1" applyAlignment="1">
      <alignment horizontal="center" vertical="center"/>
    </xf>
    <xf numFmtId="1" fontId="36" fillId="5" borderId="1" xfId="0" applyNumberFormat="1" applyFont="1" applyFill="1" applyBorder="1" applyAlignment="1">
      <alignment horizontal="center" vertical="center"/>
    </xf>
    <xf numFmtId="164" fontId="106" fillId="0" borderId="57" xfId="0" applyNumberFormat="1" applyFont="1" applyBorder="1" applyAlignment="1" applyProtection="1">
      <alignment horizontal="center" vertical="center"/>
      <protection locked="0"/>
    </xf>
    <xf numFmtId="164" fontId="106" fillId="0" borderId="7" xfId="0" applyNumberFormat="1" applyFont="1" applyBorder="1" applyAlignment="1" applyProtection="1">
      <alignment horizontal="center" vertical="center"/>
      <protection locked="0"/>
    </xf>
    <xf numFmtId="164" fontId="106" fillId="0" borderId="6" xfId="0" applyNumberFormat="1" applyFont="1" applyBorder="1" applyAlignment="1" applyProtection="1">
      <alignment horizontal="center" vertical="center"/>
      <protection locked="0"/>
    </xf>
    <xf numFmtId="164" fontId="106" fillId="0" borderId="46" xfId="0" applyNumberFormat="1" applyFont="1" applyBorder="1" applyAlignment="1" applyProtection="1">
      <alignment horizontal="center" vertical="center"/>
      <protection locked="0"/>
    </xf>
    <xf numFmtId="164" fontId="106" fillId="0" borderId="1" xfId="0" applyNumberFormat="1" applyFont="1" applyBorder="1" applyAlignment="1" applyProtection="1">
      <alignment horizontal="center" vertical="center"/>
      <protection locked="0"/>
    </xf>
    <xf numFmtId="164" fontId="106" fillId="0" borderId="48" xfId="0" applyNumberFormat="1" applyFont="1" applyBorder="1" applyAlignment="1" applyProtection="1">
      <alignment horizontal="center" vertical="center"/>
      <protection locked="0"/>
    </xf>
    <xf numFmtId="164" fontId="106" fillId="0" borderId="49" xfId="0" applyNumberFormat="1" applyFont="1" applyBorder="1" applyAlignment="1" applyProtection="1">
      <alignment horizontal="center" vertical="center"/>
      <protection locked="0"/>
    </xf>
    <xf numFmtId="0" fontId="106" fillId="0" borderId="46" xfId="0" applyFont="1" applyBorder="1" applyAlignment="1" applyProtection="1">
      <alignment horizontal="center" vertical="center"/>
      <protection locked="0"/>
    </xf>
    <xf numFmtId="0" fontId="106" fillId="0" borderId="1" xfId="0" applyFont="1" applyBorder="1" applyAlignment="1" applyProtection="1">
      <alignment horizontal="center" vertical="center"/>
      <protection locked="0"/>
    </xf>
    <xf numFmtId="0" fontId="36" fillId="5" borderId="163" xfId="0" applyFont="1" applyFill="1" applyBorder="1" applyAlignment="1">
      <alignment horizontal="center" vertical="center"/>
    </xf>
    <xf numFmtId="0" fontId="36" fillId="5" borderId="10" xfId="0" applyFont="1" applyFill="1" applyBorder="1" applyAlignment="1">
      <alignment horizontal="center" vertical="center"/>
    </xf>
    <xf numFmtId="0" fontId="85" fillId="4" borderId="165" xfId="0" applyFont="1" applyFill="1" applyBorder="1" applyAlignment="1">
      <alignment horizontal="center" vertical="center"/>
    </xf>
    <xf numFmtId="0" fontId="85" fillId="4" borderId="203" xfId="0" applyFont="1" applyFill="1" applyBorder="1" applyAlignment="1">
      <alignment horizontal="center" vertical="center"/>
    </xf>
    <xf numFmtId="0" fontId="85" fillId="4" borderId="166" xfId="0" applyFont="1" applyFill="1" applyBorder="1" applyAlignment="1">
      <alignment horizontal="center" vertical="center"/>
    </xf>
    <xf numFmtId="1" fontId="103" fillId="0" borderId="214" xfId="0" applyNumberFormat="1" applyFont="1" applyBorder="1" applyAlignment="1">
      <alignment horizontal="center" vertical="center"/>
    </xf>
    <xf numFmtId="1" fontId="103" fillId="0" borderId="107" xfId="0" applyNumberFormat="1" applyFont="1" applyBorder="1" applyAlignment="1">
      <alignment horizontal="center" vertical="center"/>
    </xf>
    <xf numFmtId="1" fontId="59" fillId="5" borderId="53" xfId="0" applyNumberFormat="1" applyFont="1" applyFill="1" applyBorder="1" applyAlignment="1">
      <alignment horizontal="center" vertical="center" wrapText="1"/>
    </xf>
    <xf numFmtId="1" fontId="59" fillId="5" borderId="64" xfId="0" applyNumberFormat="1" applyFont="1" applyFill="1" applyBorder="1" applyAlignment="1">
      <alignment horizontal="center" vertical="center" wrapText="1"/>
    </xf>
    <xf numFmtId="1" fontId="36" fillId="5" borderId="205" xfId="0" applyNumberFormat="1" applyFont="1" applyFill="1" applyBorder="1" applyAlignment="1">
      <alignment horizontal="center" vertical="center"/>
    </xf>
    <xf numFmtId="1" fontId="36" fillId="5" borderId="158" xfId="0" applyNumberFormat="1" applyFont="1" applyFill="1" applyBorder="1" applyAlignment="1">
      <alignment horizontal="center" vertical="center"/>
    </xf>
    <xf numFmtId="164" fontId="105" fillId="0" borderId="53" xfId="0" applyNumberFormat="1" applyFont="1" applyBorder="1" applyAlignment="1">
      <alignment horizontal="center" vertical="center" wrapText="1"/>
    </xf>
    <xf numFmtId="164" fontId="105" fillId="0" borderId="64" xfId="0" applyNumberFormat="1" applyFont="1" applyBorder="1" applyAlignment="1">
      <alignment horizontal="center" vertical="center" wrapText="1"/>
    </xf>
    <xf numFmtId="164" fontId="105" fillId="0" borderId="57" xfId="0" applyNumberFormat="1" applyFont="1" applyBorder="1" applyAlignment="1">
      <alignment horizontal="center" vertical="center" wrapText="1"/>
    </xf>
    <xf numFmtId="164" fontId="105" fillId="0" borderId="6" xfId="0" applyNumberFormat="1" applyFont="1" applyBorder="1" applyAlignment="1">
      <alignment horizontal="center" vertical="center" wrapText="1"/>
    </xf>
    <xf numFmtId="1" fontId="36" fillId="5" borderId="39" xfId="0" applyNumberFormat="1" applyFont="1" applyFill="1" applyBorder="1" applyAlignment="1">
      <alignment horizontal="center" vertical="center"/>
    </xf>
    <xf numFmtId="164" fontId="26" fillId="0" borderId="53" xfId="0" applyNumberFormat="1" applyFont="1" applyBorder="1" applyAlignment="1">
      <alignment horizontal="center" vertical="center" wrapText="1"/>
    </xf>
    <xf numFmtId="164" fontId="26" fillId="0" borderId="64" xfId="0" applyNumberFormat="1" applyFont="1" applyBorder="1" applyAlignment="1">
      <alignment horizontal="center" vertical="center" wrapText="1"/>
    </xf>
    <xf numFmtId="164" fontId="0" fillId="0" borderId="48" xfId="0" applyNumberFormat="1" applyBorder="1" applyAlignment="1">
      <alignment horizontal="center" vertical="center"/>
    </xf>
    <xf numFmtId="164" fontId="0" fillId="0" borderId="49" xfId="0" applyNumberFormat="1" applyBorder="1" applyAlignment="1">
      <alignment horizontal="center" vertical="center"/>
    </xf>
    <xf numFmtId="164" fontId="26" fillId="0" borderId="57" xfId="0" applyNumberFormat="1" applyFont="1" applyBorder="1" applyAlignment="1">
      <alignment horizontal="center" vertical="center" wrapText="1"/>
    </xf>
    <xf numFmtId="164" fontId="26" fillId="0" borderId="6" xfId="0" applyNumberFormat="1" applyFont="1" applyBorder="1" applyAlignment="1">
      <alignment horizontal="center" vertical="center" wrapText="1"/>
    </xf>
    <xf numFmtId="164" fontId="0" fillId="0" borderId="46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37" fillId="3" borderId="48" xfId="0" applyNumberFormat="1" applyFont="1" applyFill="1" applyBorder="1" applyAlignment="1">
      <alignment horizontal="center" vertical="center"/>
    </xf>
    <xf numFmtId="164" fontId="37" fillId="3" borderId="49" xfId="0" applyNumberFormat="1" applyFont="1" applyFill="1" applyBorder="1" applyAlignment="1">
      <alignment horizontal="center" vertical="center"/>
    </xf>
    <xf numFmtId="1" fontId="17" fillId="5" borderId="43" xfId="0" applyNumberFormat="1" applyFont="1" applyFill="1" applyBorder="1" applyAlignment="1">
      <alignment horizontal="center" vertical="center"/>
    </xf>
    <xf numFmtId="1" fontId="17" fillId="5" borderId="44" xfId="0" applyNumberFormat="1" applyFont="1" applyFill="1" applyBorder="1" applyAlignment="1">
      <alignment horizontal="center" vertical="center"/>
    </xf>
    <xf numFmtId="1" fontId="17" fillId="5" borderId="45" xfId="0" applyNumberFormat="1" applyFont="1" applyFill="1" applyBorder="1" applyAlignment="1">
      <alignment horizontal="center" vertical="center"/>
    </xf>
    <xf numFmtId="1" fontId="17" fillId="5" borderId="68" xfId="0" applyNumberFormat="1" applyFont="1" applyFill="1" applyBorder="1" applyAlignment="1">
      <alignment horizontal="center" vertical="center"/>
    </xf>
    <xf numFmtId="1" fontId="17" fillId="5" borderId="69" xfId="0" applyNumberFormat="1" applyFont="1" applyFill="1" applyBorder="1" applyAlignment="1">
      <alignment horizontal="center" vertical="center"/>
    </xf>
    <xf numFmtId="1" fontId="17" fillId="5" borderId="70" xfId="0" applyNumberFormat="1" applyFont="1" applyFill="1" applyBorder="1" applyAlignment="1">
      <alignment horizontal="center" vertical="center"/>
    </xf>
    <xf numFmtId="1" fontId="17" fillId="5" borderId="71" xfId="0" applyNumberFormat="1" applyFon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3" borderId="46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21" fillId="0" borderId="104" xfId="0" applyNumberFormat="1" applyFont="1" applyBorder="1" applyAlignment="1">
      <alignment horizontal="center" vertical="center"/>
    </xf>
    <xf numFmtId="1" fontId="21" fillId="0" borderId="105" xfId="0" applyNumberFormat="1" applyFont="1" applyBorder="1" applyAlignment="1">
      <alignment horizontal="center" vertical="center"/>
    </xf>
    <xf numFmtId="14" fontId="21" fillId="0" borderId="106" xfId="0" applyNumberFormat="1" applyFont="1" applyBorder="1" applyAlignment="1">
      <alignment horizontal="center" vertical="center" wrapText="1" readingOrder="2"/>
    </xf>
    <xf numFmtId="14" fontId="21" fillId="0" borderId="107" xfId="0" applyNumberFormat="1" applyFont="1" applyBorder="1" applyAlignment="1">
      <alignment horizontal="center" vertical="center" wrapText="1" readingOrder="2"/>
    </xf>
    <xf numFmtId="14" fontId="21" fillId="0" borderId="108" xfId="0" applyNumberFormat="1" applyFont="1" applyBorder="1" applyAlignment="1">
      <alignment horizontal="center" vertical="center" wrapText="1" readingOrder="2"/>
    </xf>
    <xf numFmtId="14" fontId="21" fillId="0" borderId="105" xfId="0" applyNumberFormat="1" applyFont="1" applyBorder="1" applyAlignment="1">
      <alignment horizontal="center" vertical="center"/>
    </xf>
    <xf numFmtId="167" fontId="24" fillId="0" borderId="105" xfId="0" applyNumberFormat="1" applyFont="1" applyBorder="1" applyAlignment="1">
      <alignment horizontal="center" vertical="center"/>
    </xf>
    <xf numFmtId="167" fontId="24" fillId="0" borderId="109" xfId="0" applyNumberFormat="1" applyFont="1" applyBorder="1" applyAlignment="1">
      <alignment horizontal="center" vertical="center"/>
    </xf>
    <xf numFmtId="1" fontId="11" fillId="3" borderId="43" xfId="0" applyNumberFormat="1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 wrapText="1"/>
    </xf>
    <xf numFmtId="1" fontId="17" fillId="5" borderId="51" xfId="0" applyNumberFormat="1" applyFont="1" applyFill="1" applyBorder="1" applyAlignment="1">
      <alignment horizontal="center" vertical="center"/>
    </xf>
    <xf numFmtId="1" fontId="37" fillId="3" borderId="53" xfId="0" applyNumberFormat="1" applyFont="1" applyFill="1" applyBorder="1" applyAlignment="1">
      <alignment horizontal="center" vertical="center"/>
    </xf>
    <xf numFmtId="1" fontId="37" fillId="3" borderId="87" xfId="0" applyNumberFormat="1" applyFont="1" applyFill="1" applyBorder="1" applyAlignment="1">
      <alignment horizontal="center" vertical="center"/>
    </xf>
    <xf numFmtId="1" fontId="21" fillId="0" borderId="102" xfId="0" applyNumberFormat="1" applyFont="1" applyBorder="1" applyAlignment="1">
      <alignment horizontal="center" vertical="center"/>
    </xf>
    <xf numFmtId="1" fontId="21" fillId="0" borderId="54" xfId="0" applyNumberFormat="1" applyFont="1" applyBorder="1" applyAlignment="1">
      <alignment horizontal="center" vertical="center"/>
    </xf>
    <xf numFmtId="14" fontId="21" fillId="0" borderId="54" xfId="0" applyNumberFormat="1" applyFont="1" applyBorder="1" applyAlignment="1">
      <alignment horizontal="center" vertical="center" wrapText="1"/>
    </xf>
    <xf numFmtId="14" fontId="21" fillId="0" borderId="103" xfId="0" applyNumberFormat="1" applyFont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/>
    </xf>
    <xf numFmtId="0" fontId="21" fillId="0" borderId="103" xfId="0" applyFont="1" applyBorder="1" applyAlignment="1">
      <alignment horizontal="center" vertical="center"/>
    </xf>
    <xf numFmtId="1" fontId="21" fillId="0" borderId="99" xfId="0" applyNumberFormat="1" applyFont="1" applyBorder="1" applyAlignment="1">
      <alignment horizontal="center" vertical="center"/>
    </xf>
    <xf numFmtId="1" fontId="21" fillId="0" borderId="100" xfId="0" applyNumberFormat="1" applyFont="1" applyBorder="1" applyAlignment="1">
      <alignment horizontal="center" vertical="center"/>
    </xf>
    <xf numFmtId="14" fontId="21" fillId="0" borderId="100" xfId="0" applyNumberFormat="1" applyFont="1" applyBorder="1" applyAlignment="1">
      <alignment horizontal="center" vertical="center" wrapText="1"/>
    </xf>
    <xf numFmtId="14" fontId="21" fillId="0" borderId="101" xfId="0" applyNumberFormat="1" applyFont="1" applyBorder="1" applyAlignment="1">
      <alignment horizontal="center" vertical="center" wrapText="1"/>
    </xf>
    <xf numFmtId="0" fontId="21" fillId="0" borderId="100" xfId="0" applyFont="1" applyBorder="1" applyAlignment="1">
      <alignment horizontal="center" vertical="center"/>
    </xf>
    <xf numFmtId="0" fontId="21" fillId="0" borderId="101" xfId="0" applyFont="1" applyBorder="1" applyAlignment="1">
      <alignment horizontal="center" vertical="center"/>
    </xf>
    <xf numFmtId="0" fontId="9" fillId="0" borderId="88" xfId="0" applyFont="1" applyBorder="1" applyAlignment="1">
      <alignment horizontal="center" vertical="center" wrapText="1" readingOrder="2"/>
    </xf>
    <xf numFmtId="0" fontId="9" fillId="0" borderId="122" xfId="0" applyFont="1" applyBorder="1" applyAlignment="1">
      <alignment horizontal="center" vertical="center" wrapText="1" readingOrder="2"/>
    </xf>
    <xf numFmtId="0" fontId="9" fillId="0" borderId="175" xfId="0" applyFont="1" applyBorder="1" applyAlignment="1">
      <alignment horizontal="center" vertical="center" wrapText="1" readingOrder="2"/>
    </xf>
    <xf numFmtId="0" fontId="9" fillId="0" borderId="89" xfId="0" applyFont="1" applyBorder="1" applyAlignment="1">
      <alignment horizontal="center" vertical="center" wrapText="1" readingOrder="2"/>
    </xf>
    <xf numFmtId="0" fontId="9" fillId="0" borderId="90" xfId="0" applyFont="1" applyBorder="1" applyAlignment="1">
      <alignment horizontal="center" vertical="center" wrapText="1" readingOrder="2"/>
    </xf>
    <xf numFmtId="0" fontId="9" fillId="0" borderId="1" xfId="0" applyFont="1" applyBorder="1" applyAlignment="1">
      <alignment horizontal="center" vertical="center" wrapText="1" readingOrder="2"/>
    </xf>
    <xf numFmtId="0" fontId="9" fillId="0" borderId="5" xfId="0" applyFont="1" applyBorder="1" applyAlignment="1">
      <alignment horizontal="center" vertical="center" wrapText="1" readingOrder="2"/>
    </xf>
    <xf numFmtId="0" fontId="9" fillId="0" borderId="123" xfId="0" applyFont="1" applyBorder="1" applyAlignment="1">
      <alignment horizontal="center" vertical="center" wrapText="1" readingOrder="2"/>
    </xf>
    <xf numFmtId="0" fontId="9" fillId="0" borderId="111" xfId="0" applyFont="1" applyBorder="1" applyAlignment="1">
      <alignment horizontal="center" vertical="center" wrapText="1" readingOrder="2"/>
    </xf>
    <xf numFmtId="0" fontId="9" fillId="0" borderId="8" xfId="0" applyFont="1" applyBorder="1" applyAlignment="1">
      <alignment horizontal="center" vertical="center" wrapText="1" readingOrder="2"/>
    </xf>
    <xf numFmtId="0" fontId="9" fillId="0" borderId="155" xfId="0" applyFont="1" applyBorder="1" applyAlignment="1">
      <alignment horizontal="center" vertical="center" wrapText="1" readingOrder="2"/>
    </xf>
    <xf numFmtId="0" fontId="9" fillId="0" borderId="124" xfId="0" applyFont="1" applyBorder="1" applyAlignment="1">
      <alignment horizontal="center" vertical="center" wrapText="1" readingOrder="2"/>
    </xf>
    <xf numFmtId="0" fontId="44" fillId="0" borderId="116" xfId="0" applyFont="1" applyBorder="1" applyAlignment="1">
      <alignment horizontal="right" vertical="center" wrapText="1" readingOrder="2"/>
    </xf>
    <xf numFmtId="0" fontId="44" fillId="0" borderId="0" xfId="0" applyFont="1" applyAlignment="1">
      <alignment horizontal="right" vertical="center" wrapText="1" readingOrder="2"/>
    </xf>
    <xf numFmtId="0" fontId="44" fillId="0" borderId="91" xfId="0" applyFont="1" applyBorder="1" applyAlignment="1">
      <alignment horizontal="right" vertical="center" wrapText="1" readingOrder="2"/>
    </xf>
    <xf numFmtId="0" fontId="48" fillId="2" borderId="114" xfId="0" applyFont="1" applyFill="1" applyBorder="1" applyAlignment="1">
      <alignment horizontal="center" vertical="center" wrapText="1" readingOrder="2"/>
    </xf>
    <xf numFmtId="0" fontId="48" fillId="2" borderId="115" xfId="0" applyFont="1" applyFill="1" applyBorder="1" applyAlignment="1">
      <alignment horizontal="center" vertical="center" wrapText="1" readingOrder="2"/>
    </xf>
    <xf numFmtId="0" fontId="44" fillId="0" borderId="14" xfId="0" applyFont="1" applyBorder="1" applyAlignment="1">
      <alignment horizontal="right" vertical="center" wrapText="1" readingOrder="2"/>
    </xf>
    <xf numFmtId="0" fontId="44" fillId="0" borderId="12" xfId="0" applyFont="1" applyBorder="1" applyAlignment="1">
      <alignment horizontal="right" vertical="center" wrapText="1" readingOrder="2"/>
    </xf>
    <xf numFmtId="0" fontId="47" fillId="0" borderId="116" xfId="0" applyFont="1" applyBorder="1" applyAlignment="1">
      <alignment horizontal="right" vertical="center" wrapText="1" readingOrder="2"/>
    </xf>
    <xf numFmtId="0" fontId="47" fillId="0" borderId="0" xfId="0" applyFont="1" applyAlignment="1">
      <alignment horizontal="right" vertical="center" wrapText="1" readingOrder="2"/>
    </xf>
    <xf numFmtId="0" fontId="9" fillId="0" borderId="116" xfId="0" applyFont="1" applyBorder="1" applyAlignment="1">
      <alignment horizontal="right" vertical="center" wrapText="1" readingOrder="2"/>
    </xf>
    <xf numFmtId="0" fontId="9" fillId="0" borderId="0" xfId="0" applyFont="1" applyAlignment="1">
      <alignment horizontal="right" vertical="center" wrapText="1" readingOrder="2"/>
    </xf>
    <xf numFmtId="0" fontId="12" fillId="5" borderId="78" xfId="0" applyFont="1" applyFill="1" applyBorder="1" applyAlignment="1">
      <alignment horizontal="right" vertical="center" wrapText="1" readingOrder="2"/>
    </xf>
    <xf numFmtId="0" fontId="12" fillId="5" borderId="13" xfId="0" applyFont="1" applyFill="1" applyBorder="1" applyAlignment="1">
      <alignment horizontal="right" vertical="center" wrapText="1" readingOrder="2"/>
    </xf>
    <xf numFmtId="0" fontId="12" fillId="5" borderId="79" xfId="0" applyFont="1" applyFill="1" applyBorder="1" applyAlignment="1">
      <alignment horizontal="right" vertical="center" wrapText="1" readingOrder="2"/>
    </xf>
    <xf numFmtId="0" fontId="30" fillId="0" borderId="0" xfId="0" applyFont="1" applyAlignment="1" applyProtection="1">
      <alignment horizontal="center" vertical="center"/>
      <protection hidden="1"/>
    </xf>
    <xf numFmtId="0" fontId="8" fillId="0" borderId="5" xfId="0" applyFont="1" applyBorder="1" applyAlignment="1" applyProtection="1">
      <alignment horizontal="center" vertical="center" wrapText="1" readingOrder="2"/>
      <protection hidden="1"/>
    </xf>
    <xf numFmtId="0" fontId="8" fillId="0" borderId="6" xfId="0" applyFont="1" applyBorder="1" applyAlignment="1" applyProtection="1">
      <alignment horizontal="center" vertical="center" wrapText="1" readingOrder="2"/>
      <protection hidden="1"/>
    </xf>
    <xf numFmtId="0" fontId="8" fillId="0" borderId="5" xfId="0" applyFont="1" applyBorder="1" applyAlignment="1" applyProtection="1">
      <alignment horizontal="center" vertical="center" wrapText="1" readingOrder="1"/>
      <protection hidden="1"/>
    </xf>
    <xf numFmtId="0" fontId="8" fillId="0" borderId="7" xfId="0" applyFont="1" applyBorder="1" applyAlignment="1" applyProtection="1">
      <alignment horizontal="center" vertical="center" wrapText="1" readingOrder="1"/>
      <protection hidden="1"/>
    </xf>
    <xf numFmtId="0" fontId="8" fillId="0" borderId="6" xfId="0" applyFont="1" applyBorder="1" applyAlignment="1" applyProtection="1">
      <alignment horizontal="center" vertical="center" wrapText="1" readingOrder="1"/>
      <protection hidden="1"/>
    </xf>
    <xf numFmtId="0" fontId="2" fillId="0" borderId="95" xfId="0" applyFont="1" applyBorder="1" applyAlignment="1" applyProtection="1">
      <alignment horizontal="right" wrapText="1" readingOrder="2"/>
      <protection hidden="1"/>
    </xf>
    <xf numFmtId="0" fontId="2" fillId="0" borderId="54" xfId="0" applyFont="1" applyBorder="1" applyAlignment="1" applyProtection="1">
      <alignment horizontal="right" readingOrder="2"/>
      <protection hidden="1"/>
    </xf>
    <xf numFmtId="0" fontId="2" fillId="0" borderId="78" xfId="0" applyFont="1" applyBorder="1" applyAlignment="1" applyProtection="1">
      <alignment horizontal="right" readingOrder="2"/>
      <protection hidden="1"/>
    </xf>
    <xf numFmtId="0" fontId="2" fillId="0" borderId="96" xfId="0" applyFont="1" applyBorder="1" applyAlignment="1" applyProtection="1">
      <alignment horizontal="right" readingOrder="2"/>
      <protection hidden="1"/>
    </xf>
    <xf numFmtId="0" fontId="2" fillId="4" borderId="93" xfId="0" applyFont="1" applyFill="1" applyBorder="1" applyAlignment="1" applyProtection="1">
      <alignment horizontal="right" wrapText="1"/>
      <protection hidden="1"/>
    </xf>
    <xf numFmtId="0" fontId="2" fillId="4" borderId="94" xfId="0" applyFont="1" applyFill="1" applyBorder="1" applyAlignment="1" applyProtection="1">
      <alignment horizontal="right" wrapText="1"/>
      <protection hidden="1"/>
    </xf>
    <xf numFmtId="0" fontId="2" fillId="4" borderId="174" xfId="0" applyFont="1" applyFill="1" applyBorder="1" applyAlignment="1" applyProtection="1">
      <alignment horizontal="right" wrapText="1"/>
      <protection hidden="1"/>
    </xf>
    <xf numFmtId="0" fontId="2" fillId="4" borderId="92" xfId="0" applyFont="1" applyFill="1" applyBorder="1" applyAlignment="1" applyProtection="1">
      <alignment horizontal="right" wrapText="1"/>
      <protection hidden="1"/>
    </xf>
    <xf numFmtId="0" fontId="2" fillId="4" borderId="97" xfId="0" applyFont="1" applyFill="1" applyBorder="1" applyAlignment="1" applyProtection="1">
      <alignment horizontal="right"/>
      <protection hidden="1"/>
    </xf>
    <xf numFmtId="0" fontId="2" fillId="4" borderId="59" xfId="0" applyFont="1" applyFill="1" applyBorder="1" applyAlignment="1" applyProtection="1">
      <alignment horizontal="right"/>
      <protection hidden="1"/>
    </xf>
    <xf numFmtId="0" fontId="2" fillId="4" borderId="114" xfId="0" applyFont="1" applyFill="1" applyBorder="1" applyAlignment="1" applyProtection="1">
      <alignment horizontal="right"/>
      <protection hidden="1"/>
    </xf>
    <xf numFmtId="0" fontId="2" fillId="4" borderId="98" xfId="0" applyFont="1" applyFill="1" applyBorder="1" applyAlignment="1" applyProtection="1">
      <alignment horizontal="right"/>
      <protection hidden="1"/>
    </xf>
    <xf numFmtId="0" fontId="15" fillId="2" borderId="0" xfId="0" applyFont="1" applyFill="1" applyAlignment="1" applyProtection="1">
      <alignment horizontal="center" vertical="center"/>
      <protection hidden="1"/>
    </xf>
    <xf numFmtId="0" fontId="16" fillId="2" borderId="0" xfId="0" applyFont="1" applyFill="1" applyAlignment="1" applyProtection="1">
      <alignment horizontal="center" vertical="center"/>
      <protection hidden="1"/>
    </xf>
    <xf numFmtId="0" fontId="6" fillId="5" borderId="1" xfId="0" applyFont="1" applyFill="1" applyBorder="1" applyAlignment="1" applyProtection="1">
      <alignment horizontal="center" vertical="center" wrapText="1" readingOrder="2"/>
      <protection hidden="1"/>
    </xf>
    <xf numFmtId="4" fontId="6" fillId="5" borderId="1" xfId="0" applyNumberFormat="1" applyFont="1" applyFill="1" applyBorder="1" applyAlignment="1" applyProtection="1">
      <alignment horizontal="center" vertical="center" wrapText="1" readingOrder="2"/>
      <protection hidden="1"/>
    </xf>
    <xf numFmtId="0" fontId="9" fillId="5" borderId="8" xfId="0" applyFont="1" applyFill="1" applyBorder="1" applyAlignment="1" applyProtection="1">
      <alignment horizontal="center" vertical="center" wrapText="1" readingOrder="2"/>
      <protection hidden="1"/>
    </xf>
    <xf numFmtId="0" fontId="9" fillId="5" borderId="10" xfId="0" applyFont="1" applyFill="1" applyBorder="1" applyAlignment="1" applyProtection="1">
      <alignment horizontal="center" vertical="center" wrapText="1" readingOrder="2"/>
      <protection hidden="1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2" borderId="12" xfId="0" applyFont="1" applyFill="1" applyBorder="1" applyAlignment="1" applyProtection="1">
      <alignment horizontal="center" vertical="center"/>
      <protection hidden="1"/>
    </xf>
    <xf numFmtId="0" fontId="6" fillId="5" borderId="8" xfId="0" applyFont="1" applyFill="1" applyBorder="1" applyAlignment="1" applyProtection="1">
      <alignment horizontal="center" vertical="center" wrapText="1" readingOrder="2"/>
      <protection hidden="1"/>
    </xf>
    <xf numFmtId="0" fontId="6" fillId="5" borderId="10" xfId="0" applyFont="1" applyFill="1" applyBorder="1" applyAlignment="1" applyProtection="1">
      <alignment horizontal="center" vertical="center" wrapText="1" readingOrder="2"/>
      <protection hidden="1"/>
    </xf>
    <xf numFmtId="14" fontId="5" fillId="0" borderId="12" xfId="0" applyNumberFormat="1" applyFont="1" applyBorder="1" applyAlignment="1" applyProtection="1">
      <alignment horizontal="center" vertical="center"/>
      <protection hidden="1"/>
    </xf>
    <xf numFmtId="0" fontId="5" fillId="0" borderId="13" xfId="0" applyFont="1" applyBorder="1" applyAlignment="1" applyProtection="1">
      <alignment horizontal="center" vertical="center"/>
      <protection hidden="1"/>
    </xf>
    <xf numFmtId="0" fontId="3" fillId="5" borderId="1" xfId="0" applyFont="1" applyFill="1" applyBorder="1" applyAlignment="1" applyProtection="1">
      <alignment horizontal="center" vertical="center" wrapText="1" readingOrder="2"/>
      <protection hidden="1"/>
    </xf>
    <xf numFmtId="0" fontId="0" fillId="5" borderId="1" xfId="0" applyFill="1" applyBorder="1" applyAlignment="1" applyProtection="1">
      <alignment horizontal="center" vertical="center" wrapText="1"/>
      <protection hidden="1"/>
    </xf>
    <xf numFmtId="0" fontId="17" fillId="0" borderId="120" xfId="0" applyFont="1" applyBorder="1" applyAlignment="1" applyProtection="1">
      <alignment horizontal="center" vertical="center"/>
      <protection hidden="1"/>
    </xf>
    <xf numFmtId="0" fontId="17" fillId="0" borderId="13" xfId="0" applyFont="1" applyBorder="1" applyAlignment="1" applyProtection="1">
      <alignment horizontal="center" vertical="center"/>
      <protection hidden="1"/>
    </xf>
    <xf numFmtId="0" fontId="17" fillId="0" borderId="79" xfId="0" applyFont="1" applyBorder="1" applyAlignment="1" applyProtection="1">
      <alignment horizontal="center" vertical="center"/>
      <protection hidden="1"/>
    </xf>
    <xf numFmtId="0" fontId="17" fillId="4" borderId="175" xfId="0" applyFont="1" applyFill="1" applyBorder="1" applyAlignment="1" applyProtection="1">
      <alignment horizontal="center" vertical="center"/>
      <protection hidden="1"/>
    </xf>
    <xf numFmtId="0" fontId="17" fillId="4" borderId="184" xfId="0" applyFont="1" applyFill="1" applyBorder="1" applyAlignment="1" applyProtection="1">
      <alignment horizontal="center" vertical="center"/>
      <protection hidden="1"/>
    </xf>
    <xf numFmtId="0" fontId="17" fillId="4" borderId="185" xfId="0" applyFont="1" applyFill="1" applyBorder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horizontal="center" vertical="center" wrapText="1" readingOrder="2"/>
      <protection hidden="1"/>
    </xf>
    <xf numFmtId="0" fontId="8" fillId="0" borderId="1" xfId="0" applyFont="1" applyBorder="1" applyAlignment="1" applyProtection="1">
      <alignment horizontal="center" vertical="center" wrapText="1" readingOrder="1"/>
      <protection hidden="1"/>
    </xf>
    <xf numFmtId="0" fontId="32" fillId="0" borderId="5" xfId="0" applyFont="1" applyBorder="1" applyAlignment="1" applyProtection="1">
      <alignment horizontal="center" vertical="center" wrapText="1" readingOrder="2"/>
      <protection hidden="1"/>
    </xf>
    <xf numFmtId="0" fontId="32" fillId="0" borderId="6" xfId="0" applyFont="1" applyBorder="1" applyAlignment="1" applyProtection="1">
      <alignment horizontal="center" vertical="center" wrapText="1" readingOrder="2"/>
      <protection hidden="1"/>
    </xf>
    <xf numFmtId="0" fontId="6" fillId="5" borderId="155" xfId="0" applyFont="1" applyFill="1" applyBorder="1" applyAlignment="1" applyProtection="1">
      <alignment horizontal="center" vertical="center" wrapText="1" readingOrder="2"/>
      <protection hidden="1"/>
    </xf>
    <xf numFmtId="0" fontId="6" fillId="5" borderId="154" xfId="0" applyFont="1" applyFill="1" applyBorder="1" applyAlignment="1" applyProtection="1">
      <alignment horizontal="center" vertical="center" wrapText="1" readingOrder="2"/>
      <protection hidden="1"/>
    </xf>
    <xf numFmtId="0" fontId="6" fillId="5" borderId="157" xfId="0" applyFont="1" applyFill="1" applyBorder="1" applyAlignment="1" applyProtection="1">
      <alignment horizontal="center" vertical="center" wrapText="1" readingOrder="2"/>
      <protection hidden="1"/>
    </xf>
    <xf numFmtId="0" fontId="6" fillId="5" borderId="158" xfId="0" applyFont="1" applyFill="1" applyBorder="1" applyAlignment="1" applyProtection="1">
      <alignment horizontal="center" vertical="center" wrapText="1" readingOrder="2"/>
      <protection hidden="1"/>
    </xf>
    <xf numFmtId="0" fontId="5" fillId="2" borderId="13" xfId="0" applyFont="1" applyFill="1" applyBorder="1" applyAlignment="1" applyProtection="1">
      <alignment horizontal="center" vertical="center"/>
      <protection hidden="1"/>
    </xf>
    <xf numFmtId="0" fontId="13" fillId="2" borderId="39" xfId="0" applyFont="1" applyFill="1" applyBorder="1" applyAlignment="1" applyProtection="1">
      <alignment horizontal="center" vertical="center"/>
      <protection hidden="1"/>
    </xf>
    <xf numFmtId="0" fontId="50" fillId="23" borderId="0" xfId="0" applyFont="1" applyFill="1" applyAlignment="1">
      <alignment horizontal="center"/>
    </xf>
    <xf numFmtId="0" fontId="0" fillId="0" borderId="0" xfId="0" applyAlignment="1">
      <alignment horizontal="right" vertical="center"/>
    </xf>
    <xf numFmtId="14" fontId="31" fillId="23" borderId="78" xfId="0" applyNumberFormat="1" applyFont="1" applyFill="1" applyBorder="1" applyAlignment="1">
      <alignment horizontal="center" vertical="center"/>
    </xf>
    <xf numFmtId="14" fontId="31" fillId="23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6" fillId="2" borderId="156" xfId="0" applyFont="1" applyFill="1" applyBorder="1" applyAlignment="1">
      <alignment horizontal="center" vertical="center" textRotation="90"/>
    </xf>
    <xf numFmtId="1" fontId="66" fillId="5" borderId="145" xfId="0" applyNumberFormat="1" applyFont="1" applyFill="1" applyBorder="1" applyAlignment="1" applyProtection="1">
      <alignment horizontal="center" vertical="center" textRotation="90" wrapText="1"/>
      <protection hidden="1"/>
    </xf>
    <xf numFmtId="0" fontId="0" fillId="0" borderId="0" xfId="0" applyAlignment="1">
      <alignment horizontal="right" vertical="center" wrapText="1"/>
    </xf>
    <xf numFmtId="0" fontId="79" fillId="3" borderId="48" xfId="0" applyFont="1" applyFill="1" applyBorder="1" applyAlignment="1" applyProtection="1">
      <alignment horizontal="center" vertical="center" wrapText="1" readingOrder="2"/>
      <protection hidden="1"/>
    </xf>
    <xf numFmtId="0" fontId="79" fillId="3" borderId="50" xfId="0" applyFont="1" applyFill="1" applyBorder="1" applyAlignment="1" applyProtection="1">
      <alignment horizontal="center" vertical="center" wrapText="1" readingOrder="2"/>
      <protection hidden="1"/>
    </xf>
    <xf numFmtId="0" fontId="2" fillId="0" borderId="57" xfId="0" applyFont="1" applyBorder="1" applyAlignment="1" applyProtection="1">
      <alignment horizontal="center"/>
      <protection hidden="1"/>
    </xf>
    <xf numFmtId="0" fontId="2" fillId="0" borderId="173" xfId="0" applyFont="1" applyBorder="1" applyAlignment="1" applyProtection="1">
      <alignment horizontal="center"/>
      <protection hidden="1"/>
    </xf>
    <xf numFmtId="0" fontId="79" fillId="3" borderId="43" xfId="0" applyFont="1" applyFill="1" applyBorder="1" applyAlignment="1" applyProtection="1">
      <alignment horizontal="center" vertical="center" wrapText="1" readingOrder="2"/>
      <protection hidden="1"/>
    </xf>
    <xf numFmtId="0" fontId="79" fillId="3" borderId="45" xfId="0" applyFont="1" applyFill="1" applyBorder="1" applyAlignment="1" applyProtection="1">
      <alignment horizontal="center" vertical="center" wrapText="1" readingOrder="2"/>
      <protection hidden="1"/>
    </xf>
    <xf numFmtId="0" fontId="79" fillId="3" borderId="46" xfId="0" applyFont="1" applyFill="1" applyBorder="1" applyAlignment="1" applyProtection="1">
      <alignment horizontal="center" vertical="center" wrapText="1" readingOrder="2"/>
      <protection hidden="1"/>
    </xf>
    <xf numFmtId="0" fontId="79" fillId="3" borderId="47" xfId="0" applyFont="1" applyFill="1" applyBorder="1" applyAlignment="1" applyProtection="1">
      <alignment horizontal="center" vertical="center" wrapText="1" readingOrder="2"/>
      <protection hidden="1"/>
    </xf>
    <xf numFmtId="0" fontId="17" fillId="0" borderId="165" xfId="0" applyFont="1" applyBorder="1" applyAlignment="1">
      <alignment horizontal="center" vertical="center"/>
    </xf>
    <xf numFmtId="0" fontId="17" fillId="0" borderId="166" xfId="0" applyFont="1" applyBorder="1" applyAlignment="1">
      <alignment horizontal="center" vertical="center"/>
    </xf>
    <xf numFmtId="0" fontId="17" fillId="0" borderId="8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81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72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153" xfId="0" applyFont="1" applyBorder="1" applyAlignment="1">
      <alignment horizontal="center" vertical="center"/>
    </xf>
    <xf numFmtId="0" fontId="17" fillId="0" borderId="119" xfId="0" applyFont="1" applyBorder="1" applyAlignment="1">
      <alignment horizontal="center" vertical="center"/>
    </xf>
    <xf numFmtId="0" fontId="17" fillId="0" borderId="182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7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1" fontId="36" fillId="0" borderId="180" xfId="0" applyNumberFormat="1" applyFont="1" applyBorder="1" applyAlignment="1">
      <alignment horizontal="center" vertical="center"/>
    </xf>
    <xf numFmtId="0" fontId="36" fillId="0" borderId="180" xfId="0" applyFont="1" applyBorder="1" applyAlignment="1">
      <alignment horizontal="center" vertical="center"/>
    </xf>
    <xf numFmtId="0" fontId="36" fillId="0" borderId="181" xfId="0" applyFont="1" applyBorder="1" applyAlignment="1">
      <alignment horizontal="center" vertical="center"/>
    </xf>
    <xf numFmtId="1" fontId="17" fillId="0" borderId="180" xfId="0" applyNumberFormat="1" applyFont="1" applyBorder="1" applyAlignment="1">
      <alignment horizontal="center" vertical="center"/>
    </xf>
    <xf numFmtId="0" fontId="17" fillId="0" borderId="180" xfId="0" applyFont="1" applyBorder="1" applyAlignment="1">
      <alignment horizontal="center" vertical="center"/>
    </xf>
    <xf numFmtId="0" fontId="17" fillId="0" borderId="181" xfId="0" applyFont="1" applyBorder="1" applyAlignment="1">
      <alignment horizontal="center" vertical="center"/>
    </xf>
    <xf numFmtId="14" fontId="17" fillId="0" borderId="5" xfId="0" applyNumberFormat="1" applyFont="1" applyBorder="1" applyAlignment="1">
      <alignment horizontal="center" vertical="center"/>
    </xf>
    <xf numFmtId="0" fontId="36" fillId="0" borderId="176" xfId="0" applyFont="1" applyBorder="1" applyAlignment="1">
      <alignment horizontal="center" vertical="center"/>
    </xf>
    <xf numFmtId="0" fontId="36" fillId="0" borderId="177" xfId="0" applyFont="1" applyBorder="1" applyAlignment="1">
      <alignment horizontal="center" vertical="center"/>
    </xf>
    <xf numFmtId="0" fontId="36" fillId="0" borderId="179" xfId="0" applyFont="1" applyBorder="1" applyAlignment="1">
      <alignment horizontal="center" vertical="center"/>
    </xf>
    <xf numFmtId="0" fontId="36" fillId="0" borderId="159" xfId="0" applyFont="1" applyBorder="1" applyAlignment="1">
      <alignment horizontal="center" vertical="center"/>
    </xf>
    <xf numFmtId="0" fontId="36" fillId="0" borderId="178" xfId="0" applyFont="1" applyBorder="1" applyAlignment="1">
      <alignment horizontal="center" vertical="center"/>
    </xf>
    <xf numFmtId="0" fontId="36" fillId="0" borderId="162" xfId="0" applyFont="1" applyBorder="1" applyAlignment="1">
      <alignment horizontal="center" vertical="center"/>
    </xf>
    <xf numFmtId="0" fontId="16" fillId="0" borderId="80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72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8" fillId="0" borderId="1" xfId="0" applyFont="1" applyFill="1" applyBorder="1" applyAlignment="1">
      <alignment horizontal="center" vertical="center"/>
    </xf>
    <xf numFmtId="0" fontId="108" fillId="0" borderId="1" xfId="0" applyFont="1" applyFill="1" applyBorder="1" applyAlignment="1">
      <alignment horizontal="center" vertical="center"/>
    </xf>
    <xf numFmtId="0" fontId="109" fillId="27" borderId="5" xfId="0" applyFont="1" applyFill="1" applyBorder="1" applyAlignment="1">
      <alignment horizontal="center" vertical="center"/>
    </xf>
    <xf numFmtId="0" fontId="109" fillId="27" borderId="7" xfId="0" applyFont="1" applyFill="1" applyBorder="1" applyAlignment="1">
      <alignment horizontal="center" vertical="center"/>
    </xf>
    <xf numFmtId="0" fontId="109" fillId="27" borderId="6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1" fontId="17" fillId="2" borderId="29" xfId="0" applyNumberFormat="1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6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4" xfId="0" applyBorder="1" applyAlignment="1">
      <alignment horizontal="center" vertical="center"/>
    </xf>
    <xf numFmtId="0" fontId="110" fillId="0" borderId="208" xfId="0" applyFont="1" applyBorder="1" applyAlignment="1">
      <alignment horizontal="center" vertical="center"/>
    </xf>
    <xf numFmtId="0" fontId="110" fillId="0" borderId="209" xfId="0" applyFont="1" applyBorder="1" applyAlignment="1">
      <alignment horizontal="center" vertical="center"/>
    </xf>
    <xf numFmtId="0" fontId="110" fillId="0" borderId="209" xfId="0" applyFont="1" applyBorder="1" applyAlignment="1">
      <alignment horizontal="center" vertical="center"/>
    </xf>
    <xf numFmtId="0" fontId="110" fillId="0" borderId="219" xfId="0" applyFont="1" applyBorder="1" applyAlignment="1">
      <alignment horizontal="center" vertical="center"/>
    </xf>
    <xf numFmtId="0" fontId="110" fillId="0" borderId="218" xfId="0" applyFont="1" applyBorder="1" applyAlignment="1">
      <alignment horizontal="center" vertical="center"/>
    </xf>
    <xf numFmtId="0" fontId="110" fillId="0" borderId="210" xfId="0" applyFont="1" applyBorder="1" applyAlignment="1">
      <alignment horizontal="center" vertical="center"/>
    </xf>
    <xf numFmtId="0" fontId="110" fillId="0" borderId="204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157" xfId="0" applyFont="1" applyBorder="1" applyAlignment="1">
      <alignment horizontal="center" vertical="center"/>
    </xf>
    <xf numFmtId="0" fontId="35" fillId="0" borderId="187" xfId="0" applyFont="1" applyBorder="1" applyAlignment="1">
      <alignment horizontal="center" vertical="center"/>
    </xf>
    <xf numFmtId="0" fontId="35" fillId="0" borderId="158" xfId="0" applyFont="1" applyBorder="1" applyAlignment="1">
      <alignment horizontal="center" vertical="center"/>
    </xf>
    <xf numFmtId="0" fontId="35" fillId="0" borderId="164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66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47" xfId="0" applyFont="1" applyBorder="1" applyAlignment="1">
      <alignment horizontal="center" vertical="center"/>
    </xf>
    <xf numFmtId="0" fontId="35" fillId="0" borderId="49" xfId="0" applyFont="1" applyBorder="1" applyAlignment="1">
      <alignment horizontal="center" vertical="center"/>
    </xf>
    <xf numFmtId="0" fontId="35" fillId="0" borderId="49" xfId="0" applyFont="1" applyBorder="1" applyAlignment="1">
      <alignment horizontal="center" vertical="center"/>
    </xf>
    <xf numFmtId="0" fontId="35" fillId="0" borderId="52" xfId="0" applyFont="1" applyBorder="1" applyAlignment="1">
      <alignment horizontal="center" vertical="center"/>
    </xf>
    <xf numFmtId="0" fontId="35" fillId="0" borderId="67" xfId="0" applyFont="1" applyBorder="1" applyAlignment="1">
      <alignment horizontal="center" vertical="center"/>
    </xf>
    <xf numFmtId="0" fontId="35" fillId="0" borderId="64" xfId="0" applyFont="1" applyBorder="1" applyAlignment="1">
      <alignment horizontal="center" vertical="center"/>
    </xf>
    <xf numFmtId="0" fontId="35" fillId="0" borderId="50" xfId="0" applyFont="1" applyBorder="1" applyAlignment="1">
      <alignment horizontal="center" vertical="center"/>
    </xf>
  </cellXfs>
  <cellStyles count="4">
    <cellStyle name="Normal" xfId="0" builtinId="0"/>
    <cellStyle name="Normal 112 2" xfId="2" xr:uid="{00000000-0005-0000-0000-000001000000}"/>
    <cellStyle name="Normal 2" xfId="3" xr:uid="{00000000-0005-0000-0000-000002000000}"/>
    <cellStyle name="Percent" xfId="1" builtinId="5"/>
  </cellStyles>
  <dxfs count="101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  <border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darkGray"/>
      </fill>
    </dxf>
    <dxf>
      <font>
        <color theme="0"/>
      </font>
      <fill>
        <patternFill>
          <bgColor theme="0"/>
        </patternFill>
      </fill>
      <border>
        <vertical/>
        <horizontal/>
      </border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strike val="0"/>
        <color theme="0" tint="-4.9989318521683403E-2"/>
      </font>
      <fill>
        <patternFill patternType="solid">
          <bgColor rgb="FFA5CDA7"/>
        </patternFill>
      </fill>
    </dxf>
    <dxf>
      <font>
        <color theme="1" tint="0.499984740745262"/>
      </font>
      <fill>
        <patternFill>
          <fgColor theme="5" tint="0.39994506668294322"/>
          <bgColor rgb="FFFFC7CE"/>
        </patternFill>
      </fill>
    </dxf>
    <dxf>
      <font>
        <color theme="1" tint="0.14996795556505021"/>
      </font>
      <fill>
        <patternFill>
          <bgColor theme="5" tint="0.79998168889431442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Medium9"/>
  <colors>
    <mruColors>
      <color rgb="FF34797C"/>
      <color rgb="FF308060"/>
      <color rgb="FF2D8B6E"/>
      <color rgb="FFFEF6F0"/>
      <color rgb="FFF99B3D"/>
      <color rgb="FFF8F8F8"/>
      <color rgb="FFFBFBFB"/>
      <color rgb="FFEAEAEA"/>
      <color rgb="FFF89028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Z$14" lockText="1" noThreeD="1"/>
</file>

<file path=xl/ctrlProps/ctrlProp2.xml><?xml version="1.0" encoding="utf-8"?>
<formControlPr xmlns="http://schemas.microsoft.com/office/spreadsheetml/2009/9/main" objectType="CheckBox" checked="Checked" fmlaLink="$Z$15" lockText="1" noThreeD="1"/>
</file>

<file path=xl/ctrlProps/ctrlProp3.xml><?xml version="1.0" encoding="utf-8"?>
<formControlPr xmlns="http://schemas.microsoft.com/office/spreadsheetml/2009/9/main" objectType="CheckBox" checked="Checked" fmlaLink="$Z$16" lockText="1" noThreeD="1"/>
</file>

<file path=xl/ctrlProps/ctrlProp4.xml><?xml version="1.0" encoding="utf-8"?>
<formControlPr xmlns="http://schemas.microsoft.com/office/spreadsheetml/2009/9/main" objectType="CheckBox" checked="Checked" fmlaLink="$Z$17" lockText="1" noThreeD="1"/>
</file>

<file path=xl/ctrlProps/ctrlProp5.xml><?xml version="1.0" encoding="utf-8"?>
<formControlPr xmlns="http://schemas.microsoft.com/office/spreadsheetml/2009/9/main" objectType="CheckBox" checked="Checked" fmlaLink="$Z$18" lockText="1" noThreeD="1"/>
</file>

<file path=xl/ctrlProps/ctrlProp6.xml><?xml version="1.0" encoding="utf-8"?>
<formControlPr xmlns="http://schemas.microsoft.com/office/spreadsheetml/2009/9/main" objectType="CheckBox" checked="Checked" fmlaLink="$Z$19" lockText="1" noThreeD="1"/>
</file>

<file path=xl/ctrlProps/ctrlProp7.xml><?xml version="1.0" encoding="utf-8"?>
<formControlPr xmlns="http://schemas.microsoft.com/office/spreadsheetml/2009/9/main" objectType="CheckBox" checked="Checked" fmlaLink="$Z$20" lockText="1" noThreeD="1"/>
</file>

<file path=xl/ctrlProps/ctrlProp8.xml><?xml version="1.0" encoding="utf-8"?>
<formControlPr xmlns="http://schemas.microsoft.com/office/spreadsheetml/2009/9/main" objectType="CheckBox" checked="Checked" fmlaLink="$Z$21" lockText="1" noThreeD="1"/>
</file>

<file path=xl/ctrlProps/ctrlProp9.xml><?xml version="1.0" encoding="utf-8"?>
<formControlPr xmlns="http://schemas.microsoft.com/office/spreadsheetml/2009/9/main" objectType="CheckBox" checked="Checked" fmlaLink="$Z$22" lockText="1" noThreeD="1"/>
</file>

<file path=xl/ctrlProps/ctrlProp10.xml><?xml version="1.0" encoding="utf-8"?>
<formControlPr xmlns="http://schemas.microsoft.com/office/spreadsheetml/2009/9/main" objectType="CheckBox" checked="Checked" fmlaLink="$Z$23" lockText="1" noThreeD="1"/>
</file>

<file path=xl/ctrlProps/ctrlProp11.xml><?xml version="1.0" encoding="utf-8"?>
<formControlPr xmlns="http://schemas.microsoft.com/office/spreadsheetml/2009/9/main" objectType="CheckBox" checked="Checked" fmlaLink="$Z$24" lockText="1" noThreeD="1"/>
</file>

<file path=xl/ctrlProps/ctrlProp12.xml><?xml version="1.0" encoding="utf-8"?>
<formControlPr xmlns="http://schemas.microsoft.com/office/spreadsheetml/2009/9/main" objectType="CheckBox" checked="Checked" fmlaLink="$Z$25" lockText="1" noThreeD="1"/>
</file>

<file path=xl/ctrlProps/ctrlProp13.xml><?xml version="1.0" encoding="utf-8"?>
<formControlPr xmlns="http://schemas.microsoft.com/office/spreadsheetml/2009/9/main" objectType="CheckBox" checked="Checked" fmlaLink="$Z$26" lockText="1" noThreeD="1"/>
</file>

<file path=xl/ctrlProps/ctrlProp14.xml><?xml version="1.0" encoding="utf-8"?>
<formControlPr xmlns="http://schemas.microsoft.com/office/spreadsheetml/2009/9/main" objectType="CheckBox" checked="Checked" fmlaLink="$Z$27" lockText="1" noThreeD="1"/>
</file>

<file path=xl/ctrlProps/ctrlProp15.xml><?xml version="1.0" encoding="utf-8"?>
<formControlPr xmlns="http://schemas.microsoft.com/office/spreadsheetml/2009/9/main" objectType="CheckBox" checked="Checked" fmlaLink="$Z$28" lockText="1" noThreeD="1"/>
</file>

<file path=xl/ctrlProps/ctrlProp16.xml><?xml version="1.0" encoding="utf-8"?>
<formControlPr xmlns="http://schemas.microsoft.com/office/spreadsheetml/2009/9/main" objectType="CheckBox" checked="Checked" fmlaLink="$Z$29" lockText="1" noThreeD="1"/>
</file>

<file path=xl/ctrlProps/ctrlProp17.xml><?xml version="1.0" encoding="utf-8"?>
<formControlPr xmlns="http://schemas.microsoft.com/office/spreadsheetml/2009/9/main" objectType="CheckBox" checked="Checked" fmlaLink="$Z$30" lockText="1" noThreeD="1"/>
</file>

<file path=xl/ctrlProps/ctrlProp18.xml><?xml version="1.0" encoding="utf-8"?>
<formControlPr xmlns="http://schemas.microsoft.com/office/spreadsheetml/2009/9/main" objectType="CheckBox" checked="Checked" fmlaLink="$Z$31" lockText="1" noThreeD="1"/>
</file>

<file path=xl/ctrlProps/ctrlProp19.xml><?xml version="1.0" encoding="utf-8"?>
<formControlPr xmlns="http://schemas.microsoft.com/office/spreadsheetml/2009/9/main" objectType="CheckBox" checked="Checked" fmlaLink="$Z$32" lockText="1" noThreeD="1"/>
</file>

<file path=xl/ctrlProps/ctrlProp20.xml><?xml version="1.0" encoding="utf-8"?>
<formControlPr xmlns="http://schemas.microsoft.com/office/spreadsheetml/2009/9/main" objectType="CheckBox" checked="Checked" fmlaLink="$Z$33" lockText="1" noThreeD="1"/>
</file>

<file path=xl/ctrlProps/ctrlProp21.xml><?xml version="1.0" encoding="utf-8"?>
<formControlPr xmlns="http://schemas.microsoft.com/office/spreadsheetml/2009/9/main" objectType="CheckBox" checked="Checked" fmlaLink="$Z$34" lockText="1" noThreeD="1"/>
</file>

<file path=xl/ctrlProps/ctrlProp22.xml><?xml version="1.0" encoding="utf-8"?>
<formControlPr xmlns="http://schemas.microsoft.com/office/spreadsheetml/2009/9/main" objectType="CheckBox" checked="Checked" fmlaLink="$Z$35" lockText="1" noThreeD="1"/>
</file>

<file path=xl/ctrlProps/ctrlProp23.xml><?xml version="1.0" encoding="utf-8"?>
<formControlPr xmlns="http://schemas.microsoft.com/office/spreadsheetml/2009/9/main" objectType="CheckBox" checked="Checked" fmlaLink="$Z$36" lockText="1" noThreeD="1"/>
</file>

<file path=xl/ctrlProps/ctrlProp24.xml><?xml version="1.0" encoding="utf-8"?>
<formControlPr xmlns="http://schemas.microsoft.com/office/spreadsheetml/2009/9/main" objectType="CheckBox" checked="Checked" fmlaLink="$Z$37" lockText="1" noThreeD="1"/>
</file>

<file path=xl/ctrlProps/ctrlProp25.xml><?xml version="1.0" encoding="utf-8"?>
<formControlPr xmlns="http://schemas.microsoft.com/office/spreadsheetml/2009/9/main" objectType="CheckBox" checked="Checked" fmlaLink="$Z$38" lockText="1" noThreeD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60960</xdr:colOff>
          <xdr:row>13</xdr:row>
          <xdr:rowOff>60960</xdr:rowOff>
        </xdr:from>
        <xdr:to>
          <xdr:col>24</xdr:col>
          <xdr:colOff>251460</xdr:colOff>
          <xdr:row>13</xdr:row>
          <xdr:rowOff>297180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14</xdr:row>
          <xdr:rowOff>38100</xdr:rowOff>
        </xdr:from>
        <xdr:to>
          <xdr:col>24</xdr:col>
          <xdr:colOff>259080</xdr:colOff>
          <xdr:row>14</xdr:row>
          <xdr:rowOff>274320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15</xdr:row>
          <xdr:rowOff>38100</xdr:rowOff>
        </xdr:from>
        <xdr:to>
          <xdr:col>24</xdr:col>
          <xdr:colOff>259080</xdr:colOff>
          <xdr:row>15</xdr:row>
          <xdr:rowOff>274320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16</xdr:row>
          <xdr:rowOff>30480</xdr:rowOff>
        </xdr:from>
        <xdr:to>
          <xdr:col>24</xdr:col>
          <xdr:colOff>259080</xdr:colOff>
          <xdr:row>16</xdr:row>
          <xdr:rowOff>259080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17</xdr:row>
          <xdr:rowOff>45720</xdr:rowOff>
        </xdr:from>
        <xdr:to>
          <xdr:col>24</xdr:col>
          <xdr:colOff>259080</xdr:colOff>
          <xdr:row>17</xdr:row>
          <xdr:rowOff>274320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18</xdr:row>
          <xdr:rowOff>38100</xdr:rowOff>
        </xdr:from>
        <xdr:to>
          <xdr:col>24</xdr:col>
          <xdr:colOff>259080</xdr:colOff>
          <xdr:row>18</xdr:row>
          <xdr:rowOff>274320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60960</xdr:colOff>
          <xdr:row>19</xdr:row>
          <xdr:rowOff>38100</xdr:rowOff>
        </xdr:from>
        <xdr:to>
          <xdr:col>24</xdr:col>
          <xdr:colOff>251460</xdr:colOff>
          <xdr:row>19</xdr:row>
          <xdr:rowOff>274320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20</xdr:row>
          <xdr:rowOff>22860</xdr:rowOff>
        </xdr:from>
        <xdr:to>
          <xdr:col>24</xdr:col>
          <xdr:colOff>228600</xdr:colOff>
          <xdr:row>20</xdr:row>
          <xdr:rowOff>251460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21</xdr:row>
          <xdr:rowOff>38100</xdr:rowOff>
        </xdr:from>
        <xdr:to>
          <xdr:col>24</xdr:col>
          <xdr:colOff>228600</xdr:colOff>
          <xdr:row>21</xdr:row>
          <xdr:rowOff>274320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45720</xdr:colOff>
          <xdr:row>22</xdr:row>
          <xdr:rowOff>38100</xdr:rowOff>
        </xdr:from>
        <xdr:to>
          <xdr:col>24</xdr:col>
          <xdr:colOff>251460</xdr:colOff>
          <xdr:row>22</xdr:row>
          <xdr:rowOff>274320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45720</xdr:colOff>
          <xdr:row>23</xdr:row>
          <xdr:rowOff>38100</xdr:rowOff>
        </xdr:from>
        <xdr:to>
          <xdr:col>24</xdr:col>
          <xdr:colOff>251460</xdr:colOff>
          <xdr:row>23</xdr:row>
          <xdr:rowOff>274320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24</xdr:row>
          <xdr:rowOff>38100</xdr:rowOff>
        </xdr:from>
        <xdr:to>
          <xdr:col>24</xdr:col>
          <xdr:colOff>228600</xdr:colOff>
          <xdr:row>24</xdr:row>
          <xdr:rowOff>274320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45720</xdr:colOff>
          <xdr:row>25</xdr:row>
          <xdr:rowOff>38100</xdr:rowOff>
        </xdr:from>
        <xdr:to>
          <xdr:col>24</xdr:col>
          <xdr:colOff>251460</xdr:colOff>
          <xdr:row>25</xdr:row>
          <xdr:rowOff>274320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26</xdr:row>
          <xdr:rowOff>45720</xdr:rowOff>
        </xdr:from>
        <xdr:to>
          <xdr:col>24</xdr:col>
          <xdr:colOff>259080</xdr:colOff>
          <xdr:row>26</xdr:row>
          <xdr:rowOff>274320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60960</xdr:colOff>
          <xdr:row>27</xdr:row>
          <xdr:rowOff>38100</xdr:rowOff>
        </xdr:from>
        <xdr:to>
          <xdr:col>24</xdr:col>
          <xdr:colOff>251460</xdr:colOff>
          <xdr:row>27</xdr:row>
          <xdr:rowOff>274320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28</xdr:row>
          <xdr:rowOff>22860</xdr:rowOff>
        </xdr:from>
        <xdr:to>
          <xdr:col>24</xdr:col>
          <xdr:colOff>259080</xdr:colOff>
          <xdr:row>28</xdr:row>
          <xdr:rowOff>251460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29</xdr:row>
          <xdr:rowOff>60960</xdr:rowOff>
        </xdr:from>
        <xdr:to>
          <xdr:col>24</xdr:col>
          <xdr:colOff>259080</xdr:colOff>
          <xdr:row>29</xdr:row>
          <xdr:rowOff>289560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30</xdr:row>
          <xdr:rowOff>38100</xdr:rowOff>
        </xdr:from>
        <xdr:to>
          <xdr:col>24</xdr:col>
          <xdr:colOff>259080</xdr:colOff>
          <xdr:row>30</xdr:row>
          <xdr:rowOff>274320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60960</xdr:colOff>
          <xdr:row>31</xdr:row>
          <xdr:rowOff>45720</xdr:rowOff>
        </xdr:from>
        <xdr:to>
          <xdr:col>24</xdr:col>
          <xdr:colOff>251460</xdr:colOff>
          <xdr:row>31</xdr:row>
          <xdr:rowOff>274320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60960</xdr:colOff>
          <xdr:row>32</xdr:row>
          <xdr:rowOff>30480</xdr:rowOff>
        </xdr:from>
        <xdr:to>
          <xdr:col>24</xdr:col>
          <xdr:colOff>251460</xdr:colOff>
          <xdr:row>32</xdr:row>
          <xdr:rowOff>259080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33</xdr:row>
          <xdr:rowOff>22860</xdr:rowOff>
        </xdr:from>
        <xdr:to>
          <xdr:col>24</xdr:col>
          <xdr:colOff>259080</xdr:colOff>
          <xdr:row>33</xdr:row>
          <xdr:rowOff>251460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34</xdr:row>
          <xdr:rowOff>30480</xdr:rowOff>
        </xdr:from>
        <xdr:to>
          <xdr:col>24</xdr:col>
          <xdr:colOff>259080</xdr:colOff>
          <xdr:row>34</xdr:row>
          <xdr:rowOff>259080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60960</xdr:colOff>
          <xdr:row>35</xdr:row>
          <xdr:rowOff>45720</xdr:rowOff>
        </xdr:from>
        <xdr:to>
          <xdr:col>24</xdr:col>
          <xdr:colOff>251460</xdr:colOff>
          <xdr:row>35</xdr:row>
          <xdr:rowOff>274320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36</xdr:row>
          <xdr:rowOff>38100</xdr:rowOff>
        </xdr:from>
        <xdr:to>
          <xdr:col>24</xdr:col>
          <xdr:colOff>259080</xdr:colOff>
          <xdr:row>36</xdr:row>
          <xdr:rowOff>274320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68580</xdr:colOff>
          <xdr:row>37</xdr:row>
          <xdr:rowOff>38100</xdr:rowOff>
        </xdr:from>
        <xdr:to>
          <xdr:col>24</xdr:col>
          <xdr:colOff>259080</xdr:colOff>
          <xdr:row>37</xdr:row>
          <xdr:rowOff>274320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r" rtl="0">
                <a:defRPr sz="1000"/>
              </a:pPr>
              <a:endParaRPr lang="en-US"/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199158</xdr:colOff>
      <xdr:row>4</xdr:row>
      <xdr:rowOff>17319</xdr:rowOff>
    </xdr:from>
    <xdr:to>
      <xdr:col>13</xdr:col>
      <xdr:colOff>901989</xdr:colOff>
      <xdr:row>5</xdr:row>
      <xdr:rowOff>286789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8606011" y="95251"/>
          <a:ext cx="1257013" cy="701385"/>
        </a:xfrm>
        <a:prstGeom prst="rect">
          <a:avLst/>
        </a:prstGeom>
      </xdr:spPr>
    </xdr:pic>
    <xdr:clientData/>
  </xdr:twoCellAnchor>
  <xdr:twoCellAnchor editAs="oneCell">
    <xdr:from>
      <xdr:col>1</xdr:col>
      <xdr:colOff>62057</xdr:colOff>
      <xdr:row>4</xdr:row>
      <xdr:rowOff>17319</xdr:rowOff>
    </xdr:from>
    <xdr:to>
      <xdr:col>2</xdr:col>
      <xdr:colOff>783072</xdr:colOff>
      <xdr:row>5</xdr:row>
      <xdr:rowOff>286789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9887362" y="95251"/>
          <a:ext cx="1257013" cy="701385"/>
        </a:xfrm>
        <a:prstGeom prst="rect">
          <a:avLst/>
        </a:prstGeom>
      </xdr:spPr>
    </xdr:pic>
    <xdr:clientData/>
  </xdr:twoCellAnchor>
  <xdr:twoCellAnchor>
    <xdr:from>
      <xdr:col>1</xdr:col>
      <xdr:colOff>271029</xdr:colOff>
      <xdr:row>85</xdr:row>
      <xdr:rowOff>147206</xdr:rowOff>
    </xdr:from>
    <xdr:to>
      <xdr:col>3</xdr:col>
      <xdr:colOff>97848</xdr:colOff>
      <xdr:row>86</xdr:row>
      <xdr:rowOff>424719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647BA457-452F-6A27-70CE-AD2C63E44F3D}"/>
            </a:ext>
          </a:extLst>
        </xdr:cNvPr>
        <xdr:cNvGrpSpPr/>
      </xdr:nvGrpSpPr>
      <xdr:grpSpPr>
        <a:xfrm>
          <a:off x="10165014809" y="19121006"/>
          <a:ext cx="2450276" cy="462570"/>
          <a:chOff x="9787509000" y="18556433"/>
          <a:chExt cx="2199410" cy="468013"/>
        </a:xfrm>
      </xdr:grpSpPr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 flipH="1" flipV="1">
            <a:off x="9787509000" y="19024022"/>
            <a:ext cx="219941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FFF03215-9CAB-6C1E-36E0-50291AFF4965}"/>
              </a:ext>
            </a:extLst>
          </xdr:cNvPr>
          <xdr:cNvSpPr txBox="1"/>
        </xdr:nvSpPr>
        <xdr:spPr>
          <a:xfrm>
            <a:off x="9787621783" y="18556433"/>
            <a:ext cx="1996572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 rtl="1"/>
            <a:r>
              <a:rPr lang="ar-EG" sz="2400" b="1"/>
              <a:t>إدارة قسم</a:t>
            </a:r>
            <a:r>
              <a:rPr lang="ar-EG" sz="2400" b="1" baseline="0"/>
              <a:t> التصنيع</a:t>
            </a:r>
            <a:endParaRPr lang="en-US" sz="2400" b="1"/>
          </a:p>
        </xdr:txBody>
      </xdr:sp>
    </xdr:grpSp>
    <xdr:clientData/>
  </xdr:twoCellAnchor>
  <xdr:twoCellAnchor>
    <xdr:from>
      <xdr:col>10</xdr:col>
      <xdr:colOff>865909</xdr:colOff>
      <xdr:row>85</xdr:row>
      <xdr:rowOff>147206</xdr:rowOff>
    </xdr:from>
    <xdr:to>
      <xdr:col>13</xdr:col>
      <xdr:colOff>606137</xdr:colOff>
      <xdr:row>86</xdr:row>
      <xdr:rowOff>424719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60E8C969-92D1-4412-BD4D-824FC0F939C1}"/>
            </a:ext>
          </a:extLst>
        </xdr:cNvPr>
        <xdr:cNvGrpSpPr/>
      </xdr:nvGrpSpPr>
      <xdr:grpSpPr>
        <a:xfrm>
          <a:off x="10154284834" y="19121006"/>
          <a:ext cx="2505200" cy="462570"/>
          <a:chOff x="9787509000" y="18556433"/>
          <a:chExt cx="2199410" cy="468013"/>
        </a:xfrm>
      </xdr:grpSpPr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113D283E-47EE-8C90-303A-8CEB011970CA}"/>
              </a:ext>
            </a:extLst>
          </xdr:cNvPr>
          <xdr:cNvCxnSpPr/>
        </xdr:nvCxnSpPr>
        <xdr:spPr>
          <a:xfrm flipH="1" flipV="1">
            <a:off x="9787509000" y="19024022"/>
            <a:ext cx="219941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6F5E2940-5864-E7F5-DB66-E0CA7B600B46}"/>
              </a:ext>
            </a:extLst>
          </xdr:cNvPr>
          <xdr:cNvSpPr txBox="1"/>
        </xdr:nvSpPr>
        <xdr:spPr>
          <a:xfrm>
            <a:off x="9787802540" y="18556433"/>
            <a:ext cx="1635063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 rtl="1"/>
            <a:r>
              <a:rPr lang="ar-EG" sz="2400" b="1"/>
              <a:t>مسؤول الإنتاج</a:t>
            </a:r>
            <a:endParaRPr lang="en-US" sz="2400" b="1"/>
          </a:p>
        </xdr:txBody>
      </xdr:sp>
    </xdr:grpSp>
    <xdr:clientData/>
  </xdr:twoCellAnchor>
  <xdr:twoCellAnchor>
    <xdr:from>
      <xdr:col>4</xdr:col>
      <xdr:colOff>43417</xdr:colOff>
      <xdr:row>85</xdr:row>
      <xdr:rowOff>147208</xdr:rowOff>
    </xdr:from>
    <xdr:to>
      <xdr:col>5</xdr:col>
      <xdr:colOff>1056779</xdr:colOff>
      <xdr:row>86</xdr:row>
      <xdr:rowOff>430164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DF5C5C2D-3CCA-4039-AE57-CBB4E8654449}"/>
            </a:ext>
          </a:extLst>
        </xdr:cNvPr>
        <xdr:cNvGrpSpPr/>
      </xdr:nvGrpSpPr>
      <xdr:grpSpPr>
        <a:xfrm>
          <a:off x="10161432421" y="19121008"/>
          <a:ext cx="2450276" cy="468013"/>
          <a:chOff x="9787509000" y="18556433"/>
          <a:chExt cx="2199410" cy="473520"/>
        </a:xfrm>
      </xdr:grpSpPr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A275A69A-2903-DF33-F9B4-E029215E53C7}"/>
              </a:ext>
            </a:extLst>
          </xdr:cNvPr>
          <xdr:cNvCxnSpPr/>
        </xdr:nvCxnSpPr>
        <xdr:spPr>
          <a:xfrm flipH="1" flipV="1">
            <a:off x="9787509000" y="19024022"/>
            <a:ext cx="219941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953268D1-6DD8-F137-0FA2-5F4C7CBD23D2}"/>
              </a:ext>
            </a:extLst>
          </xdr:cNvPr>
          <xdr:cNvSpPr txBox="1"/>
        </xdr:nvSpPr>
        <xdr:spPr>
          <a:xfrm>
            <a:off x="9787796203" y="18556433"/>
            <a:ext cx="1616960" cy="4735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 rtl="1"/>
            <a:r>
              <a:rPr lang="ar-EG" sz="2400" b="1"/>
              <a:t>مسؤول المخازن</a:t>
            </a:r>
            <a:endParaRPr lang="en-US" sz="2400" b="1"/>
          </a:p>
        </xdr:txBody>
      </xdr:sp>
    </xdr:grpSp>
    <xdr:clientData/>
  </xdr:twoCellAnchor>
  <xdr:twoCellAnchor>
    <xdr:from>
      <xdr:col>6</xdr:col>
      <xdr:colOff>817297</xdr:colOff>
      <xdr:row>85</xdr:row>
      <xdr:rowOff>147208</xdr:rowOff>
    </xdr:from>
    <xdr:to>
      <xdr:col>9</xdr:col>
      <xdr:colOff>1057773</xdr:colOff>
      <xdr:row>86</xdr:row>
      <xdr:rowOff>430164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48D9564-C41A-4324-80D1-A0CC6F1A5614}"/>
            </a:ext>
          </a:extLst>
        </xdr:cNvPr>
        <xdr:cNvGrpSpPr/>
      </xdr:nvGrpSpPr>
      <xdr:grpSpPr>
        <a:xfrm>
          <a:off x="10157784712" y="19121008"/>
          <a:ext cx="2450276" cy="468013"/>
          <a:chOff x="9787509000" y="18556433"/>
          <a:chExt cx="2199410" cy="473520"/>
        </a:xfrm>
      </xdr:grpSpPr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D609164B-AE85-6443-C21A-FAC28FD825C9}"/>
              </a:ext>
            </a:extLst>
          </xdr:cNvPr>
          <xdr:cNvCxnSpPr/>
        </xdr:nvCxnSpPr>
        <xdr:spPr>
          <a:xfrm flipH="1" flipV="1">
            <a:off x="9787509000" y="19024022"/>
            <a:ext cx="219941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EA072116-D19C-AFA8-700C-DA13694626FF}"/>
              </a:ext>
            </a:extLst>
          </xdr:cNvPr>
          <xdr:cNvSpPr txBox="1"/>
        </xdr:nvSpPr>
        <xdr:spPr>
          <a:xfrm>
            <a:off x="9787921827" y="18556433"/>
            <a:ext cx="1374077" cy="4735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 rtl="1"/>
            <a:r>
              <a:rPr lang="ar-EG" sz="2400" b="1"/>
              <a:t>فني التركيبات</a:t>
            </a:r>
            <a:endParaRPr lang="en-US" sz="24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199158</xdr:colOff>
      <xdr:row>4</xdr:row>
      <xdr:rowOff>17319</xdr:rowOff>
    </xdr:from>
    <xdr:to>
      <xdr:col>13</xdr:col>
      <xdr:colOff>901989</xdr:colOff>
      <xdr:row>5</xdr:row>
      <xdr:rowOff>286789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89A5B5-A45A-4591-B270-3F7062497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0543391" y="85899"/>
          <a:ext cx="1274331" cy="688570"/>
        </a:xfrm>
        <a:prstGeom prst="rect">
          <a:avLst/>
        </a:prstGeom>
      </xdr:spPr>
    </xdr:pic>
    <xdr:clientData/>
  </xdr:twoCellAnchor>
  <xdr:twoCellAnchor editAs="oneCell">
    <xdr:from>
      <xdr:col>1</xdr:col>
      <xdr:colOff>62057</xdr:colOff>
      <xdr:row>4</xdr:row>
      <xdr:rowOff>17319</xdr:rowOff>
    </xdr:from>
    <xdr:to>
      <xdr:col>2</xdr:col>
      <xdr:colOff>783072</xdr:colOff>
      <xdr:row>5</xdr:row>
      <xdr:rowOff>286789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7C1E05-E4A3-4D9B-B236-C11D2CED6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2976228" y="85899"/>
          <a:ext cx="1269655" cy="688570"/>
        </a:xfrm>
        <a:prstGeom prst="rect">
          <a:avLst/>
        </a:prstGeom>
      </xdr:spPr>
    </xdr:pic>
    <xdr:clientData/>
  </xdr:twoCellAnchor>
  <xdr:twoCellAnchor>
    <xdr:from>
      <xdr:col>1</xdr:col>
      <xdr:colOff>271029</xdr:colOff>
      <xdr:row>85</xdr:row>
      <xdr:rowOff>147206</xdr:rowOff>
    </xdr:from>
    <xdr:to>
      <xdr:col>3</xdr:col>
      <xdr:colOff>97848</xdr:colOff>
      <xdr:row>86</xdr:row>
      <xdr:rowOff>424719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7C2A584-6E8F-4736-9C17-DF528F379DAF}"/>
            </a:ext>
          </a:extLst>
        </xdr:cNvPr>
        <xdr:cNvGrpSpPr/>
      </xdr:nvGrpSpPr>
      <xdr:grpSpPr>
        <a:xfrm>
          <a:off x="10167126638" y="19121006"/>
          <a:ext cx="2450276" cy="462570"/>
          <a:chOff x="9787509000" y="18556433"/>
          <a:chExt cx="2199410" cy="468013"/>
        </a:xfrm>
      </xdr:grpSpPr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5C9EDEA8-9A07-48B9-417E-B5ED69B4285F}"/>
              </a:ext>
            </a:extLst>
          </xdr:cNvPr>
          <xdr:cNvCxnSpPr/>
        </xdr:nvCxnSpPr>
        <xdr:spPr>
          <a:xfrm flipH="1" flipV="1">
            <a:off x="9787509000" y="19024022"/>
            <a:ext cx="219941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FB2B9F3F-E763-5156-2AA4-5FB6A8740E69}"/>
              </a:ext>
            </a:extLst>
          </xdr:cNvPr>
          <xdr:cNvSpPr txBox="1"/>
        </xdr:nvSpPr>
        <xdr:spPr>
          <a:xfrm>
            <a:off x="9787621783" y="18556433"/>
            <a:ext cx="1996572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 rtl="1"/>
            <a:r>
              <a:rPr lang="ar-EG" sz="2400" b="1"/>
              <a:t>إدارة قسم</a:t>
            </a:r>
            <a:r>
              <a:rPr lang="ar-EG" sz="2400" b="1" baseline="0"/>
              <a:t> التصنيع</a:t>
            </a:r>
            <a:endParaRPr lang="en-US" sz="2400" b="1"/>
          </a:p>
        </xdr:txBody>
      </xdr:sp>
    </xdr:grpSp>
    <xdr:clientData/>
  </xdr:twoCellAnchor>
  <xdr:twoCellAnchor>
    <xdr:from>
      <xdr:col>10</xdr:col>
      <xdr:colOff>865909</xdr:colOff>
      <xdr:row>85</xdr:row>
      <xdr:rowOff>147206</xdr:rowOff>
    </xdr:from>
    <xdr:to>
      <xdr:col>13</xdr:col>
      <xdr:colOff>606137</xdr:colOff>
      <xdr:row>86</xdr:row>
      <xdr:rowOff>424719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4DBBF113-9FC3-4A0D-8195-A86B10BDE0A8}"/>
            </a:ext>
          </a:extLst>
        </xdr:cNvPr>
        <xdr:cNvGrpSpPr/>
      </xdr:nvGrpSpPr>
      <xdr:grpSpPr>
        <a:xfrm>
          <a:off x="10156396663" y="19121006"/>
          <a:ext cx="2505200" cy="462570"/>
          <a:chOff x="9787509000" y="18556433"/>
          <a:chExt cx="2199410" cy="468013"/>
        </a:xfrm>
      </xdr:grpSpPr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12A53C67-BE0E-D550-D1DF-3E2B3E230213}"/>
              </a:ext>
            </a:extLst>
          </xdr:cNvPr>
          <xdr:cNvCxnSpPr/>
        </xdr:nvCxnSpPr>
        <xdr:spPr>
          <a:xfrm flipH="1" flipV="1">
            <a:off x="9787509000" y="19024022"/>
            <a:ext cx="219941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30B77451-4B3C-05F2-246D-B0D2A13379C6}"/>
              </a:ext>
            </a:extLst>
          </xdr:cNvPr>
          <xdr:cNvSpPr txBox="1"/>
        </xdr:nvSpPr>
        <xdr:spPr>
          <a:xfrm>
            <a:off x="9787802540" y="18556433"/>
            <a:ext cx="1635063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 rtl="1"/>
            <a:r>
              <a:rPr lang="ar-EG" sz="2400" b="1"/>
              <a:t>مسؤول الإنتاج</a:t>
            </a:r>
            <a:endParaRPr lang="en-US" sz="2400" b="1"/>
          </a:p>
        </xdr:txBody>
      </xdr:sp>
    </xdr:grpSp>
    <xdr:clientData/>
  </xdr:twoCellAnchor>
  <xdr:twoCellAnchor>
    <xdr:from>
      <xdr:col>4</xdr:col>
      <xdr:colOff>43417</xdr:colOff>
      <xdr:row>85</xdr:row>
      <xdr:rowOff>147208</xdr:rowOff>
    </xdr:from>
    <xdr:to>
      <xdr:col>5</xdr:col>
      <xdr:colOff>1056779</xdr:colOff>
      <xdr:row>86</xdr:row>
      <xdr:rowOff>430164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8E8FFAC-E6AB-4CEA-BBB9-97C516F0F3F4}"/>
            </a:ext>
          </a:extLst>
        </xdr:cNvPr>
        <xdr:cNvGrpSpPr/>
      </xdr:nvGrpSpPr>
      <xdr:grpSpPr>
        <a:xfrm>
          <a:off x="10163544250" y="19121008"/>
          <a:ext cx="2450276" cy="468013"/>
          <a:chOff x="9787509000" y="18556433"/>
          <a:chExt cx="2199410" cy="473520"/>
        </a:xfrm>
      </xdr:grpSpPr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F6C96F48-97AF-9EE5-D33C-78C9348BDFA2}"/>
              </a:ext>
            </a:extLst>
          </xdr:cNvPr>
          <xdr:cNvCxnSpPr/>
        </xdr:nvCxnSpPr>
        <xdr:spPr>
          <a:xfrm flipH="1" flipV="1">
            <a:off x="9787509000" y="19024022"/>
            <a:ext cx="219941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652341B0-72D7-DFA1-4EB4-184ABE730B8D}"/>
              </a:ext>
            </a:extLst>
          </xdr:cNvPr>
          <xdr:cNvSpPr txBox="1"/>
        </xdr:nvSpPr>
        <xdr:spPr>
          <a:xfrm>
            <a:off x="9787796203" y="18556433"/>
            <a:ext cx="1616960" cy="4735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 rtl="1"/>
            <a:r>
              <a:rPr lang="ar-EG" sz="2400" b="1"/>
              <a:t>مسؤول المخازن</a:t>
            </a:r>
            <a:endParaRPr lang="en-US" sz="2400" b="1"/>
          </a:p>
        </xdr:txBody>
      </xdr:sp>
    </xdr:grpSp>
    <xdr:clientData/>
  </xdr:twoCellAnchor>
  <xdr:twoCellAnchor>
    <xdr:from>
      <xdr:col>6</xdr:col>
      <xdr:colOff>817297</xdr:colOff>
      <xdr:row>85</xdr:row>
      <xdr:rowOff>147208</xdr:rowOff>
    </xdr:from>
    <xdr:to>
      <xdr:col>9</xdr:col>
      <xdr:colOff>1057773</xdr:colOff>
      <xdr:row>86</xdr:row>
      <xdr:rowOff>430164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E13236A-B47F-4C5E-B295-E4FEDA183162}"/>
            </a:ext>
          </a:extLst>
        </xdr:cNvPr>
        <xdr:cNvGrpSpPr/>
      </xdr:nvGrpSpPr>
      <xdr:grpSpPr>
        <a:xfrm>
          <a:off x="10159896541" y="19121008"/>
          <a:ext cx="2450276" cy="468013"/>
          <a:chOff x="9787509000" y="18556433"/>
          <a:chExt cx="2199410" cy="473520"/>
        </a:xfrm>
      </xdr:grpSpPr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7844AAAD-436E-A684-3170-CDD52244E62C}"/>
              </a:ext>
            </a:extLst>
          </xdr:cNvPr>
          <xdr:cNvCxnSpPr/>
        </xdr:nvCxnSpPr>
        <xdr:spPr>
          <a:xfrm flipH="1" flipV="1">
            <a:off x="9787509000" y="19024022"/>
            <a:ext cx="219941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6FFF18AE-20C7-0A80-E1D2-EA3AFD1FF955}"/>
              </a:ext>
            </a:extLst>
          </xdr:cNvPr>
          <xdr:cNvSpPr txBox="1"/>
        </xdr:nvSpPr>
        <xdr:spPr>
          <a:xfrm>
            <a:off x="9787921827" y="18556433"/>
            <a:ext cx="1374077" cy="47352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r" rtl="1"/>
            <a:r>
              <a:rPr lang="ar-EG" sz="2400" b="1"/>
              <a:t>فني التركيبات</a:t>
            </a:r>
            <a:endParaRPr lang="en-US" sz="2400" b="1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60960</xdr:colOff>
          <xdr:row>4</xdr:row>
          <xdr:rowOff>106680</xdr:rowOff>
        </xdr:from>
        <xdr:to>
          <xdr:col>21</xdr:col>
          <xdr:colOff>289560</xdr:colOff>
          <xdr:row>6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6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1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طباعة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60960</xdr:colOff>
          <xdr:row>13</xdr:row>
          <xdr:rowOff>106680</xdr:rowOff>
        </xdr:from>
        <xdr:to>
          <xdr:col>21</xdr:col>
          <xdr:colOff>289560</xdr:colOff>
          <xdr:row>15</xdr:row>
          <xdr:rowOff>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6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1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طباعة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89028"/>
  </sheetPr>
  <dimension ref="A1:JJ399"/>
  <sheetViews>
    <sheetView showGridLines="0" rightToLeft="1" view="pageBreakPreview" topLeftCell="A3" zoomScale="85" zoomScaleNormal="85" zoomScaleSheetLayoutView="85" workbookViewId="0">
      <selection activeCell="U15" sqref="U15"/>
    </sheetView>
  </sheetViews>
  <sheetFormatPr defaultColWidth="9.109375" defaultRowHeight="15.9" customHeight="1" thickTop="1" thickBottom="1" x14ac:dyDescent="0.4"/>
  <cols>
    <col min="1" max="1" width="3.5546875" style="37" customWidth="1"/>
    <col min="2" max="2" width="8.44140625" style="257" bestFit="1" customWidth="1"/>
    <col min="3" max="3" width="5.5546875" style="37" customWidth="1"/>
    <col min="4" max="4" width="26.109375" style="37" customWidth="1"/>
    <col min="5" max="5" width="11.6640625" style="37" customWidth="1"/>
    <col min="6" max="6" width="11.33203125" style="37" customWidth="1"/>
    <col min="7" max="7" width="10.6640625" style="37" customWidth="1"/>
    <col min="8" max="8" width="7.33203125" style="37" customWidth="1"/>
    <col min="9" max="11" width="8.6640625" style="37" customWidth="1"/>
    <col min="12" max="12" width="9.5546875" style="37" customWidth="1"/>
    <col min="13" max="13" width="6.88671875" style="38" bestFit="1" customWidth="1"/>
    <col min="14" max="14" width="9.33203125" style="37" customWidth="1"/>
    <col min="15" max="15" width="8.33203125" style="37" bestFit="1" customWidth="1"/>
    <col min="16" max="16" width="7.88671875" style="37" customWidth="1"/>
    <col min="17" max="17" width="0.88671875" style="63" customWidth="1"/>
    <col min="18" max="18" width="4.44140625" style="187" customWidth="1"/>
    <col min="19" max="19" width="27.33203125" style="187" customWidth="1"/>
    <col min="20" max="20" width="17.6640625" style="187" bestFit="1" customWidth="1"/>
    <col min="21" max="21" width="18" style="187" bestFit="1" customWidth="1"/>
    <col min="22" max="22" width="8.44140625" style="187" customWidth="1"/>
    <col min="23" max="23" width="7.44140625" style="187" customWidth="1"/>
    <col min="24" max="24" width="15" style="187" customWidth="1"/>
    <col min="25" max="25" width="5.44140625" style="187" customWidth="1"/>
    <col min="26" max="26" width="7.88671875" style="187" hidden="1" customWidth="1"/>
    <col min="27" max="27" width="6.88671875" style="187" customWidth="1"/>
    <col min="28" max="28" width="64.109375" style="187" bestFit="1" customWidth="1"/>
    <col min="29" max="29" width="21.44140625" style="187" customWidth="1"/>
    <col min="30" max="31" width="12" style="187" hidden="1" customWidth="1"/>
    <col min="32" max="32" width="16.109375" style="187" hidden="1" customWidth="1"/>
    <col min="33" max="33" width="1.33203125" style="188" customWidth="1"/>
    <col min="34" max="34" width="15.5546875" style="187" customWidth="1"/>
    <col min="35" max="35" width="21.5546875" style="187" customWidth="1"/>
    <col min="36" max="36" width="1.5546875" style="63" customWidth="1"/>
    <col min="37" max="37" width="5.88671875" style="37" customWidth="1"/>
    <col min="38" max="38" width="7" style="37" customWidth="1"/>
    <col min="39" max="39" width="7.109375" style="438" customWidth="1"/>
    <col min="40" max="40" width="11" style="438" customWidth="1"/>
    <col min="41" max="41" width="6.5546875" style="438" bestFit="1" customWidth="1"/>
    <col min="42" max="42" width="6.5546875" style="438" customWidth="1"/>
    <col min="43" max="43" width="7.6640625" style="438" customWidth="1"/>
    <col min="44" max="44" width="10" style="438" customWidth="1"/>
    <col min="45" max="45" width="7.6640625" style="438" customWidth="1"/>
    <col min="46" max="46" width="5.44140625" style="438" customWidth="1"/>
    <col min="47" max="47" width="6.44140625" style="438" customWidth="1"/>
    <col min="48" max="48" width="9" style="438" customWidth="1"/>
    <col min="49" max="49" width="5.6640625" style="438" customWidth="1"/>
    <col min="50" max="50" width="6.33203125" style="438" customWidth="1"/>
    <col min="51" max="51" width="6.44140625" style="438" customWidth="1"/>
    <col min="52" max="53" width="5.44140625" style="438" customWidth="1"/>
    <col min="54" max="54" width="6.44140625" style="438" customWidth="1"/>
    <col min="55" max="55" width="7.6640625" style="438" customWidth="1"/>
    <col min="56" max="56" width="8.6640625" style="438" customWidth="1"/>
    <col min="57" max="57" width="5.5546875" style="438" customWidth="1"/>
    <col min="58" max="58" width="11.109375" style="438" customWidth="1"/>
    <col min="59" max="59" width="9.109375" style="438" customWidth="1"/>
    <col min="60" max="60" width="6.5546875" style="438" customWidth="1"/>
    <col min="61" max="63" width="7.44140625" style="438" customWidth="1"/>
    <col min="64" max="64" width="8.109375" style="438" customWidth="1"/>
    <col min="65" max="71" width="4.109375" style="438" customWidth="1"/>
    <col min="72" max="77" width="6.5546875" style="438" customWidth="1"/>
    <col min="78" max="80" width="5.6640625" style="438" customWidth="1"/>
    <col min="81" max="81" width="6.5546875" style="438" customWidth="1"/>
    <col min="82" max="82" width="6.6640625" style="438" customWidth="1"/>
    <col min="83" max="83" width="7.44140625" style="438" customWidth="1"/>
    <col min="84" max="84" width="6.33203125" style="438" customWidth="1"/>
    <col min="85" max="85" width="7.6640625" style="438" customWidth="1"/>
    <col min="86" max="86" width="14" style="438" bestFit="1" customWidth="1"/>
    <col min="87" max="87" width="13" style="438" customWidth="1"/>
    <col min="88" max="88" width="7.6640625" style="438" customWidth="1"/>
    <col min="89" max="89" width="8.5546875" style="438" customWidth="1"/>
    <col min="90" max="90" width="2.5546875" style="850" customWidth="1"/>
    <col min="91" max="91" width="8.6640625" style="438" customWidth="1"/>
    <col min="92" max="92" width="6.5546875" style="438" bestFit="1" customWidth="1"/>
    <col min="93" max="93" width="10.5546875" style="438" bestFit="1" customWidth="1"/>
    <col min="94" max="94" width="12" style="438" bestFit="1" customWidth="1"/>
    <col min="95" max="95" width="18.33203125" style="438" bestFit="1" customWidth="1"/>
    <col min="96" max="96" width="6.88671875" style="438" bestFit="1" customWidth="1"/>
    <col min="97" max="97" width="5.88671875" style="438" bestFit="1" customWidth="1"/>
    <col min="98" max="98" width="11.33203125" style="438" bestFit="1" customWidth="1"/>
    <col min="99" max="99" width="9.88671875" style="438" bestFit="1" customWidth="1"/>
    <col min="100" max="100" width="12.109375" style="438" bestFit="1" customWidth="1"/>
    <col min="101" max="101" width="11.109375" style="438" bestFit="1" customWidth="1"/>
    <col min="102" max="103" width="7.88671875" style="438" bestFit="1" customWidth="1"/>
    <col min="104" max="105" width="13.109375" style="438" bestFit="1" customWidth="1"/>
    <col min="106" max="125" width="13.109375" style="438" customWidth="1"/>
    <col min="126" max="126" width="2.109375" style="438" customWidth="1"/>
    <col min="127" max="127" width="8.88671875" style="448" customWidth="1"/>
    <col min="128" max="128" width="7.109375" style="448" bestFit="1" customWidth="1"/>
    <col min="129" max="129" width="11.5546875" style="448" bestFit="1" customWidth="1"/>
    <col min="130" max="130" width="12" style="448" bestFit="1" customWidth="1"/>
    <col min="131" max="131" width="18.33203125" style="448" bestFit="1" customWidth="1"/>
    <col min="132" max="132" width="7.6640625" style="448" bestFit="1" customWidth="1"/>
    <col min="133" max="133" width="6.5546875" style="448" bestFit="1" customWidth="1"/>
    <col min="134" max="134" width="11.33203125" style="448" bestFit="1" customWidth="1"/>
    <col min="135" max="135" width="11" style="448" bestFit="1" customWidth="1"/>
    <col min="136" max="136" width="12.109375" style="448" bestFit="1" customWidth="1"/>
    <col min="137" max="137" width="11.109375" style="448" bestFit="1" customWidth="1"/>
    <col min="138" max="139" width="9.109375" style="448" bestFit="1" customWidth="1"/>
    <col min="140" max="140" width="13.109375" style="448" bestFit="1" customWidth="1"/>
    <col min="141" max="163" width="13.109375" style="448" customWidth="1"/>
    <col min="164" max="164" width="2.5546875" style="443" customWidth="1"/>
    <col min="165" max="170" width="10.88671875" style="438" customWidth="1"/>
    <col min="171" max="175" width="11" style="438" customWidth="1"/>
    <col min="176" max="176" width="10.88671875" style="438" bestFit="1" customWidth="1"/>
    <col min="177" max="177" width="17.33203125" style="438" bestFit="1" customWidth="1"/>
    <col min="178" max="185" width="11" style="438" customWidth="1"/>
    <col min="186" max="186" width="2.33203125" style="438" customWidth="1"/>
    <col min="187" max="205" width="12.5546875" style="438" customWidth="1"/>
    <col min="206" max="206" width="2.109375" style="438" customWidth="1"/>
    <col min="207" max="217" width="10.88671875" style="438" customWidth="1"/>
    <col min="218" max="218" width="12" style="438" bestFit="1" customWidth="1"/>
    <col min="219" max="226" width="10.88671875" style="438" customWidth="1"/>
    <col min="227" max="227" width="2" style="438" customWidth="1"/>
    <col min="228" max="231" width="9.109375" style="438"/>
    <col min="232" max="232" width="15.88671875" style="438" bestFit="1" customWidth="1"/>
    <col min="233" max="238" width="9.109375" style="438"/>
    <col min="239" max="242" width="9.109375" style="37"/>
    <col min="243" max="243" width="18.6640625" style="37" customWidth="1"/>
    <col min="244" max="16384" width="9.109375" style="37"/>
  </cols>
  <sheetData>
    <row r="1" spans="2:270" ht="27" hidden="1" customHeight="1" thickTop="1" x14ac:dyDescent="0.3">
      <c r="Q1" s="9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5"/>
      <c r="AK1" s="63"/>
      <c r="AL1" s="63"/>
      <c r="BB1" s="438" t="s">
        <v>389</v>
      </c>
      <c r="DW1" s="439" t="s">
        <v>233</v>
      </c>
      <c r="DX1" s="439" t="s">
        <v>234</v>
      </c>
      <c r="DY1" s="439" t="s">
        <v>235</v>
      </c>
      <c r="DZ1" s="439" t="s">
        <v>236</v>
      </c>
      <c r="EA1" s="439" t="s">
        <v>271</v>
      </c>
      <c r="EB1" s="439" t="s">
        <v>238</v>
      </c>
      <c r="EC1" s="439" t="s">
        <v>239</v>
      </c>
      <c r="ED1" s="439" t="s">
        <v>240</v>
      </c>
      <c r="EE1" s="439" t="s">
        <v>241</v>
      </c>
      <c r="EF1" s="439" t="s">
        <v>242</v>
      </c>
      <c r="EG1" s="439" t="s">
        <v>243</v>
      </c>
      <c r="EH1" s="439" t="s">
        <v>244</v>
      </c>
      <c r="EI1" s="439" t="s">
        <v>245</v>
      </c>
      <c r="EJ1" s="439" t="s">
        <v>246</v>
      </c>
      <c r="EK1" s="440" t="s">
        <v>247</v>
      </c>
      <c r="EL1" s="572"/>
      <c r="EM1" s="572"/>
      <c r="EN1" s="572"/>
      <c r="EO1" s="572"/>
      <c r="EP1" s="572"/>
      <c r="EQ1" s="572"/>
      <c r="ER1" s="572"/>
      <c r="ES1" s="572"/>
      <c r="ET1" s="572"/>
      <c r="EU1" s="572"/>
      <c r="EV1" s="572"/>
      <c r="EW1" s="572"/>
      <c r="EX1" s="572"/>
      <c r="EY1" s="572"/>
      <c r="EZ1" s="572"/>
      <c r="FA1" s="572"/>
      <c r="FB1" s="572"/>
      <c r="FC1" s="572"/>
      <c r="FD1" s="572"/>
      <c r="FE1" s="572"/>
      <c r="FF1" s="572"/>
      <c r="FG1" s="572"/>
      <c r="FH1" s="441"/>
      <c r="FI1" s="442"/>
      <c r="FJ1" s="442"/>
      <c r="FK1" s="442"/>
      <c r="FL1" s="442"/>
      <c r="FM1" s="442"/>
      <c r="FN1" s="442"/>
      <c r="FO1" s="442"/>
      <c r="FP1" s="442"/>
      <c r="FQ1" s="442"/>
      <c r="FR1" s="442"/>
      <c r="FS1" s="442"/>
      <c r="FT1" s="442"/>
      <c r="FU1" s="442"/>
      <c r="FV1" s="442"/>
      <c r="FW1" s="442"/>
      <c r="FX1" s="442"/>
      <c r="FY1" s="442"/>
      <c r="FZ1" s="442"/>
      <c r="GA1" s="442"/>
      <c r="GB1" s="442"/>
      <c r="GC1" s="442"/>
      <c r="GD1" s="441"/>
      <c r="GE1" s="442"/>
      <c r="GF1" s="442"/>
      <c r="GG1" s="442"/>
      <c r="GH1" s="442"/>
      <c r="GI1" s="442"/>
      <c r="GJ1" s="442"/>
      <c r="GK1" s="442"/>
      <c r="GL1" s="442"/>
      <c r="GM1" s="442"/>
      <c r="GN1" s="442"/>
      <c r="GO1" s="442"/>
      <c r="GP1" s="442"/>
      <c r="GQ1" s="442"/>
      <c r="GR1" s="442"/>
      <c r="GS1" s="442"/>
      <c r="GT1" s="442"/>
      <c r="GU1" s="442"/>
      <c r="GV1" s="442"/>
      <c r="GW1" s="442"/>
      <c r="GX1" s="441"/>
      <c r="GY1" s="442"/>
      <c r="GZ1" s="442"/>
      <c r="HA1" s="442"/>
      <c r="HB1" s="442"/>
      <c r="HC1" s="442"/>
      <c r="HD1" s="442"/>
      <c r="HE1" s="442"/>
      <c r="HF1" s="442"/>
      <c r="HG1" s="442"/>
      <c r="HH1" s="442"/>
      <c r="HI1" s="442"/>
      <c r="HJ1" s="442"/>
      <c r="HK1" s="442"/>
      <c r="HL1" s="442"/>
      <c r="HM1" s="442"/>
      <c r="HN1" s="442"/>
      <c r="HO1" s="442"/>
      <c r="HP1" s="442"/>
      <c r="HQ1" s="442"/>
      <c r="HR1" s="442"/>
      <c r="HS1" s="442"/>
    </row>
    <row r="2" spans="2:270" ht="13.5" customHeight="1" thickBot="1" x14ac:dyDescent="0.4">
      <c r="Q2" s="145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6"/>
      <c r="AK2" s="63"/>
      <c r="AL2" s="63"/>
      <c r="CL2" s="777"/>
      <c r="DW2" s="444"/>
      <c r="DX2" s="445"/>
      <c r="DY2" s="445"/>
      <c r="DZ2" s="445"/>
      <c r="EA2" s="445"/>
      <c r="EB2" s="445"/>
      <c r="EC2" s="445"/>
      <c r="ED2" s="445"/>
      <c r="EE2" s="445"/>
      <c r="EF2" s="445"/>
      <c r="EG2" s="445"/>
      <c r="EH2" s="445"/>
      <c r="EI2" s="445"/>
      <c r="EJ2" s="445"/>
      <c r="EK2" s="445"/>
      <c r="EL2" s="447"/>
      <c r="EM2" s="447"/>
      <c r="EN2" s="447"/>
      <c r="EO2" s="447"/>
      <c r="EP2" s="447"/>
      <c r="EQ2" s="447"/>
      <c r="ER2" s="447"/>
      <c r="ES2" s="447"/>
      <c r="ET2" s="447"/>
      <c r="EU2" s="447"/>
      <c r="EV2" s="447"/>
      <c r="EW2" s="447"/>
      <c r="EX2" s="447"/>
      <c r="EY2" s="447"/>
      <c r="EZ2" s="447"/>
      <c r="FA2" s="447"/>
      <c r="FB2" s="447"/>
      <c r="FC2" s="447"/>
      <c r="FD2" s="447"/>
      <c r="FE2" s="447"/>
      <c r="FF2" s="447"/>
      <c r="FG2" s="447"/>
      <c r="FH2" s="446"/>
      <c r="FI2" s="447"/>
      <c r="FJ2" s="447"/>
      <c r="FK2" s="447"/>
      <c r="FL2" s="447"/>
      <c r="FM2" s="447"/>
      <c r="FN2" s="447"/>
      <c r="FO2" s="447"/>
      <c r="FP2" s="447"/>
      <c r="FQ2" s="447"/>
      <c r="FR2" s="447"/>
      <c r="FS2" s="447"/>
      <c r="FT2" s="447"/>
      <c r="FU2" s="447"/>
      <c r="FV2" s="447"/>
      <c r="FW2" s="447"/>
      <c r="FX2" s="447"/>
      <c r="FY2" s="447"/>
      <c r="FZ2" s="447"/>
      <c r="GA2" s="447"/>
      <c r="GB2" s="447"/>
      <c r="GC2" s="447"/>
      <c r="GD2" s="446"/>
      <c r="GE2" s="447"/>
      <c r="GF2" s="447"/>
      <c r="GG2" s="447"/>
      <c r="GH2" s="447"/>
      <c r="GI2" s="447"/>
      <c r="GJ2" s="447"/>
      <c r="GK2" s="447"/>
      <c r="GL2" s="447"/>
      <c r="GM2" s="447"/>
      <c r="GN2" s="447"/>
      <c r="GO2" s="447"/>
      <c r="GP2" s="447"/>
      <c r="GQ2" s="447"/>
      <c r="GR2" s="447"/>
      <c r="GS2" s="447"/>
      <c r="GT2" s="447"/>
      <c r="GU2" s="447"/>
      <c r="GV2" s="447"/>
      <c r="GW2" s="447"/>
      <c r="GX2" s="446"/>
      <c r="GY2" s="447"/>
      <c r="GZ2" s="447"/>
      <c r="HA2" s="447"/>
      <c r="HB2" s="447"/>
      <c r="HC2" s="447"/>
      <c r="HD2" s="447"/>
      <c r="HE2" s="447"/>
      <c r="HF2" s="447"/>
      <c r="HG2" s="447"/>
      <c r="HH2" s="447"/>
      <c r="HI2" s="447"/>
      <c r="HJ2" s="447"/>
      <c r="HK2" s="447"/>
      <c r="HL2" s="447"/>
      <c r="HM2" s="447"/>
      <c r="HN2" s="447"/>
      <c r="HO2" s="447"/>
      <c r="HP2" s="447"/>
      <c r="HQ2" s="447"/>
      <c r="HR2" s="447"/>
      <c r="HS2" s="447"/>
    </row>
    <row r="3" spans="2:270" ht="8.25" customHeight="1" thickTop="1" x14ac:dyDescent="0.3">
      <c r="Q3" s="91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K3" s="63"/>
      <c r="AL3" s="63"/>
      <c r="CL3" s="777"/>
      <c r="DV3" s="850"/>
      <c r="GD3" s="443"/>
      <c r="GX3" s="443"/>
    </row>
    <row r="4" spans="2:270" ht="30" customHeight="1" x14ac:dyDescent="0.3">
      <c r="Q4" s="91"/>
      <c r="R4" s="849" t="s">
        <v>410</v>
      </c>
      <c r="S4" s="849"/>
      <c r="T4" s="849"/>
      <c r="U4" s="849"/>
      <c r="V4" s="849"/>
      <c r="W4" s="849"/>
      <c r="X4" s="849"/>
      <c r="Y4" s="849"/>
      <c r="Z4" s="849"/>
      <c r="AA4" s="849"/>
      <c r="AB4" s="849"/>
      <c r="AC4" s="849"/>
      <c r="AD4" s="849"/>
      <c r="AE4" s="849"/>
      <c r="AF4" s="849"/>
      <c r="AG4" s="186"/>
      <c r="AH4" s="858">
        <v>42826</v>
      </c>
      <c r="AI4" s="859"/>
      <c r="AK4" s="63"/>
      <c r="AL4" s="63"/>
      <c r="AN4" s="852"/>
      <c r="AO4" s="852"/>
      <c r="AP4" s="852"/>
      <c r="AQ4" s="852"/>
      <c r="AR4" s="852"/>
      <c r="BB4" s="438" t="s">
        <v>390</v>
      </c>
      <c r="CL4" s="777"/>
      <c r="DV4" s="777"/>
      <c r="GD4" s="443"/>
      <c r="GX4" s="443"/>
      <c r="HS4" s="777"/>
    </row>
    <row r="5" spans="2:270" ht="25.5" customHeight="1" x14ac:dyDescent="0.35">
      <c r="Q5" s="91"/>
      <c r="R5" s="95"/>
      <c r="S5" s="400"/>
      <c r="T5" s="864"/>
      <c r="U5" s="864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H5" s="188"/>
      <c r="AI5" s="189"/>
      <c r="AK5" s="63"/>
      <c r="AL5" s="63"/>
      <c r="AN5" s="448"/>
      <c r="AO5" s="448"/>
      <c r="AP5" s="448"/>
      <c r="AQ5" s="448"/>
      <c r="AR5" s="448"/>
      <c r="CL5" s="777"/>
      <c r="DV5" s="777"/>
      <c r="FU5" s="779" t="s">
        <v>482</v>
      </c>
      <c r="GD5" s="443"/>
      <c r="GX5" s="443"/>
      <c r="HS5" s="777"/>
    </row>
    <row r="6" spans="2:270" ht="22.5" customHeight="1" x14ac:dyDescent="0.35">
      <c r="Q6" s="91"/>
      <c r="R6" s="853" t="s">
        <v>165</v>
      </c>
      <c r="S6" s="853"/>
      <c r="T6" s="853"/>
      <c r="U6" s="853"/>
      <c r="V6" s="853"/>
      <c r="W6" s="853"/>
      <c r="X6" s="853"/>
      <c r="Y6" s="209"/>
      <c r="Z6" s="209"/>
      <c r="AA6" s="95"/>
      <c r="AB6" s="95"/>
      <c r="AC6" s="95"/>
      <c r="AD6" s="95"/>
      <c r="AE6" s="95"/>
      <c r="AF6" s="427"/>
      <c r="AH6" s="223" t="s">
        <v>287</v>
      </c>
      <c r="AI6" s="224"/>
      <c r="AK6" s="63"/>
      <c r="AL6" s="63"/>
      <c r="AN6" s="852"/>
      <c r="AO6" s="852"/>
      <c r="AP6" s="852"/>
      <c r="AQ6" s="852"/>
      <c r="AR6" s="852"/>
      <c r="CL6" s="777"/>
      <c r="DB6" s="438">
        <f>IF($S14=DA$12,IF(W14&lt;=80,"15",IF(AND(W14&gt;=80,W14&lt;100),16.5,IF(AND(W14&gt;=100,W14&lt;150),18,IF(AND(W14&gt;=150,W14&lt;200),20,IF(AND(W14&gt;=200,W14&lt;320),25,30))))),0)</f>
        <v>0</v>
      </c>
      <c r="DV6" s="777"/>
      <c r="FU6" s="779"/>
      <c r="GD6" s="443"/>
      <c r="GX6" s="443"/>
      <c r="HS6" s="777"/>
    </row>
    <row r="7" spans="2:270" ht="18" x14ac:dyDescent="0.35">
      <c r="Q7" s="91"/>
      <c r="R7" s="853" t="s">
        <v>177</v>
      </c>
      <c r="S7" s="853"/>
      <c r="T7" s="853"/>
      <c r="U7" s="860"/>
      <c r="V7" s="853"/>
      <c r="W7" s="853"/>
      <c r="X7" s="853"/>
      <c r="Y7" s="209"/>
      <c r="Z7" s="209"/>
      <c r="AA7" s="95"/>
      <c r="AB7" s="95"/>
      <c r="AC7" s="95"/>
      <c r="AD7" s="95"/>
      <c r="AE7" s="95"/>
      <c r="AF7" s="95"/>
      <c r="AH7" s="190" t="s">
        <v>178</v>
      </c>
      <c r="AI7" s="135"/>
      <c r="AK7" s="63"/>
      <c r="AL7" s="63"/>
      <c r="CL7" s="777"/>
      <c r="DV7" s="777"/>
      <c r="FU7" s="779"/>
      <c r="GD7" s="443"/>
      <c r="GX7" s="443"/>
      <c r="HS7" s="777"/>
    </row>
    <row r="8" spans="2:270" ht="9" customHeight="1" x14ac:dyDescent="0.35">
      <c r="Q8" s="91"/>
      <c r="R8" s="95"/>
      <c r="S8" s="95"/>
      <c r="T8" s="95"/>
      <c r="U8" s="817"/>
      <c r="V8" s="817"/>
      <c r="W8" s="817"/>
      <c r="X8" s="95"/>
      <c r="Y8" s="95"/>
      <c r="Z8" s="95"/>
      <c r="AA8" s="191"/>
      <c r="AB8" s="191"/>
      <c r="AC8" s="191"/>
      <c r="AD8" s="191"/>
      <c r="AE8" s="191"/>
      <c r="AF8" s="191"/>
      <c r="AH8" s="188"/>
      <c r="AI8" s="192"/>
      <c r="AK8" s="63"/>
      <c r="AL8" s="63"/>
      <c r="CL8" s="777"/>
      <c r="DV8" s="777"/>
      <c r="FU8" s="779"/>
      <c r="GD8" s="443"/>
      <c r="GX8" s="443"/>
      <c r="HS8" s="777"/>
    </row>
    <row r="9" spans="2:270" ht="14.25" hidden="1" customHeight="1" x14ac:dyDescent="0.35">
      <c r="Q9" s="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3"/>
      <c r="AI9" s="189"/>
      <c r="AJ9" s="64"/>
      <c r="AK9" s="64"/>
      <c r="AL9" s="64"/>
      <c r="CL9" s="777"/>
      <c r="DV9" s="777"/>
      <c r="FU9" s="779"/>
      <c r="GD9" s="443"/>
      <c r="GX9" s="443"/>
      <c r="HS9" s="777"/>
    </row>
    <row r="10" spans="2:270" ht="40.5" customHeight="1" thickBot="1" x14ac:dyDescent="0.4">
      <c r="C10" s="869"/>
      <c r="D10" s="869"/>
      <c r="E10" s="869"/>
      <c r="F10" s="869"/>
      <c r="G10" s="869"/>
      <c r="H10" s="869"/>
      <c r="I10" s="869"/>
      <c r="J10" s="869"/>
      <c r="K10" s="869"/>
      <c r="L10" s="869"/>
      <c r="M10" s="869"/>
      <c r="N10" s="869"/>
      <c r="Q10" s="91"/>
      <c r="R10" s="861" t="s">
        <v>173</v>
      </c>
      <c r="S10" s="861"/>
      <c r="T10" s="861"/>
      <c r="U10" s="861"/>
      <c r="V10" s="861"/>
      <c r="W10" s="861"/>
      <c r="X10" s="861"/>
      <c r="Y10" s="861"/>
      <c r="Z10" s="861"/>
      <c r="AA10" s="861"/>
      <c r="AB10" s="861"/>
      <c r="AC10" s="861"/>
      <c r="AD10" s="861"/>
      <c r="AE10" s="861"/>
      <c r="AF10" s="861"/>
      <c r="AG10" s="193"/>
      <c r="AH10" s="193"/>
      <c r="AI10" s="189"/>
      <c r="AK10" s="63"/>
      <c r="AL10" s="63"/>
      <c r="AV10" s="438" t="s">
        <v>484</v>
      </c>
      <c r="CL10" s="777"/>
      <c r="CM10" s="803" t="s">
        <v>273</v>
      </c>
      <c r="CN10" s="803"/>
      <c r="CO10" s="803"/>
      <c r="CP10" s="803"/>
      <c r="CQ10" s="803"/>
      <c r="CR10" s="803"/>
      <c r="CS10" s="803"/>
      <c r="CT10" s="803"/>
      <c r="CU10" s="803"/>
      <c r="CV10" s="803"/>
      <c r="CW10" s="803"/>
      <c r="CX10" s="803"/>
      <c r="CY10" s="803"/>
      <c r="CZ10" s="803"/>
      <c r="DA10" s="803"/>
      <c r="DB10" s="449"/>
      <c r="DC10" s="449"/>
      <c r="DD10" s="449"/>
      <c r="DE10" s="449"/>
      <c r="DF10" s="449"/>
      <c r="DG10" s="449"/>
      <c r="DH10" s="449"/>
      <c r="DI10" s="449"/>
      <c r="DJ10" s="449"/>
      <c r="DK10" s="449"/>
      <c r="DL10" s="449"/>
      <c r="DM10" s="449"/>
      <c r="DN10" s="449"/>
      <c r="DO10" s="449"/>
      <c r="DP10" s="449"/>
      <c r="DQ10" s="449"/>
      <c r="DR10" s="449"/>
      <c r="DS10" s="449"/>
      <c r="DT10" s="449"/>
      <c r="DU10" s="449"/>
      <c r="DV10" s="777"/>
      <c r="DW10" s="803" t="s">
        <v>274</v>
      </c>
      <c r="DX10" s="803"/>
      <c r="DY10" s="803"/>
      <c r="DZ10" s="803"/>
      <c r="EA10" s="803"/>
      <c r="EB10" s="803"/>
      <c r="EC10" s="803"/>
      <c r="ED10" s="803"/>
      <c r="EE10" s="803"/>
      <c r="EF10" s="803"/>
      <c r="EG10" s="803"/>
      <c r="EH10" s="803"/>
      <c r="EI10" s="803"/>
      <c r="EJ10" s="803"/>
      <c r="EK10" s="803"/>
      <c r="EL10" s="449"/>
      <c r="EM10" s="449"/>
      <c r="EN10" s="449"/>
      <c r="EO10" s="449"/>
      <c r="EP10" s="449"/>
      <c r="EQ10" s="449"/>
      <c r="ER10" s="449"/>
      <c r="ES10" s="449"/>
      <c r="ET10" s="449"/>
      <c r="EU10" s="449"/>
      <c r="EV10" s="449"/>
      <c r="EW10" s="449"/>
      <c r="EX10" s="449"/>
      <c r="EY10" s="449"/>
      <c r="EZ10" s="449"/>
      <c r="FA10" s="449"/>
      <c r="FB10" s="449"/>
      <c r="FC10" s="449"/>
      <c r="FD10" s="449"/>
      <c r="FE10" s="449"/>
      <c r="FF10" s="449"/>
      <c r="FG10" s="449"/>
      <c r="FI10" s="802" t="s">
        <v>283</v>
      </c>
      <c r="FJ10" s="803"/>
      <c r="FK10" s="803"/>
      <c r="FL10" s="803"/>
      <c r="FM10" s="803"/>
      <c r="FN10" s="803"/>
      <c r="FO10" s="803"/>
      <c r="FP10" s="449"/>
      <c r="FQ10" s="449"/>
      <c r="FR10" s="449"/>
      <c r="FS10" s="449"/>
      <c r="FT10" s="449"/>
      <c r="FU10" s="779"/>
      <c r="FV10" s="449"/>
      <c r="FW10" s="449"/>
      <c r="FX10" s="449"/>
      <c r="FY10" s="449"/>
      <c r="FZ10" s="449"/>
      <c r="GA10" s="449"/>
      <c r="GB10" s="449"/>
      <c r="GC10" s="449"/>
      <c r="GD10" s="443"/>
      <c r="GE10" s="802" t="s">
        <v>284</v>
      </c>
      <c r="GF10" s="803"/>
      <c r="GG10" s="803"/>
      <c r="GH10" s="803"/>
      <c r="GI10" s="803"/>
      <c r="GJ10" s="803"/>
      <c r="GK10" s="803"/>
      <c r="GL10" s="449"/>
      <c r="GM10" s="449"/>
      <c r="GN10" s="449"/>
      <c r="GO10" s="449"/>
      <c r="GP10" s="449"/>
      <c r="GQ10" s="449"/>
      <c r="GR10" s="449"/>
      <c r="GS10" s="449"/>
      <c r="GT10" s="449"/>
      <c r="GU10" s="449"/>
      <c r="GV10" s="449"/>
      <c r="GW10" s="449"/>
      <c r="GX10" s="450"/>
      <c r="GY10" s="803" t="s">
        <v>285</v>
      </c>
      <c r="GZ10" s="803"/>
      <c r="HA10" s="803"/>
      <c r="HB10" s="803"/>
      <c r="HC10" s="803"/>
      <c r="HD10" s="803"/>
      <c r="HE10" s="803"/>
      <c r="HF10" s="449"/>
      <c r="HG10" s="449"/>
      <c r="HH10" s="449"/>
      <c r="HI10" s="449"/>
      <c r="HJ10" s="449"/>
      <c r="HK10" s="449"/>
      <c r="HL10" s="449"/>
      <c r="HM10" s="449"/>
      <c r="HN10" s="449"/>
      <c r="HO10" s="449"/>
      <c r="HP10" s="449"/>
      <c r="HQ10" s="449"/>
      <c r="HR10" s="449"/>
      <c r="HS10" s="777"/>
      <c r="IJ10" s="182"/>
      <c r="JJ10" s="37" t="s">
        <v>363</v>
      </c>
    </row>
    <row r="11" spans="2:270" ht="36.75" customHeight="1" thickBot="1" x14ac:dyDescent="0.4"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Q11" s="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3"/>
      <c r="AH11" s="401"/>
      <c r="AI11" s="208"/>
      <c r="AJ11" s="64"/>
      <c r="AK11" s="63"/>
      <c r="AL11" s="63"/>
      <c r="AO11" s="438" t="s">
        <v>447</v>
      </c>
      <c r="AP11" s="438" t="s">
        <v>447</v>
      </c>
      <c r="AQ11" s="438" t="s">
        <v>447</v>
      </c>
      <c r="AR11" s="438" t="s">
        <v>447</v>
      </c>
      <c r="AS11" s="438" t="s">
        <v>447</v>
      </c>
      <c r="AT11" s="438" t="s">
        <v>447</v>
      </c>
      <c r="AU11" s="438" t="s">
        <v>447</v>
      </c>
      <c r="AV11" s="438" t="s">
        <v>447</v>
      </c>
      <c r="AW11" s="438" t="s">
        <v>447</v>
      </c>
      <c r="AX11" s="438" t="s">
        <v>447</v>
      </c>
      <c r="AY11" s="438" t="s">
        <v>447</v>
      </c>
      <c r="AZ11" s="438" t="s">
        <v>447</v>
      </c>
      <c r="BA11" s="438" t="s">
        <v>447</v>
      </c>
      <c r="BB11" s="438" t="s">
        <v>447</v>
      </c>
      <c r="BC11" s="438" t="s">
        <v>447</v>
      </c>
      <c r="BD11" s="438" t="s">
        <v>447</v>
      </c>
      <c r="BE11" s="438" t="s">
        <v>447</v>
      </c>
      <c r="BH11" s="453" t="s">
        <v>447</v>
      </c>
      <c r="BI11" s="454" t="s">
        <v>447</v>
      </c>
      <c r="BJ11" s="454" t="s">
        <v>447</v>
      </c>
      <c r="BK11" s="454" t="s">
        <v>447</v>
      </c>
      <c r="BL11" s="454" t="s">
        <v>447</v>
      </c>
      <c r="CL11" s="777"/>
      <c r="CM11" s="805"/>
      <c r="CN11" s="805"/>
      <c r="CO11" s="805"/>
      <c r="CP11" s="805"/>
      <c r="CQ11" s="805"/>
      <c r="CR11" s="805"/>
      <c r="CS11" s="805"/>
      <c r="CT11" s="805"/>
      <c r="CU11" s="805"/>
      <c r="CV11" s="805"/>
      <c r="CW11" s="805"/>
      <c r="CX11" s="803"/>
      <c r="CY11" s="803"/>
      <c r="CZ11" s="805"/>
      <c r="DA11" s="805"/>
      <c r="DB11" s="449"/>
      <c r="DC11" s="449"/>
      <c r="DD11" s="449"/>
      <c r="DE11" s="449"/>
      <c r="DF11" s="449"/>
      <c r="DG11" s="449"/>
      <c r="DH11" s="449"/>
      <c r="DI11" s="449"/>
      <c r="DJ11" s="449"/>
      <c r="DK11" s="449"/>
      <c r="DL11" s="449"/>
      <c r="DM11" s="583" t="s">
        <v>447</v>
      </c>
      <c r="DN11" s="449" t="s">
        <v>485</v>
      </c>
      <c r="DO11" s="449" t="s">
        <v>485</v>
      </c>
      <c r="DP11" s="449"/>
      <c r="DQ11" s="449" t="s">
        <v>485</v>
      </c>
      <c r="DR11" s="449"/>
      <c r="DS11" s="449" t="s">
        <v>485</v>
      </c>
      <c r="DT11" s="449"/>
      <c r="DU11" s="449"/>
      <c r="DV11" s="777"/>
      <c r="DW11" s="805"/>
      <c r="DX11" s="805"/>
      <c r="DY11" s="805"/>
      <c r="DZ11" s="805"/>
      <c r="EA11" s="805"/>
      <c r="EB11" s="805"/>
      <c r="EC11" s="805"/>
      <c r="ED11" s="805"/>
      <c r="EE11" s="805"/>
      <c r="EF11" s="805"/>
      <c r="EG11" s="805"/>
      <c r="EH11" s="803"/>
      <c r="EI11" s="803"/>
      <c r="EJ11" s="803"/>
      <c r="EK11" s="803"/>
      <c r="EL11" s="449"/>
      <c r="EM11" s="449"/>
      <c r="EN11" s="449"/>
      <c r="EO11" s="449"/>
      <c r="EP11" s="449"/>
      <c r="EQ11" s="449"/>
      <c r="ER11" s="449"/>
      <c r="ES11" s="449"/>
      <c r="ET11" s="449"/>
      <c r="EU11" s="449"/>
      <c r="EV11" s="449"/>
      <c r="EW11" s="449"/>
      <c r="EX11" s="449" t="s">
        <v>485</v>
      </c>
      <c r="EY11" s="449" t="s">
        <v>485</v>
      </c>
      <c r="EZ11" s="449"/>
      <c r="FA11" s="449" t="s">
        <v>485</v>
      </c>
      <c r="FB11" s="449"/>
      <c r="FC11" s="449" t="s">
        <v>485</v>
      </c>
      <c r="FD11" s="449"/>
      <c r="FE11" s="449"/>
      <c r="FF11" s="449"/>
      <c r="FG11" s="449"/>
      <c r="FI11" s="804"/>
      <c r="FJ11" s="805"/>
      <c r="FK11" s="805"/>
      <c r="FL11" s="805"/>
      <c r="FM11" s="805"/>
      <c r="FN11" s="805"/>
      <c r="FO11" s="805"/>
      <c r="FP11" s="782" t="s">
        <v>483</v>
      </c>
      <c r="FQ11" s="783"/>
      <c r="FR11" s="783"/>
      <c r="FS11" s="783"/>
      <c r="FT11" s="784"/>
      <c r="FU11" s="780"/>
      <c r="FV11" s="782" t="s">
        <v>483</v>
      </c>
      <c r="FW11" s="783"/>
      <c r="FX11" s="783"/>
      <c r="FY11" s="783"/>
      <c r="FZ11" s="783"/>
      <c r="GA11" s="784"/>
      <c r="GB11" s="449"/>
      <c r="GC11" s="449"/>
      <c r="GD11" s="443"/>
      <c r="GE11" s="804"/>
      <c r="GF11" s="805"/>
      <c r="GG11" s="805"/>
      <c r="GH11" s="805"/>
      <c r="GI11" s="805"/>
      <c r="GJ11" s="805"/>
      <c r="GK11" s="805"/>
      <c r="GL11" s="781" t="s">
        <v>483</v>
      </c>
      <c r="GM11" s="781"/>
      <c r="GN11" s="781"/>
      <c r="GO11" s="781"/>
      <c r="GP11" s="781"/>
      <c r="GQ11" s="781"/>
      <c r="GR11" s="781"/>
      <c r="GS11" s="781"/>
      <c r="GT11" s="781"/>
      <c r="GU11" s="781"/>
      <c r="GV11" s="449"/>
      <c r="GW11" s="449"/>
      <c r="GX11" s="450"/>
      <c r="GY11" s="805"/>
      <c r="GZ11" s="805"/>
      <c r="HA11" s="805"/>
      <c r="HB11" s="805"/>
      <c r="HC11" s="805"/>
      <c r="HD11" s="805"/>
      <c r="HE11" s="805"/>
      <c r="HF11" s="781" t="s">
        <v>483</v>
      </c>
      <c r="HG11" s="781"/>
      <c r="HH11" s="781"/>
      <c r="HI11" s="781"/>
      <c r="HJ11" s="781"/>
      <c r="HK11" s="781"/>
      <c r="HL11" s="781"/>
      <c r="HM11" s="781"/>
      <c r="HN11" s="781"/>
      <c r="HO11" s="781"/>
      <c r="HP11" s="781"/>
      <c r="HQ11" s="449"/>
      <c r="HR11" s="449"/>
      <c r="HS11" s="777"/>
      <c r="IJ11" s="182"/>
      <c r="JJ11" s="37" t="s">
        <v>364</v>
      </c>
    </row>
    <row r="12" spans="2:270" s="40" customFormat="1" ht="34.5" customHeight="1" thickTop="1" x14ac:dyDescent="0.35">
      <c r="B12" s="258"/>
      <c r="C12" s="806" t="s">
        <v>28</v>
      </c>
      <c r="D12" s="806" t="s">
        <v>29</v>
      </c>
      <c r="E12" s="806" t="s">
        <v>0</v>
      </c>
      <c r="F12" s="806" t="s">
        <v>30</v>
      </c>
      <c r="G12" s="806" t="s">
        <v>31</v>
      </c>
      <c r="H12" s="806"/>
      <c r="I12" s="806" t="s">
        <v>416</v>
      </c>
      <c r="J12" s="806" t="s">
        <v>33</v>
      </c>
      <c r="K12" s="812" t="s">
        <v>83</v>
      </c>
      <c r="L12" s="806" t="s">
        <v>417</v>
      </c>
      <c r="M12" s="807" t="s">
        <v>34</v>
      </c>
      <c r="N12" s="806" t="s">
        <v>174</v>
      </c>
      <c r="Q12" s="91"/>
      <c r="R12" s="862" t="s">
        <v>96</v>
      </c>
      <c r="S12" s="740" t="s">
        <v>88</v>
      </c>
      <c r="T12" s="740" t="s">
        <v>144</v>
      </c>
      <c r="U12" s="740" t="s">
        <v>171</v>
      </c>
      <c r="V12" s="800" t="s">
        <v>109</v>
      </c>
      <c r="W12" s="801"/>
      <c r="X12" s="740" t="s">
        <v>23</v>
      </c>
      <c r="Y12" s="820" t="s">
        <v>248</v>
      </c>
      <c r="Z12" s="213"/>
      <c r="AA12" s="740" t="s">
        <v>33</v>
      </c>
      <c r="AB12" s="740" t="s">
        <v>114</v>
      </c>
      <c r="AC12" s="740" t="s">
        <v>276</v>
      </c>
      <c r="AD12" s="771" t="s">
        <v>294</v>
      </c>
      <c r="AE12" s="772"/>
      <c r="AF12" s="773"/>
      <c r="AG12" s="193"/>
      <c r="AH12" s="194" t="s">
        <v>110</v>
      </c>
      <c r="AI12" s="195" t="s">
        <v>155</v>
      </c>
      <c r="AJ12" s="63"/>
      <c r="AK12" s="37"/>
      <c r="AL12" s="37"/>
      <c r="AM12" s="451"/>
      <c r="AN12" s="452"/>
      <c r="AO12" s="765" t="s">
        <v>82</v>
      </c>
      <c r="AP12" s="766"/>
      <c r="AQ12" s="766"/>
      <c r="AR12" s="767"/>
      <c r="AS12" s="762" t="s">
        <v>35</v>
      </c>
      <c r="AT12" s="763"/>
      <c r="AU12" s="763"/>
      <c r="AV12" s="764"/>
      <c r="AW12" s="768" t="s">
        <v>389</v>
      </c>
      <c r="AX12" s="769"/>
      <c r="AY12" s="770"/>
      <c r="AZ12" s="796" t="s">
        <v>36</v>
      </c>
      <c r="BA12" s="797"/>
      <c r="BB12" s="797"/>
      <c r="BC12" s="760" t="s">
        <v>37</v>
      </c>
      <c r="BD12" s="761"/>
      <c r="BE12" s="761"/>
      <c r="BF12" s="453" t="s">
        <v>26</v>
      </c>
      <c r="BG12" s="453"/>
      <c r="BH12" s="453"/>
      <c r="BI12" s="454"/>
      <c r="BJ12" s="454"/>
      <c r="BK12" s="454"/>
      <c r="BL12" s="756" t="s">
        <v>52</v>
      </c>
      <c r="BM12" s="747" t="s">
        <v>306</v>
      </c>
      <c r="BN12" s="748"/>
      <c r="BO12" s="748"/>
      <c r="BP12" s="748"/>
      <c r="BQ12" s="748"/>
      <c r="BR12" s="748"/>
      <c r="BS12" s="749"/>
      <c r="BT12" s="758" t="s">
        <v>309</v>
      </c>
      <c r="BU12" s="758"/>
      <c r="BV12" s="758"/>
      <c r="BW12" s="758"/>
      <c r="BX12" s="758"/>
      <c r="BY12" s="758"/>
      <c r="BZ12" s="759" t="s">
        <v>54</v>
      </c>
      <c r="CA12" s="759"/>
      <c r="CB12" s="759"/>
      <c r="CC12" s="759"/>
      <c r="CD12" s="759"/>
      <c r="CE12" s="754" t="s">
        <v>93</v>
      </c>
      <c r="CF12" s="754" t="s">
        <v>94</v>
      </c>
      <c r="CG12" s="798" t="s">
        <v>57</v>
      </c>
      <c r="CH12" s="455" t="s">
        <v>277</v>
      </c>
      <c r="CI12" s="455" t="s">
        <v>148</v>
      </c>
      <c r="CJ12" s="455"/>
      <c r="CK12" s="456"/>
      <c r="CL12" s="777"/>
      <c r="CM12" s="457" t="s">
        <v>418</v>
      </c>
      <c r="CN12" s="458" t="s">
        <v>234</v>
      </c>
      <c r="CO12" s="458" t="s">
        <v>235</v>
      </c>
      <c r="CP12" s="458" t="s">
        <v>236</v>
      </c>
      <c r="CQ12" s="458" t="s">
        <v>271</v>
      </c>
      <c r="CR12" s="458" t="s">
        <v>238</v>
      </c>
      <c r="CS12" s="458" t="s">
        <v>239</v>
      </c>
      <c r="CT12" s="458" t="s">
        <v>240</v>
      </c>
      <c r="CU12" s="458" t="s">
        <v>241</v>
      </c>
      <c r="CV12" s="458" t="s">
        <v>242</v>
      </c>
      <c r="CW12" s="459" t="s">
        <v>243</v>
      </c>
      <c r="CX12" s="586" t="s">
        <v>244</v>
      </c>
      <c r="CY12" s="586" t="s">
        <v>245</v>
      </c>
      <c r="CZ12" s="586" t="s">
        <v>246</v>
      </c>
      <c r="DA12" s="586" t="s">
        <v>247</v>
      </c>
      <c r="DB12" s="581" t="s">
        <v>419</v>
      </c>
      <c r="DC12" s="581" t="s">
        <v>420</v>
      </c>
      <c r="DD12" s="581" t="s">
        <v>421</v>
      </c>
      <c r="DE12" s="581" t="s">
        <v>422</v>
      </c>
      <c r="DF12" s="581" t="s">
        <v>423</v>
      </c>
      <c r="DG12" s="582" t="s">
        <v>424</v>
      </c>
      <c r="DH12" s="581" t="s">
        <v>432</v>
      </c>
      <c r="DI12" s="581" t="s">
        <v>425</v>
      </c>
      <c r="DJ12" s="581" t="s">
        <v>426</v>
      </c>
      <c r="DK12" s="581" t="s">
        <v>427</v>
      </c>
      <c r="DL12" s="581" t="s">
        <v>428</v>
      </c>
      <c r="DM12" s="587" t="s">
        <v>429</v>
      </c>
      <c r="DN12" s="589" t="s">
        <v>430</v>
      </c>
      <c r="DO12" s="589" t="s">
        <v>431</v>
      </c>
      <c r="DP12" s="590" t="s">
        <v>434</v>
      </c>
      <c r="DQ12" s="589" t="s">
        <v>433</v>
      </c>
      <c r="DR12" s="589" t="s">
        <v>435</v>
      </c>
      <c r="DS12" s="589" t="s">
        <v>436</v>
      </c>
      <c r="DT12" s="442"/>
      <c r="DU12" s="442"/>
      <c r="DV12" s="777"/>
      <c r="DW12" s="460" t="s">
        <v>418</v>
      </c>
      <c r="DX12" s="461" t="s">
        <v>234</v>
      </c>
      <c r="DY12" s="461" t="s">
        <v>235</v>
      </c>
      <c r="DZ12" s="461" t="s">
        <v>236</v>
      </c>
      <c r="EA12" s="461" t="s">
        <v>271</v>
      </c>
      <c r="EB12" s="461" t="s">
        <v>238</v>
      </c>
      <c r="EC12" s="461" t="s">
        <v>239</v>
      </c>
      <c r="ED12" s="461" t="s">
        <v>240</v>
      </c>
      <c r="EE12" s="461" t="s">
        <v>241</v>
      </c>
      <c r="EF12" s="461" t="s">
        <v>242</v>
      </c>
      <c r="EG12" s="462" t="s">
        <v>243</v>
      </c>
      <c r="EH12" s="591" t="s">
        <v>244</v>
      </c>
      <c r="EI12" s="591" t="s">
        <v>245</v>
      </c>
      <c r="EJ12" s="591" t="s">
        <v>246</v>
      </c>
      <c r="EK12" s="591" t="s">
        <v>247</v>
      </c>
      <c r="EL12" s="588" t="s">
        <v>419</v>
      </c>
      <c r="EM12" s="581" t="s">
        <v>420</v>
      </c>
      <c r="EN12" s="581" t="s">
        <v>421</v>
      </c>
      <c r="EO12" s="581" t="s">
        <v>422</v>
      </c>
      <c r="EP12" s="581" t="s">
        <v>423</v>
      </c>
      <c r="EQ12" s="582" t="s">
        <v>424</v>
      </c>
      <c r="ER12" s="581" t="s">
        <v>432</v>
      </c>
      <c r="ES12" s="581" t="s">
        <v>425</v>
      </c>
      <c r="ET12" s="581" t="s">
        <v>426</v>
      </c>
      <c r="EU12" s="581" t="s">
        <v>427</v>
      </c>
      <c r="EV12" s="581" t="s">
        <v>428</v>
      </c>
      <c r="EW12" s="581" t="s">
        <v>429</v>
      </c>
      <c r="EX12" s="581" t="s">
        <v>430</v>
      </c>
      <c r="EY12" s="581" t="s">
        <v>431</v>
      </c>
      <c r="EZ12" s="581" t="s">
        <v>434</v>
      </c>
      <c r="FA12" s="581" t="s">
        <v>433</v>
      </c>
      <c r="FB12" s="581" t="s">
        <v>435</v>
      </c>
      <c r="FC12" s="581" t="s">
        <v>436</v>
      </c>
      <c r="FD12" s="573"/>
      <c r="FE12" s="573"/>
      <c r="FF12" s="573"/>
      <c r="FG12" s="573"/>
      <c r="FH12" s="463"/>
      <c r="FI12" s="464" t="s">
        <v>53</v>
      </c>
      <c r="FJ12" s="464" t="s">
        <v>232</v>
      </c>
      <c r="FK12" s="464" t="s">
        <v>275</v>
      </c>
      <c r="FL12" s="464" t="s">
        <v>252</v>
      </c>
      <c r="FM12" s="464" t="s">
        <v>253</v>
      </c>
      <c r="FN12" s="464" t="s">
        <v>405</v>
      </c>
      <c r="FO12" s="465" t="s">
        <v>406</v>
      </c>
      <c r="FP12" s="608" t="s">
        <v>471</v>
      </c>
      <c r="FQ12" s="608" t="s">
        <v>472</v>
      </c>
      <c r="FR12" s="608" t="s">
        <v>473</v>
      </c>
      <c r="FS12" s="608" t="s">
        <v>481</v>
      </c>
      <c r="FT12" s="609" t="s">
        <v>474</v>
      </c>
      <c r="FU12" s="609" t="s">
        <v>475</v>
      </c>
      <c r="FV12" s="609" t="s">
        <v>476</v>
      </c>
      <c r="FW12" s="609" t="s">
        <v>477</v>
      </c>
      <c r="FX12" s="609" t="s">
        <v>254</v>
      </c>
      <c r="FY12" s="609" t="s">
        <v>478</v>
      </c>
      <c r="FZ12" s="609" t="s">
        <v>479</v>
      </c>
      <c r="GA12" s="609" t="s">
        <v>480</v>
      </c>
      <c r="GB12" s="733" t="s">
        <v>561</v>
      </c>
      <c r="GC12" s="609"/>
      <c r="GD12" s="463"/>
      <c r="GE12" s="464" t="s">
        <v>53</v>
      </c>
      <c r="GF12" s="464" t="s">
        <v>232</v>
      </c>
      <c r="GG12" s="464" t="s">
        <v>275</v>
      </c>
      <c r="GH12" s="464" t="s">
        <v>252</v>
      </c>
      <c r="GI12" s="464" t="s">
        <v>253</v>
      </c>
      <c r="GJ12" s="464" t="s">
        <v>254</v>
      </c>
      <c r="GK12" s="465" t="s">
        <v>255</v>
      </c>
      <c r="GL12" s="608" t="s">
        <v>471</v>
      </c>
      <c r="GM12" s="608" t="s">
        <v>472</v>
      </c>
      <c r="GN12" s="608" t="s">
        <v>481</v>
      </c>
      <c r="GO12" s="609" t="s">
        <v>474</v>
      </c>
      <c r="GP12" s="609" t="s">
        <v>476</v>
      </c>
      <c r="GQ12" s="609" t="s">
        <v>477</v>
      </c>
      <c r="GR12" s="609" t="s">
        <v>254</v>
      </c>
      <c r="GS12" s="609" t="s">
        <v>478</v>
      </c>
      <c r="GT12" s="609" t="s">
        <v>479</v>
      </c>
      <c r="GU12" s="609" t="s">
        <v>480</v>
      </c>
      <c r="GV12" s="572"/>
      <c r="GW12" s="572"/>
      <c r="GX12" s="466"/>
      <c r="GY12" s="467" t="s">
        <v>53</v>
      </c>
      <c r="GZ12" s="464" t="s">
        <v>232</v>
      </c>
      <c r="HA12" s="464" t="s">
        <v>275</v>
      </c>
      <c r="HB12" s="464" t="s">
        <v>252</v>
      </c>
      <c r="HC12" s="464" t="s">
        <v>253</v>
      </c>
      <c r="HD12" s="464" t="s">
        <v>254</v>
      </c>
      <c r="HE12" s="465" t="s">
        <v>255</v>
      </c>
      <c r="HF12" s="610" t="s">
        <v>471</v>
      </c>
      <c r="HG12" s="610" t="s">
        <v>472</v>
      </c>
      <c r="HH12" s="610" t="s">
        <v>473</v>
      </c>
      <c r="HI12" s="610" t="s">
        <v>481</v>
      </c>
      <c r="HJ12" s="611" t="s">
        <v>474</v>
      </c>
      <c r="HK12" s="611" t="s">
        <v>476</v>
      </c>
      <c r="HL12" s="611" t="s">
        <v>477</v>
      </c>
      <c r="HM12" s="611" t="s">
        <v>254</v>
      </c>
      <c r="HN12" s="611" t="s">
        <v>478</v>
      </c>
      <c r="HO12" s="611" t="s">
        <v>479</v>
      </c>
      <c r="HP12" s="611" t="s">
        <v>480</v>
      </c>
      <c r="HQ12" s="572"/>
      <c r="HR12" s="572"/>
      <c r="HS12" s="777"/>
      <c r="HT12" s="745" t="s">
        <v>115</v>
      </c>
      <c r="HU12" s="745" t="s">
        <v>196</v>
      </c>
      <c r="HV12" s="752" t="s">
        <v>131</v>
      </c>
      <c r="HW12" s="468"/>
      <c r="HX12" s="469"/>
      <c r="HY12" s="469"/>
      <c r="HZ12" s="469"/>
      <c r="IA12" s="469"/>
      <c r="IB12" s="469"/>
      <c r="IC12" s="470"/>
      <c r="ID12" s="471"/>
      <c r="IF12" s="737" t="s">
        <v>316</v>
      </c>
      <c r="IG12" s="738"/>
      <c r="IH12" s="738"/>
      <c r="II12" s="735" t="s">
        <v>403</v>
      </c>
      <c r="IJ12" s="182"/>
      <c r="IM12" s="553" t="s">
        <v>286</v>
      </c>
    </row>
    <row r="13" spans="2:270" s="40" customFormat="1" ht="50.4" thickBot="1" x14ac:dyDescent="0.4">
      <c r="B13" s="258"/>
      <c r="C13" s="806"/>
      <c r="D13" s="806"/>
      <c r="E13" s="806"/>
      <c r="F13" s="806"/>
      <c r="G13" s="556" t="s">
        <v>38</v>
      </c>
      <c r="H13" s="556" t="s">
        <v>19</v>
      </c>
      <c r="I13" s="806"/>
      <c r="J13" s="806"/>
      <c r="K13" s="813"/>
      <c r="L13" s="806"/>
      <c r="M13" s="807"/>
      <c r="N13" s="806"/>
      <c r="Q13" s="91"/>
      <c r="R13" s="863"/>
      <c r="S13" s="741"/>
      <c r="T13" s="741"/>
      <c r="U13" s="741"/>
      <c r="V13" s="196" t="s">
        <v>21</v>
      </c>
      <c r="W13" s="196" t="s">
        <v>47</v>
      </c>
      <c r="X13" s="741"/>
      <c r="Y13" s="821"/>
      <c r="Z13" s="214"/>
      <c r="AA13" s="741"/>
      <c r="AB13" s="741"/>
      <c r="AC13" s="741"/>
      <c r="AD13" s="617" t="s">
        <v>292</v>
      </c>
      <c r="AE13" s="618" t="s">
        <v>293</v>
      </c>
      <c r="AF13" s="619" t="s">
        <v>172</v>
      </c>
      <c r="AG13" s="193"/>
      <c r="AH13" s="197" t="s">
        <v>142</v>
      </c>
      <c r="AI13" s="198" t="s">
        <v>142</v>
      </c>
      <c r="AJ13" s="63"/>
      <c r="AK13" s="37"/>
      <c r="AL13" s="37"/>
      <c r="AM13" s="451"/>
      <c r="AN13" s="452" t="s">
        <v>272</v>
      </c>
      <c r="AO13" s="472" t="s">
        <v>21</v>
      </c>
      <c r="AP13" s="473" t="s">
        <v>22</v>
      </c>
      <c r="AQ13" s="473" t="s">
        <v>48</v>
      </c>
      <c r="AR13" s="473" t="s">
        <v>50</v>
      </c>
      <c r="AS13" s="474" t="s">
        <v>49</v>
      </c>
      <c r="AT13" s="474" t="s">
        <v>31</v>
      </c>
      <c r="AU13" s="474" t="s">
        <v>39</v>
      </c>
      <c r="AV13" s="474" t="s">
        <v>55</v>
      </c>
      <c r="AW13" s="475" t="s">
        <v>88</v>
      </c>
      <c r="AX13" s="475" t="s">
        <v>31</v>
      </c>
      <c r="AY13" s="475" t="s">
        <v>39</v>
      </c>
      <c r="AZ13" s="476" t="s">
        <v>88</v>
      </c>
      <c r="BA13" s="476" t="s">
        <v>33</v>
      </c>
      <c r="BB13" s="476" t="s">
        <v>39</v>
      </c>
      <c r="BC13" s="477" t="s">
        <v>59</v>
      </c>
      <c r="BD13" s="477" t="s">
        <v>51</v>
      </c>
      <c r="BE13" s="478" t="s">
        <v>39</v>
      </c>
      <c r="BF13" s="479" t="s">
        <v>24</v>
      </c>
      <c r="BG13" s="479" t="s">
        <v>437</v>
      </c>
      <c r="BH13" s="480" t="s">
        <v>56</v>
      </c>
      <c r="BI13" s="480" t="s">
        <v>280</v>
      </c>
      <c r="BJ13" s="480" t="s">
        <v>282</v>
      </c>
      <c r="BK13" s="480" t="s">
        <v>281</v>
      </c>
      <c r="BL13" s="757"/>
      <c r="BM13" s="481" t="s">
        <v>53</v>
      </c>
      <c r="BN13" s="481" t="s">
        <v>308</v>
      </c>
      <c r="BO13" s="481" t="s">
        <v>289</v>
      </c>
      <c r="BP13" s="481" t="s">
        <v>288</v>
      </c>
      <c r="BQ13" s="481" t="s">
        <v>251</v>
      </c>
      <c r="BR13" s="481" t="s">
        <v>255</v>
      </c>
      <c r="BS13" s="481" t="s">
        <v>405</v>
      </c>
      <c r="BT13" s="477" t="s">
        <v>310</v>
      </c>
      <c r="BU13" s="477" t="s">
        <v>311</v>
      </c>
      <c r="BV13" s="477" t="s">
        <v>312</v>
      </c>
      <c r="BW13" s="477" t="s">
        <v>313</v>
      </c>
      <c r="BX13" s="477" t="s">
        <v>314</v>
      </c>
      <c r="BY13" s="477" t="s">
        <v>315</v>
      </c>
      <c r="BZ13" s="477" t="s">
        <v>301</v>
      </c>
      <c r="CA13" s="477" t="s">
        <v>302</v>
      </c>
      <c r="CB13" s="477" t="s">
        <v>303</v>
      </c>
      <c r="CC13" s="477" t="s">
        <v>304</v>
      </c>
      <c r="CD13" s="477" t="s">
        <v>305</v>
      </c>
      <c r="CE13" s="755"/>
      <c r="CF13" s="755"/>
      <c r="CG13" s="799"/>
      <c r="CH13" s="482" t="s">
        <v>278</v>
      </c>
      <c r="CI13" s="482" t="s">
        <v>91</v>
      </c>
      <c r="CJ13" s="483"/>
      <c r="CK13" s="483"/>
      <c r="CL13" s="777"/>
      <c r="CM13" s="445"/>
      <c r="CN13" s="445"/>
      <c r="CO13" s="445"/>
      <c r="CP13" s="445"/>
      <c r="CQ13" s="445"/>
      <c r="CS13" s="585" t="s">
        <v>447</v>
      </c>
      <c r="CT13" s="445"/>
      <c r="CU13" s="445"/>
      <c r="CV13" s="445"/>
      <c r="CW13" s="445"/>
      <c r="CX13" s="445"/>
      <c r="CY13" s="445"/>
      <c r="CZ13" s="445"/>
      <c r="DA13" s="445"/>
      <c r="DB13" s="447"/>
      <c r="DC13" s="447"/>
      <c r="DD13" s="447"/>
      <c r="DE13" s="447"/>
      <c r="DF13" s="447"/>
      <c r="DG13" s="447"/>
      <c r="DH13" s="447"/>
      <c r="DI13" s="447"/>
      <c r="DJ13" s="447"/>
      <c r="DK13" s="447"/>
      <c r="DL13" s="447"/>
      <c r="DM13" s="447"/>
      <c r="DN13" s="447"/>
      <c r="DO13" s="447"/>
      <c r="DP13" s="447"/>
      <c r="DQ13" s="447"/>
      <c r="DR13" s="447"/>
      <c r="DS13" s="447"/>
      <c r="DT13" s="447"/>
      <c r="DU13" s="447"/>
      <c r="DV13" s="777"/>
      <c r="DW13" s="484"/>
      <c r="DX13" s="484"/>
      <c r="DZ13" s="484"/>
      <c r="EA13" s="584" t="s">
        <v>447</v>
      </c>
      <c r="EB13" s="484"/>
      <c r="EC13" s="484"/>
      <c r="ED13" s="484"/>
      <c r="EE13" s="484"/>
      <c r="EF13" s="484"/>
      <c r="EG13" s="484"/>
      <c r="EH13" s="484"/>
      <c r="EI13" s="484"/>
      <c r="EJ13" s="484"/>
      <c r="EK13" s="484"/>
      <c r="EL13" s="484"/>
      <c r="EM13" s="484"/>
      <c r="EN13" s="484"/>
      <c r="EO13" s="484"/>
      <c r="EP13" s="484"/>
      <c r="EQ13" s="484"/>
      <c r="ER13" s="484"/>
      <c r="ES13" s="484"/>
      <c r="ET13" s="484"/>
      <c r="EU13" s="484"/>
      <c r="EV13" s="484"/>
      <c r="EW13" s="484"/>
      <c r="EX13" s="484"/>
      <c r="EY13" s="484"/>
      <c r="EZ13" s="484"/>
      <c r="FA13" s="484"/>
      <c r="FB13" s="484"/>
      <c r="FC13" s="484"/>
      <c r="FD13" s="484"/>
      <c r="FE13" s="484"/>
      <c r="FF13" s="484"/>
      <c r="FG13" s="484"/>
      <c r="FH13" s="443"/>
      <c r="FI13" s="485"/>
      <c r="FJ13" s="485"/>
      <c r="FK13" s="485"/>
      <c r="FL13" s="485"/>
      <c r="FM13" s="485"/>
      <c r="FN13" s="485"/>
      <c r="FO13" s="485"/>
      <c r="FP13" s="485"/>
      <c r="FQ13" s="485"/>
      <c r="FR13" s="485"/>
      <c r="FS13" s="485"/>
      <c r="FT13" s="485"/>
      <c r="FU13" s="485"/>
      <c r="FV13" s="485"/>
      <c r="FW13" s="485"/>
      <c r="FX13" s="485"/>
      <c r="FY13" s="485"/>
      <c r="FZ13" s="485"/>
      <c r="GA13" s="485"/>
      <c r="GB13" s="485"/>
      <c r="GC13" s="485"/>
      <c r="GD13" s="443"/>
      <c r="GE13" s="485"/>
      <c r="GF13" s="485"/>
      <c r="GG13" s="485"/>
      <c r="GH13" s="485"/>
      <c r="GI13" s="485"/>
      <c r="GJ13" s="485"/>
      <c r="GK13" s="485"/>
      <c r="GL13" s="485"/>
      <c r="GM13" s="485"/>
      <c r="GN13" s="485"/>
      <c r="GO13" s="485"/>
      <c r="GP13" s="485"/>
      <c r="GQ13" s="485"/>
      <c r="GR13" s="485"/>
      <c r="GS13" s="485"/>
      <c r="GT13" s="485"/>
      <c r="GU13" s="485"/>
      <c r="GV13" s="485"/>
      <c r="GW13" s="485"/>
      <c r="GX13" s="486"/>
      <c r="GY13" s="485"/>
      <c r="GZ13" s="485"/>
      <c r="HA13" s="485"/>
      <c r="HB13" s="485"/>
      <c r="HC13" s="485"/>
      <c r="HD13" s="485"/>
      <c r="HE13" s="485"/>
      <c r="HF13" s="485"/>
      <c r="HG13" s="485"/>
      <c r="HH13" s="485"/>
      <c r="HI13" s="485"/>
      <c r="HJ13" s="485"/>
      <c r="HK13" s="485"/>
      <c r="HL13" s="485"/>
      <c r="HM13" s="485"/>
      <c r="HN13" s="485"/>
      <c r="HO13" s="485"/>
      <c r="HP13" s="485"/>
      <c r="HQ13" s="485"/>
      <c r="HR13" s="485"/>
      <c r="HS13" s="777"/>
      <c r="HT13" s="746"/>
      <c r="HU13" s="746"/>
      <c r="HV13" s="753"/>
      <c r="HW13" s="543"/>
      <c r="HX13" s="543"/>
      <c r="HY13" s="543" t="s">
        <v>21</v>
      </c>
      <c r="HZ13" s="543" t="s">
        <v>22</v>
      </c>
      <c r="IA13" s="750" t="s">
        <v>110</v>
      </c>
      <c r="IB13" s="751"/>
      <c r="IC13" s="544"/>
      <c r="ID13" s="545"/>
      <c r="IE13" s="222" t="s">
        <v>215</v>
      </c>
      <c r="IF13" s="229" t="s">
        <v>232</v>
      </c>
      <c r="IG13" s="227" t="s">
        <v>307</v>
      </c>
      <c r="IH13" s="422" t="s">
        <v>275</v>
      </c>
      <c r="II13" s="736"/>
      <c r="IJ13" s="182"/>
    </row>
    <row r="14" spans="2:270" s="40" customFormat="1" ht="24.75" customHeight="1" thickTop="1" x14ac:dyDescent="0.35">
      <c r="B14" s="258"/>
      <c r="C14" s="310">
        <f>R14</f>
        <v>1</v>
      </c>
      <c r="D14" s="311" t="str">
        <f>IF(S14=0,0,VLOOKUP(S14,'قائمة الأسعار'!$C$13:$H$45,2,0))</f>
        <v>شريحة 4.6 سم مدار</v>
      </c>
      <c r="E14" s="312">
        <f>T14</f>
        <v>0</v>
      </c>
      <c r="F14" s="313">
        <f>IF(V14=0,0,IF(AND(S14=$CI$17,X14=$BF$14),AO14-0.5,IF(AND(S14=$CI$23,X14=$BF$14),AO14-0.5,AO14)))</f>
        <v>103.6</v>
      </c>
      <c r="G14" s="313">
        <f>AN14</f>
        <v>166.5</v>
      </c>
      <c r="H14" s="314">
        <f>IF(W14=0,0,IF(AV14&gt;7,AQ14+3,AQ14))</f>
        <v>37</v>
      </c>
      <c r="I14" s="315">
        <f>$AR14</f>
        <v>1.7249399999999997</v>
      </c>
      <c r="J14" s="316">
        <f t="shared" ref="J14:J23" si="0">AA14</f>
        <v>1</v>
      </c>
      <c r="K14" s="315">
        <f>J14*I14</f>
        <v>1.7249399999999997</v>
      </c>
      <c r="L14" s="317">
        <f>IF(S14=0,0,IF(T14="لون خاص",VLOOKUP(D14,'قائمة الأسعار'!$D$48:$F$62,3,0),VLOOKUP(D14,'قائمة الأسعار'!$D$13:$F$27,3,0)))</f>
        <v>1</v>
      </c>
      <c r="M14" s="318">
        <f t="shared" ref="M14:M23" si="1">L14*J14*I14</f>
        <v>1.7249399999999997</v>
      </c>
      <c r="N14" s="315">
        <f>IF(S14=0,0,(IF(OR(S14=$CI$17,S14=$CI$18,S14=$CI$22,S14=$CI$23),K14,K14-(VLOOKUP(D14,'قائمة الأسعار'!$D$13:$G$47,4,FALSE)*J14*F14)/10000)))</f>
        <v>1.6772839999999998</v>
      </c>
      <c r="O14" s="612">
        <f>IF(S14=0,0,IF(T14="لون خاص",VLOOKUP(D14,'قائمة الأسعار'!$D$48:$G$62,4,0),VLOOKUP(D14,'قائمة الأسعار'!$D$13:$G$47,4,0)))</f>
        <v>4.5999999999999996</v>
      </c>
      <c r="Q14" s="91"/>
      <c r="R14" s="199">
        <v>1</v>
      </c>
      <c r="S14" s="200" t="s">
        <v>418</v>
      </c>
      <c r="T14" s="200"/>
      <c r="U14" s="200"/>
      <c r="V14" s="201">
        <v>100</v>
      </c>
      <c r="W14" s="201">
        <v>150</v>
      </c>
      <c r="X14" s="201" t="s">
        <v>24</v>
      </c>
      <c r="Y14" s="201"/>
      <c r="Z14" s="201" t="b">
        <v>1</v>
      </c>
      <c r="AA14" s="200">
        <v>1</v>
      </c>
      <c r="AB14" s="201"/>
      <c r="AC14" s="219"/>
      <c r="AD14" s="620"/>
      <c r="AE14" s="620"/>
      <c r="AF14" s="621"/>
      <c r="AG14" s="193"/>
      <c r="AH14" s="202"/>
      <c r="AI14" s="203" t="str">
        <f t="shared" ref="AI14:AI38" si="2">IF(BJ14="error",$IM$12,IF(IC14=" آلية التحريك اليدوي غير مناسبة لمنتجات الحماية",IC14,ID14))</f>
        <v/>
      </c>
      <c r="AJ14" s="63"/>
      <c r="AK14" s="53"/>
      <c r="AL14" s="141"/>
      <c r="AM14" s="488"/>
      <c r="AN14" s="489">
        <f>AR14*10000/AO14</f>
        <v>166.5</v>
      </c>
      <c r="AO14" s="490" cm="1">
        <f t="array" ref="AO14">IF(V14&lt;&gt;0,IF($AW$12=$BB$4,IF(X14=$BF$14,V14-1,IF(X14=$BF$13,V14+8.5,V14-7.5)),IF(X14=$BF$14,V14-1,IF(X14=$BF$13,IF(OR(S14=$CI$15:$CI$19,S14=$CI$38,S14=$CI$40),V14+3.6,IF(S14=$CI$39,V14+2.9,V14+4)),IF(OR(S14=$CI$15:$CI$19,S14=$CI$38,S14=$CI$40),V14-12.4,IF(S14=$CI$39,V14-13.1,V14-12))))),0)</f>
        <v>103.6</v>
      </c>
      <c r="AP14" s="491">
        <f>IF(X14="حصيرة فقط",W14,IF(OR(S14=$CI$17,S14=$CI$18,S14=$CI$19,S14=$CI$23,S14=$CI$29,S14=$CI$32,S14=$CI$33,S14=$CI$34,S14=$CI$35,S14=$CI$38,S14=$CI$39,S14=$CI$42,S14=$CI$44,S14=$CI$46,S14=$CI$47),IF(V14=0,0,IF(X14=$BF$13,W14+5.5+5.5+5.5,W14-AS14+5.5+5.5+5.5)),IF(OR(S14=$CI$15,S14=$CI$20,S14=$CI$24,S14=$CI$26,S14=$CI$28,S14=$CI$43,S14=$CI$45),IF(V14=0,0,IF(X14=$BF$13,W14+9+5.3,W14-AS14+9+5.3)),IF(OR(S14=$CI$22),IF(V14=0,0,IF(X14=$BF$13,W14+7.8+5.3,W14-AS14+7.8+5.3)),IF(V14=0,0,IF(X14=$BF$13,W14+5.8+5.8+5.3,W14-AS14+5.8+5.8+5.3))))))</f>
        <v>164.3</v>
      </c>
      <c r="AQ14" s="491">
        <f>IF(W14=0,0,IF(S14=$CI$19,ROUND((AP14/5.5),0),IF(OR(S14=$CI$17,S14=$CI$18,S14=$CI$21,S14=$CI$23,S14=$CI$25,S14=$CI$27,S14=$CI$29,S14=$CI$32,S14=$CI$33,S14=$CI$38,S14=$CI$44,S14=$CI$46),ROUND((AP14/5.5),0),IF(OR(S14=$CI$15,S14=$CI$26,S14=$CI$28,S14=$CI$43),ROUND(AP14/4.5,0),IF(OR(S14=$CI$16,S14=$CI$34,S14=$CI$35,S14=$CI$39),ROUND(AP14/5.8,0),IF(OR(S14=$CI$20,S14=$CI$24),ROUND(AP14/4.25,0),IF(OR(S14=$CI$22),ROUND(AP14/3.9,0),IF(OR(S14=$CI$30,S14=$CI$31,S14=$CI$36,S14=$CI$37,S14=$CI$41,S14=$CI$47),ROUND(AP14/5,0),IF(OR(S14=$CI$40),ROUND(AP14/4,0),IF(OR(S14=$CI$42),ROUND(AP14/5.6,0),IF(OR(S14=$CI$45),ROUND(AP14/4.3,0))))))))))))</f>
        <v>37</v>
      </c>
      <c r="AR14" s="492">
        <f>IF(S14=$CI$19,((AQ14*AO14*5.5)/10000),IF(OR(S14=$CI$17,S14=$CI$18,S14=$CI$21,S14=$CI$23,S14=$CI$25,S14=$CI$27,S14=$CI$29,S14=$CI$32,S14=$CI$33,S14=$CI$38,S14=$CI$44,S14=$CI$46),((AQ14*AO14*5.5)/10000),IF(OR(S14=$CI$15,S14=$CI$26,S14=$CI$28,S14=$CI$43),((AQ14*AO14*4.5)/10000),IF(OR(S14=$CI$16,S14=$CI$34,S14=$CI$35,S14=$CI$39),((AQ14*AO14*5.8)/10000),IF(OR(S14=$CI$20,S14=$CI$24),((AQ14*AO14*4.25)/10000),IF(OR(S14=$CI$22),((AQ14*AO14*3.9)/10000),IF(OR(S14=$CI$30,S14=$CI$31,S14=$CI$36,S14=$CI$37,S14=$CI$41,S14=$CI$47),((AQ14*AO14*5)/10000),IF(OR(S14=$CI$40),((AQ14*AO14*4)/10000),IF(OR(S14=$CI$42),((AQ14*AO14*5.6)/10000),IF(OR(S14=$CI$45),((AQ14*AO14*4.3)/10000),0))))))))))</f>
        <v>1.7249399999999997</v>
      </c>
      <c r="AS14" s="493">
        <f>IF(X14="حصيرة فقط",0,IF($S14=CM$12,CM14,CN14))</f>
        <v>16.5</v>
      </c>
      <c r="AT14" s="493">
        <f>IF(X14=$BF$14,0,IF(X14=$BF$13,V14+16,V14))</f>
        <v>116</v>
      </c>
      <c r="AU14" s="493">
        <f>AT14*AA14</f>
        <v>116</v>
      </c>
      <c r="AV14" s="493">
        <f>IF(V14=0,0,IF(X14="حصيرة فقط",0,IF(BD14&gt;50,IF(DW14&gt;9,9,7),DW14)))</f>
        <v>6</v>
      </c>
      <c r="AW14" s="494">
        <f>IF(V14=0,0,IF(OR(S14=$CI$15,S14=$CI$20,S14=$CI$22,S14=$CI$24,S14=$CI$26,S14=$CI$28,S14=$CI$30,S14=$CI$31,S14=$CI$36,S14=$CI$37,S14=$CI$40,S14=$CI$41,S14=$CI$43,S14=$CI$45,S14=$CI$47),4.5,5.8))</f>
        <v>4.5</v>
      </c>
      <c r="AX14" s="494">
        <f>IF(S14="",0,IF(Z14=TRUE,IF(X14=$BF$14,0,IF(X14=$BF$13,W14,W14-AS14))+3,IF(X14=$BF$14,0,IF(X14=$BF$13,W14,W14-AS14))))</f>
        <v>153</v>
      </c>
      <c r="AY14" s="494">
        <f>AX14*AA14</f>
        <v>153</v>
      </c>
      <c r="AZ14" s="495" t="str">
        <f>IF(X14="حصيرة فقط",0,IF(AO14=0,0,IF(OR(S14=$CI$15,S14=$CI$16,S14=$CI$20,S14=$CI$21,S14=$CI$26,S14=$CI$27,S14=$CI$24,S14=$CI$25,S14=$CI$28,S14=$CI$29,S14=$CI$22,S14=$CI$40,S14=$CI$43,S14=$CI$45,S14=$CI$30,S14=$CI$31,S14=$CI$32,S14=$CI$34,S14=$CI$35,S14=$CI$37,S14=$CI$38,S14=$CI$39,S14=$CI$41,S14=$CI$42,S14=$CI$44),IF(OR(S14=$CI$15,S14=$CI$20,S14=$CI$26,S14=$CI$28,S14=$CI$24,S14=$CI$22,S14=$CI$40,S14=$CI$43,S14=$CI$45),"نابضية ص","نابضية ك"),AV14)))</f>
        <v>نابضية ص</v>
      </c>
      <c r="BA14" s="495">
        <f>IF(X14=$BF$14,0,IF(OR(AZ14="نابضية ص",AZ14="نابضية ك"),ROUNDUP(IF(AR14&lt;=2,3,AR14*1),0),IF(AO14&lt;100,2,ROUNDUP(AO14/100,0))))</f>
        <v>3</v>
      </c>
      <c r="BB14" s="495">
        <f>BA14*AA14</f>
        <v>3</v>
      </c>
      <c r="BC14" s="496" cm="1">
        <f t="array" ref="BC14">IF(OR($AB14=$BF$22:$BF$40),$AB14,0)</f>
        <v>0</v>
      </c>
      <c r="BD14" s="496" cm="1">
        <f t="array" ref="BD14">IF(OR($AB14=$BF$22:$BF$40),IF(AC14=$CH$14,BK14,IF(AC14=$CH$13,BJ14,BI14)),0)</f>
        <v>0</v>
      </c>
      <c r="BE14" s="497" cm="1">
        <f t="array" ref="BE14">IF(OR(AB14=$BF$22:$BF$40),AA14,0)</f>
        <v>0</v>
      </c>
      <c r="BF14" s="498" t="s">
        <v>111</v>
      </c>
      <c r="BH14" s="499">
        <f>VLOOKUP(S14,$CI$15:$CK$49,3,0)*AR14</f>
        <v>4.3123499999999995</v>
      </c>
      <c r="BI14" s="498">
        <f>IF(OR(AC14=$CH$14,AC14=$CH$13),0,IF(OR(AB14=$FI$12,AB14=$FP$12,AB14=$FQ$12,AB14=$FR$12,AB14=$FS$12,AB14=$FT$12,AB14=$FV$12,AB14=$FW$12,AB14=$FX$12,AB14=$FY$12,AB14=$FZ$12,AB14=$GA$12),FI14,IF(AB14="asa",FJ14,IF(AB14="Gaposa",FK14,IF(OR(AB14=$FL$12,AB14=$FU$12),FL14,IF(AB14="سيبار",FM14,IF(AB14="feierge",FN14,IF(AB14="feierge short",FO14,0))))))))</f>
        <v>0</v>
      </c>
      <c r="BJ14" s="498">
        <f>IF(AC14="مدمج",IF(OR(AB14=$GE$12,AB14=$GL$12,AB14=$GM$12,AB14=$GN$12,AB14=$GO$12,AB14=$GP$12,AB14=$GQ$12,AB14=$GR$12,AB14=$GS$12,AB14=$GT$12,AB14=$GU$12),GE14,IF(AB14="asa",GF14,IF(AB14="Gaposa",GG14,IF(AB14="دويا شورت",GH14,IF(AB14="سيبار",GI14,IF(AB14="سيمو",GJ14,IF(AB14="هيولايت",GK14,0))))))),0)</f>
        <v>0</v>
      </c>
      <c r="BK14" s="498">
        <f>IF(AC14="مانافيلا",IF(OR(AB14=$GY$12,AB14=$HF$12,AB14=$HG$12,AB14=$HH$12,AB14=$HI$12,AB14=$HJ$12,AB14=$HK$12,AB14=$HL$12,AB14=$HM$12,AB14=$HN$12,AB14=$HO$12,AB14=$HP$12),GY14,IF(AB14="asa",GZ14,IF(AB14="Gaposa",HA14,IF(AB14="دويا شورت",HB14,IF(AB14="سيبار",HC14,IF(AB14="سيمو",HD14,IF(AB14="هيولايت",HE14,0))))))),0)</f>
        <v>0</v>
      </c>
      <c r="BL14" s="500">
        <f>IF(BE14&gt;0,AV14,IF(OR(AB14="محرك من الزبون",AB14="ACM30-1",AB14="ACM30-2"),AV14,0))</f>
        <v>0</v>
      </c>
      <c r="BM14" s="500">
        <f t="shared" ref="BM14:BM38" si="3">IF($AD14=$BI$42,AA14,0)</f>
        <v>0</v>
      </c>
      <c r="BN14" s="500">
        <f t="shared" ref="BN14:BN38" si="4">IF($AD14=$BI$43,AA14,0)</f>
        <v>0</v>
      </c>
      <c r="BO14" s="500">
        <f t="shared" ref="BO14:BO38" si="5">IF($AD14=$BI$44,AA14,0)</f>
        <v>0</v>
      </c>
      <c r="BP14" s="500">
        <f t="shared" ref="BP14:BP38" si="6">IF($AD14=$BI$45,AA14,0)</f>
        <v>0</v>
      </c>
      <c r="BQ14" s="500">
        <f t="shared" ref="BQ14:BQ38" si="7">IF($AD14=$BI$46,AA14,0)</f>
        <v>0</v>
      </c>
      <c r="BR14" s="500">
        <f t="shared" ref="BR14:BR38" si="8">IF($AD14=$BI$47,AA14,0)</f>
        <v>0</v>
      </c>
      <c r="BS14" s="500">
        <f t="shared" ref="BS14:BS38" si="9">IF($AD14=$BI$48,AA14,0)</f>
        <v>0</v>
      </c>
      <c r="BT14" s="496">
        <f t="shared" ref="BT14:BT38" si="10">IF($AE14=$BH$42,AA14,0)</f>
        <v>0</v>
      </c>
      <c r="BU14" s="496">
        <f t="shared" ref="BU14:BU38" si="11">IF($AE14=$BH$43,AA14,0)</f>
        <v>0</v>
      </c>
      <c r="BV14" s="496">
        <f t="shared" ref="BV14:BV38" si="12">IF($AE14=$BH$44,AA14,0)</f>
        <v>0</v>
      </c>
      <c r="BW14" s="496">
        <f t="shared" ref="BW14:BW38" si="13">IF($AE14=$BH$45,AA14,0)</f>
        <v>0</v>
      </c>
      <c r="BX14" s="496">
        <f t="shared" ref="BX14:BX38" si="14">IF($AE14=$BH$46,AA14,0)</f>
        <v>0</v>
      </c>
      <c r="BY14" s="496">
        <f t="shared" ref="BY14:BY38" si="15">IF($AE14=$BH$47,AA14,0)</f>
        <v>0</v>
      </c>
      <c r="BZ14" s="496">
        <f>IF($AF14=$BG$13,$AA14,0)</f>
        <v>0</v>
      </c>
      <c r="CA14" s="496">
        <f t="shared" ref="CA14:CA38" si="16">IF($AF14=$BJ$42,$AA14,0)</f>
        <v>0</v>
      </c>
      <c r="CB14" s="496">
        <f t="shared" ref="CB14:CB38" si="17">IF($AF14=$BJ$43,$AA14,0)</f>
        <v>0</v>
      </c>
      <c r="CC14" s="496">
        <f t="shared" ref="CC14:CC38" si="18">IF($AF14=$BJ$44,$AA14,0)</f>
        <v>0</v>
      </c>
      <c r="CD14" s="496">
        <f t="shared" ref="CD14:CD38" si="19">IF($AF14=$BJ$45,$AA14,0)</f>
        <v>0</v>
      </c>
      <c r="CE14" s="501">
        <f>IF(AB14="طقم شريط كامل صغير ( مع كوباية شفط + كوباية عجل + طارة عجل )",AA14,0)</f>
        <v>0</v>
      </c>
      <c r="CF14" s="501">
        <f>IF(AB14="طقم شريط كامل كبير ( مع كوباية شفط + كوباية عجل + طارة عجل )",AA14,0)</f>
        <v>0</v>
      </c>
      <c r="CG14" s="502">
        <f>IF(AB14="طقم مانفيلا كامل",AA14,0)</f>
        <v>0</v>
      </c>
      <c r="CH14" s="498" t="s">
        <v>279</v>
      </c>
      <c r="CI14" s="498" t="s">
        <v>90</v>
      </c>
      <c r="CJ14" s="483"/>
      <c r="CK14" s="483" t="s">
        <v>470</v>
      </c>
      <c r="CL14" s="777"/>
      <c r="CM14" s="503">
        <f>IF($S14=CM$12,IF(W14&lt;=124,"15",IF(AND(W14&gt;124,W14&lt;=161),16.5,IF(AND(W14&gt;161,W14&lt;=207),18,IF(AND(W14&gt;207,W14&lt;=313),20,IF(AND(W14&gt;313,W14&lt;=400),25,30))))),CN14)</f>
        <v>16.5</v>
      </c>
      <c r="CN14" s="504">
        <f>IF($S14=CN$12,IF(W14&lt;=98,16.5,IF(AND(W14&gt;98,W14&lt;=138),18,IF(AND(W14&gt;138,W14&lt;=185),20,IF(AND(W14&gt;185,W14&lt;=254),22.5,IF(AND(W14&gt;254,W14&lt;=313),25,30))))),CO14)</f>
        <v>0</v>
      </c>
      <c r="CO14" s="504">
        <f>IF($S14=CO$12,IF(W14&lt;=100,16.5,IF(AND(W14&gt;100,W14&lt;=105),18,IF(AND(W14&gt;105,W14&lt;144),20,IF(AND(W14&gt;=144,W14&lt;174),22.5,IF(AND(W14&gt;=174,W14&lt;252),25,30))))),CP14)</f>
        <v>0</v>
      </c>
      <c r="CP14" s="504">
        <f>IF($S14=CP$12,IF(W14&lt;=100,16.5,IF(AND(W14&gt;100,W14&lt;=130),18,IF(AND(W14&gt;130,W14&lt;213),20,IF(AND(W14&gt;=213,W14&lt;233),22.5,IF(AND(W14&gt;=223,W14&lt;323),25,30))))),CQ14)</f>
        <v>0</v>
      </c>
      <c r="CQ14" s="504">
        <f>IF($S14=CQ$12,IF(W14&lt;=100,16.5,IF(AND(W14&gt;100,W14&lt;=114),18,IF(AND(W14&gt;114,W14&lt;157),20,IF(AND(W14&gt;=157,W14&lt;194),25,30)))),CR14)</f>
        <v>0</v>
      </c>
      <c r="CR14" s="504">
        <f>IF($S14=CR$12,IF(W14&lt;=100,"15",IF(AND(W14&gt;100,W14&lt;149),16.5,IF(AND(W14&gt;=149,W14&lt;209),18,IF(AND(W14&gt;=209,W14&lt;269),20,IF(AND(W14&gt;=269,W14&lt;309),22.5,IF(AND(W14&gt;=309,W14&lt;349),25,30)))))),CS14)</f>
        <v>0</v>
      </c>
      <c r="CS14" s="504">
        <f>IF($S14=CS$12,IF(W14&lt;=80,"15",IF(AND(W14&gt;80,W14&lt;100),16.5,IF(AND(W14&gt;=100,W14&lt;149),18,IF(AND(W14&gt;=149,W14&lt;199),20,IF(AND(W14&gt;=199,W14&lt;289),22.5,IF(AND(W14&gt;=289,W14&lt;349),25,30)))))),CT14)</f>
        <v>0</v>
      </c>
      <c r="CT14" s="504">
        <f>IF($S14=CT$12,IF(W14&lt;=100,"15",IF(AND(W14&gt;100,W14&lt;141),16.5,IF(AND(W14&gt;=141,W14&lt;150),18,IF(AND(W14&gt;=150,W14&lt;230),20,IF(AND(W14&gt;=230,W14&lt;270),22.5,IF(AND(W14&gt;=270,W14&lt;400),25,30)))))),CU14)</f>
        <v>0</v>
      </c>
      <c r="CU14" s="504">
        <f>IF($S14=CU$12,IF(W14&lt;=90,16.5,IF(AND(W14&gt;90,W14&lt;101),18,IF(AND(W14&gt;=101,W14&lt;186),20,IF(AND(W14&gt;=186,W14&lt;201),22.5,IF(AND(W14&gt;=201,W14&lt;251),25,30))))),CV14)</f>
        <v>0</v>
      </c>
      <c r="CV14" s="504">
        <f>IF($S14=CV$12,IF(W14&lt;=100,"15",IF(AND(W14&gt;100,W14&lt;149),16.5,IF(AND(W14&gt;=149,W14&lt;209),18,IF(AND(W14&gt;=209,W14&lt;269),20,IF(AND(W14&gt;=269,W14&lt;309),22.5,IF(AND(W14&gt;=309,W14&lt;349),25,30)))))),CW14)</f>
        <v>0</v>
      </c>
      <c r="CW14" s="504">
        <f>IF($S14=CW$12,IF(W14&lt;=80,"15",IF(AND(W14&gt;80,W14&lt;100),16.5,IF(AND(W14&gt;=100,W14&lt;149),18,IF(AND(W14&gt;=149,W14&lt;199),20,IF(AND(W14&gt;=199,W14&lt;289),22.5,IF(AND(W14&gt;=289,W14&lt;349),25,30)))))),CX14)</f>
        <v>0</v>
      </c>
      <c r="CX14" s="504">
        <f>IF($S14=CX$12,IF(W14&lt;=100,"15",IF(AND(W14&gt;=100,W14&lt;125),16.5,IF(AND(W14&gt;=125,W14&lt;180),18,IF(AND(W14&gt;=180,W14&lt;260),20,IF(AND(W14&gt;=260,W14&lt;350),25,30))))),CY14)</f>
        <v>0</v>
      </c>
      <c r="CY14" s="504">
        <f>IF($S14=CY$12,IF(W14&lt;=80,"15",IF(AND(W14&gt;=80,W14&lt;100),16.5,IF(AND(W14&gt;=100,W14&lt;150),18,IF(AND(W14&gt;=150,W14&lt;200),20,IF(AND(W14&gt;=200,W14&lt;320),25,30))))),CZ14)</f>
        <v>0</v>
      </c>
      <c r="CZ14" s="504">
        <f>IF($S14=CZ$12,IF(W14&lt;=100,"15",IF(AND(W14&gt;=100,W14&lt;125),16.5,IF(AND(W14&gt;=125,W14&lt;180),18,IF(AND(W14&gt;=180,W14&lt;260),20,IF(AND(W14&gt;=260,W14&lt;350),25,30))))),DA14)</f>
        <v>0</v>
      </c>
      <c r="DA14" s="505">
        <f>IF($S14=DA$12,IF(W14&lt;=80,"15",IF(AND(W14&gt;=80,W14&lt;100),16.5,IF(AND(W14&gt;=100,W14&lt;150),18,IF(AND(W14&gt;=150,W14&lt;200),20,IF(AND(W14&gt;=200,W14&lt;320),25,30))))),DB14)</f>
        <v>0</v>
      </c>
      <c r="DB14" s="571">
        <f>IF($S14=DB$12,IF(W14&lt;=125,16.5,IF(AND(W14&gt;125,W14&lt;201),18,IF(AND(W14&gt;=201,W14&lt;276),20,IF(AND(W14&gt;=276,W14&lt;331),22.5,IF(AND(W14&gt;=331,W14&lt;401),25,30))))),DC14)</f>
        <v>0</v>
      </c>
      <c r="DC14" s="571">
        <f>IF($S14=DC$12,IF(W14&lt;=100,16.5,IF(AND(W14&gt;100,W14&lt;126),18,IF(AND(W14&gt;=126,W14&lt;151),20,IF(AND(W14&gt;=151,W14&lt;251),22.5,IF(AND(W14&gt;=251,W14&lt;301),25,30))))),DD14)</f>
        <v>0</v>
      </c>
      <c r="DD14" s="571">
        <f>IF($S14=DD$12,IF(W14&lt;=100,16.5,IF(AND(W14&gt;100,W14&lt;126),18,IF(AND(W14&gt;=126,W14&lt;151),20,IF(AND(W14&gt;=151,W14&lt;251),22.5,IF(AND(W14&gt;=251,W14&lt;301),25,30))))),DE14)</f>
        <v>0</v>
      </c>
      <c r="DE14" s="571">
        <f>IF($S14=DE$12,IF(W14&lt;=90,16.5,IF(AND(W14&gt;190,W14&lt;141),18,IF(AND(W14&gt;=141,W14&lt;216),20,IF(AND(W14&gt;=216,W14&lt;256),22.5,IF(AND(W14&gt;=256,W14&lt;331),25,30))))),DF14)</f>
        <v>0</v>
      </c>
      <c r="DF14" s="571">
        <f>IF($S14=DF$12,IF(W14&lt;=90,16.5,IF(AND(W14&gt;90,W14&lt;161),18,IF(AND(W14&gt;=161,W14&lt;221),20,IF(AND(W14&gt;=221,W14&lt;281),22.5,IF(AND(W14&gt;=281,W14&lt;341),25,30))))),DG14)</f>
        <v>0</v>
      </c>
      <c r="DG14" s="571">
        <f>IF($S14=DG$12,IF(W14&lt;=90,16.5,IF(AND(W14&gt;90,W14&lt;161),18,IF(AND(W14&gt;=161,W14&lt;221),20,IF(AND(W14&gt;=221,W14&lt;281),22.5,IF(AND(W14&gt;=281,W14&lt;341),25,30))))),DH14)</f>
        <v>0</v>
      </c>
      <c r="DH14" s="571">
        <f>IF($S14=DH$12,IF(W14&lt;=100,16.5,IF(AND(W14&gt;100,W14&lt;126),18,IF(AND(W14&gt;=126,W14&lt;151),20,IF(AND(W14&gt;=151,W14&lt;251),22.5,IF(AND(W14&gt;=251,W14&lt;301),25,30))))),DI14)</f>
        <v>0</v>
      </c>
      <c r="DI14" s="571">
        <f>IF($S14=DI$12,IF(W14&lt;=125,16.5,IF(AND(W14&gt;125,W14&lt;201),18,IF(AND(W14&gt;=201,W14&lt;276),20,IF(AND(W14&gt;=276,W14&lt;331),22.5,IF(AND(W14&gt;=331,W14&lt;401),25,30))))),DJ14)</f>
        <v>0</v>
      </c>
      <c r="DJ14" s="571">
        <f>IF($S14=DJ$12,IF(W14&lt;=103,16.5,IF(AND(W14&gt;103,W14&lt;140),18,IF(AND(W14&gt;=140,W14&lt;195),20,IF(AND(W14&gt;=195,W14&lt;256),22.5,IF(AND(W14&gt;=256,W14&lt;323),25,30))))),DK14)</f>
        <v>0</v>
      </c>
      <c r="DK14" s="571">
        <f>IF($S14=DK$12,IF(W14&lt;=96,16.5,IF(AND(W14&gt;96,W14&lt;136),18,IF(AND(W14&gt;=136,W14&lt;252),22.5,IF(AND(W14&gt;=252,W14&lt;311),25,30)))),DL14)</f>
        <v>0</v>
      </c>
      <c r="DL14" s="571">
        <f>IF($S14=DL$12,IF(W14&lt;=103,16.5,IF(AND(W14&gt;103,W14&lt;192),18,IF(AND(W14&gt;=192,W14&lt;247),20,IF(AND(W14&gt;=247,W14&lt;295),22.5,IF(AND(W14&gt;=295,W14&lt;401),25,30))))),DM14)</f>
        <v>0</v>
      </c>
      <c r="DM14" s="571">
        <f>IF($S14=DM$12,IF($W14&lt;=115,16.5,IF(AND($W14&gt;115,$W14&lt;123),18,IF(AND($W14&gt;=123,$W14&lt;198),20,IF(AND($W14&gt;=198,$W14&lt;228),22.5,IF(AND($W14&gt;=228,$W14&lt;278),25,30))))),DN14)</f>
        <v>0</v>
      </c>
      <c r="DN14" s="571">
        <f>IF($S14=DN$12,IF($W14&lt;=115,16.5,IF(AND($W14&gt;115,$W14&lt;123),18,IF(AND($W14&gt;=123,$W14&lt;198),20,IF(AND($W14&gt;=198,$W14&lt;228),22.5,IF(AND($W14&gt;=228,$W14&lt;278),25,30))))),DO14)</f>
        <v>0</v>
      </c>
      <c r="DO14" s="571">
        <f>IF($S14=DO$12,IF($W14&lt;=115,16.5,IF(AND($W14&gt;115,$W14&lt;123),18,IF(AND($W14&gt;=123,$W14&lt;198),20,IF(AND($W14&gt;=198,$W14&lt;228),22.5,IF(AND($W14&gt;=228,$W14&lt;278),25,30))))),DP14)</f>
        <v>0</v>
      </c>
      <c r="DP14" s="571">
        <f>IF($S14=DP$12,IF($W14&lt;=120,16.5,IF(AND($W14&gt;120,$W14&lt;181),18,IF(AND($W14&gt;=181,$W14&lt;241),20,IF(AND($W14&gt;=241,$W14&lt;301),22.5,IF(AND($W14&gt;=301,$W14&lt;321),25,30))))),DQ14)</f>
        <v>0</v>
      </c>
      <c r="DQ14" s="571">
        <f t="shared" ref="DQ14:DQ29" si="20">IF($S14=DQ$12,IF($W14&lt;=115,16.5,IF(AND($W14&gt;115,$W14&lt;123),18,IF(AND($W14&gt;=123,$W14&lt;198),20,IF(AND($W14&gt;=198,$W14&lt;228),22.5,IF(AND($W14&gt;=228,$W14&lt;278),25,30))))),DR14)</f>
        <v>0</v>
      </c>
      <c r="DR14" s="571">
        <f>IF($S14=DR$12,IF(W14&lt;=100,16.5,IF(AND(W14&gt;100,W14&lt;=105),18,IF(AND(W14&gt;105,W14&lt;144),20,IF(AND(W14&gt;=144,W14&lt;174),22.5,IF(AND(W14&gt;=174,W14&lt;252),25,30))))),DS14)</f>
        <v>0</v>
      </c>
      <c r="DS14" s="571">
        <f>IF($S14=DS$12,IF($W14&lt;=115,16.5,IF(AND($W14&gt;115,$W14&lt;123),18,IF(AND($W14&gt;=123,$W14&lt;198),20,IF(AND($W14&gt;=198,$W14&lt;228),22.5,IF(AND($W14&gt;=228,$W14&lt;278),25,30))))),0)</f>
        <v>0</v>
      </c>
      <c r="DT14" s="571"/>
      <c r="DU14" s="571"/>
      <c r="DV14" s="777"/>
      <c r="DW14" s="503">
        <f>IF($S14=DW$12,IF(AND(AO14&lt;=320,BH14&lt;=50),6,7),DX14)</f>
        <v>6</v>
      </c>
      <c r="DX14" s="503">
        <f>IF($S14=DX$12,IF(AND(AO14&lt;=320,BH14&lt;=50),6,7),DY14)</f>
        <v>0</v>
      </c>
      <c r="DY14" s="503" cm="1">
        <f t="array" ref="DY14">IF($S14=DY$12,IF(AND(AO14&lt;=250,BH14&lt;=60),6,IF(OR(AO14&lt;=350,BH14&lt;=80),7,IF(OR(AND(AO14&gt;350,AO&lt;=120),BH14&lt;=120),9,12))),DZ14)</f>
        <v>0</v>
      </c>
      <c r="DZ14" s="504">
        <f>IF($S14=DZ$12,IF(AND(AO14&lt;=250,BH14&lt;=60),6,IF(OR(AO14&lt;=350,BH14&lt;=80),7,IF(OR(AO14&lt;=400,BH14&lt;=120),9,12))),EA14)</f>
        <v>0</v>
      </c>
      <c r="EA14" s="504">
        <f>IF($S14=EA$12,IF(AND(AO14&lt;=250,BH14&lt;=60),6,IF(OR(AO14&lt;=350,BH14&lt;=80),7,9)),EB14)</f>
        <v>0</v>
      </c>
      <c r="EB14" s="504">
        <f>IF($S14=EB$12,IF(AND(AO14&lt;=320,BH14&lt;=50),6,7),EC14)</f>
        <v>0</v>
      </c>
      <c r="EC14" s="504">
        <f>IF($S14=EC$12,IF(AND(AO14&lt;=320,BH14&lt;=50),6,7),ED14)</f>
        <v>0</v>
      </c>
      <c r="ED14" s="504">
        <f>IF($S14=ED$12,IF(AND(AO14&lt;=250,BH14&lt;=60),6,IF(OR(AO14&lt;=350,BH14&lt;=80),7,9)),EE14)</f>
        <v>0</v>
      </c>
      <c r="EE14" s="504">
        <f>IF($S14=EE$12,IF(AND(AO14&lt;=250,BH14&lt;=60),6,IF(OR(AO14&lt;=350,BH14&lt;=80),7,9)),EF14)</f>
        <v>0</v>
      </c>
      <c r="EF14" s="504">
        <f>IF($S14=EF$12,IF(AND(AO14&lt;=320,BH14&lt;=50),6,7),EG14)</f>
        <v>0</v>
      </c>
      <c r="EG14" s="504">
        <f>IF($S14=EG$12,IF(AND(AO14&lt;=320,BH14&lt;=50),6,7),EH14)</f>
        <v>0</v>
      </c>
      <c r="EH14" s="504">
        <f>IF($S14=EH$12,IF(AND(AO14&lt;=320,BH14&lt;=50),6,7),EI14)</f>
        <v>0</v>
      </c>
      <c r="EI14" s="504">
        <f>IF($S14=EI$12,IF(AND(AO14&lt;=320,BH14&lt;=50),6,7),EJ14)</f>
        <v>0</v>
      </c>
      <c r="EJ14" s="504">
        <f>IF($S14=EJ$12,IF(AND(AO14&lt;=320,BH14&lt;=50),6,7),EK14)</f>
        <v>0</v>
      </c>
      <c r="EK14" s="505">
        <f>IF($S14=EK$12,IF(AND(AO14&lt;=320,BH14&lt;=50),6,7),EL14)</f>
        <v>0</v>
      </c>
      <c r="EL14" s="571">
        <f t="shared" ref="EL14:ET14" si="21">IF($S14=EL$12,IF(AND($AO14&lt;=320,$BH14&lt;=50),6,7),EM14)</f>
        <v>0</v>
      </c>
      <c r="EM14" s="571">
        <f t="shared" si="21"/>
        <v>0</v>
      </c>
      <c r="EN14" s="571">
        <f t="shared" si="21"/>
        <v>0</v>
      </c>
      <c r="EO14" s="571">
        <f t="shared" si="21"/>
        <v>0</v>
      </c>
      <c r="EP14" s="571">
        <f t="shared" si="21"/>
        <v>0</v>
      </c>
      <c r="EQ14" s="571">
        <f t="shared" si="21"/>
        <v>0</v>
      </c>
      <c r="ER14" s="571">
        <f t="shared" si="21"/>
        <v>0</v>
      </c>
      <c r="ES14" s="571">
        <f t="shared" si="21"/>
        <v>0</v>
      </c>
      <c r="ET14" s="571">
        <f t="shared" si="21"/>
        <v>0</v>
      </c>
      <c r="EU14" s="571">
        <f>IF($S14=EU$12,IF(AND($AO14&lt;=320,$BH14&lt;50),6,7),EV14)</f>
        <v>0</v>
      </c>
      <c r="EV14" s="571">
        <f t="shared" ref="EV14:FA14" si="22">IF($S14=EV$12,IF(AND($AO14&lt;=320,$BH14&lt;=50),6,7),EW14)</f>
        <v>0</v>
      </c>
      <c r="EW14" s="571">
        <f t="shared" si="22"/>
        <v>0</v>
      </c>
      <c r="EX14" s="571">
        <f t="shared" si="22"/>
        <v>0</v>
      </c>
      <c r="EY14" s="571">
        <f t="shared" si="22"/>
        <v>0</v>
      </c>
      <c r="EZ14" s="571">
        <f t="shared" si="22"/>
        <v>0</v>
      </c>
      <c r="FA14" s="571">
        <f t="shared" si="22"/>
        <v>0</v>
      </c>
      <c r="FB14" s="571">
        <f t="shared" ref="FB14:FB38" si="23">IF($S14=FB$12,IF(AND(AO14&lt;=250,BH14&lt;=60),6,IF(OR(AO14&lt;=350,BH14&lt;=80),7,IF(OR(AO14&gt;350,BH14&lt;=120),9,12))),FC14)</f>
        <v>0</v>
      </c>
      <c r="FC14" s="571">
        <f>IF($S14=FC$12,IF(AND($AO14&lt;=320,$BH14&lt;=50),6,7),0)</f>
        <v>0</v>
      </c>
      <c r="FD14" s="571"/>
      <c r="FE14" s="571"/>
      <c r="FF14" s="571"/>
      <c r="FG14" s="571"/>
      <c r="FH14" s="443"/>
      <c r="FI14" s="505">
        <f>IF(BH14&lt;8,8,IF(AND(BH14&gt;=8,BH14&lt;10),10,IF(AND(BH14&gt;=10,BH14&lt;15),15,IF(AND(BH14&gt;=15,BH14&lt;20),20,IF(AND(BH14&gt;=20,BH14&lt;30),30,IF(AND(BH14&gt;=30,BH14&lt;40),40,IF(AND(BH14&gt;=40,BH14&lt;50),50,IF(AND(BH14&gt;=50,BH14&lt;60),60,IF(AND(BH14&gt;=60,BH14&lt;80),80,IF(AND(BH14&gt;=80,BH14&lt;100),100,IF(AND(BH14&gt;=100,BH14&lt;120),120,IF(AND(BH14&gt;=120,BH14&lt;150),150,IF(AND(BH14&gt;=150,BH14&lt;250),250,"error")))))))))))))</f>
        <v>8</v>
      </c>
      <c r="FJ14" s="505">
        <f>IF(BH14&lt;6,6,IF(AND(BH14&gt;=6,BH14&lt;10),10,IF(AND(BH14&gt;=10,BH14&lt;15),15,IF(AND(BH14&gt;=15,BH14&lt;20),20,IF(AND(BH14&gt;=20,BH14&lt;30),30,IF(AND(BH14&gt;=30,BH14&lt;40),40,IF(AND(BH14&gt;=40,BH14&lt;50),50,IF(AND(BH14&gt;=50,BH14&lt;80),80,IF(AND(BH14&gt;=80,BH14&lt;100),100,IF(AND(BH14&gt;=100,BH14&lt;120),120,IF(AND(BH14&gt;=120,BH14&lt;150),150,IF(AND(BH14&gt;=150,BH14&lt;250),250,"error"))))))))))))</f>
        <v>6</v>
      </c>
      <c r="FK14" s="505">
        <f>IF(BH14&lt;6,6,IF(AND(BH14&gt;=6,BH14&lt;10),10,IF(AND(BH14&gt;=10,BH14&lt;15),15,IF(AND(BH14&gt;=15,BH14&lt;20),20,IF(AND(BH14&gt;=20,BH14&lt;30),30,IF(AND(BH14&gt;=30,BH14&lt;40),40,IF(AND(BH14&gt;=40,BH14&lt;50),50,IF(AND(BH14&gt;=50,BH14&lt;60),60,IF(AND(BH14&gt;=60,BH14&lt;80),80,IF(AND(BH14&gt;=80,BH14&lt;100),100,IF(AND(BH14&gt;=100,BH14&lt;120),120,IF(AND(BH14&gt;=120,BH14&lt;150),150,IF(AND(BH14&gt;=150,BH14&lt;250),250,"error")))))))))))))</f>
        <v>6</v>
      </c>
      <c r="FL14" s="505">
        <f>IF(BH14&lt;6,6,IF(AND(BH14&gt;=6,BH14&lt;10),10,IF(AND(BH14&gt;=10,BH14&lt;15),15,IF(AND(BH14&gt;=15,BH14&lt;20),20,IF(AND(BH14&gt;=20,BH14&lt;30),30,IF(AND(BH14&gt;=30,BH14&lt;40),40,IF(AND(BH14&gt;=40,BH14&lt;50),50,"error")))))))</f>
        <v>6</v>
      </c>
      <c r="FM14" s="505">
        <f>IF(BH14&lt;6,6,IF(AND(BH14&gt;=6,BH14&lt;10),10,IF(AND(BH14&gt;=10,BH14&lt;15),15,IF(AND(BH14&gt;=15,BH14&lt;20),20,IF(AND(BH14&gt;=20,BH14&lt;30),30,IF(AND(BH14&gt;=30,BH14&lt;40),40,IF(AND(BH14&gt;=40,BH14&lt;50),50,"error")))))))</f>
        <v>6</v>
      </c>
      <c r="FN14" s="505">
        <f>IF(BH14&lt;10,10,IF(AND(BH14&gt;=10,BH14&lt;20),20,IF(AND(BH14&gt;=20,BH14&lt;30),30,IF(AND(BH14&gt;=30,BH14&lt;50),50,"error"))))</f>
        <v>10</v>
      </c>
      <c r="FO14" s="505">
        <f>IF(BH14&lt;10,10,"error")</f>
        <v>10</v>
      </c>
      <c r="FP14" s="571"/>
      <c r="FQ14" s="571"/>
      <c r="FR14" s="571"/>
      <c r="FS14" s="571"/>
      <c r="FT14" s="571"/>
      <c r="FU14" s="571"/>
      <c r="FV14" s="571"/>
      <c r="FW14" s="571"/>
      <c r="FX14" s="571"/>
      <c r="FY14" s="571"/>
      <c r="FZ14" s="571"/>
      <c r="GA14" s="571"/>
      <c r="GB14" s="571"/>
      <c r="GC14" s="571"/>
      <c r="GD14" s="443"/>
      <c r="GE14" s="505">
        <f>IF(BH14&lt;6,6,IF(AND(BH14&gt;=6,BH14&lt;10),10,IF(AND(BH14&gt;=10,BH14&lt;15),15,IF(AND(BH14&gt;=15,BH14&lt;20),20,IF(AND(BH14&gt;=20,BH14&lt;30),30,IF(AND(BH14&gt;=30,BH14&lt;40),40,IF(AND(BH14&gt;=40,BH14&lt;55),55,IF(AND(BH14&gt;=55,BH14&lt;70),70,IF(AND(BH14&gt;=70,BH14&lt;85),85,IF(AND(BH14&gt;=85,BH14&lt;100),100,IF(AND(BH14&gt;=100,BH14&lt;120),120,"error")))))))))))</f>
        <v>6</v>
      </c>
      <c r="GF14" s="505">
        <f>IF(BH14&lt;6,6,IF(AND(BH14&gt;=6,BH14&lt;10),10,IF(AND(BH14&gt;=10,BH14&lt;20),20,IF(AND(BH14&gt;=20,BH14&lt;30),30,IF(AND(BH14&gt;=30,BH14&lt;40),40,IF(AND(BH14&gt;=40,BH14&lt;50),50,"error"))))))</f>
        <v>6</v>
      </c>
      <c r="GG14" s="505">
        <f>IF(BH14&lt;6,6,IF(AND(BH14&gt;=6,BH14&lt;10),10,IF(AND(BH14&gt;=10,BH14&lt;20),20,IF(AND(BH14&gt;=20,BH14&lt;30),30,IF(AND(BH14&gt;=30,BH14&lt;40),40,IF(AND(BH14&gt;=40,BH14&lt;50),50,"error"))))))</f>
        <v>6</v>
      </c>
      <c r="GH14" s="505">
        <f>IF(BH14&lt;6,6,IF(AND(BH14&gt;=6,BH14&lt;10),10,IF(AND(BH14&gt;=10,BH14&lt;15),15,IF(AND(BH14&gt;=15,BH14&lt;20),20,IF(AND(BH14&gt;=20,BH14&lt;30),30,IF(AND(BH14&gt;=30,BH14&lt;40),40,IF(AND(BH14&gt;=40,BH14&lt;50),50,"error")))))))</f>
        <v>6</v>
      </c>
      <c r="GI14" s="505">
        <f>IF(BH14&lt;6,6,IF(AND(BH14&gt;=6,BH14&lt;10),10,IF(AND(BH14&gt;=10,BH14&lt;15),15,IF(AND(BH14&gt;=15,BH14&lt;20),20,IF(AND(BH14&gt;=20,BH14&lt;30),30,IF(AND(BH14&gt;=30,BH14&lt;40),40,IF(AND(BH14&gt;=40,BH14&lt;50),50,"error")))))))</f>
        <v>6</v>
      </c>
      <c r="GJ14" s="505">
        <f>IF(BH14&lt;8,8,IF(AND(BH14&gt;=8,BH14&lt;10),10,IF(AND(BH14&gt;=10,BH14&lt;20),20,IF(AND(BH14&gt;=20,BH14&lt;35),35,IF(AND(BH14&gt;=35,BH14&lt;50),50,"error")))))</f>
        <v>8</v>
      </c>
      <c r="GK14" s="505">
        <f>IF(BH14&lt;10,10,IF(AND(BH14&gt;=10,BH14&lt;15),15,IF(AND(BH14&gt;=15,BH14&lt;20),20,"error")))</f>
        <v>10</v>
      </c>
      <c r="GL14" s="571"/>
      <c r="GM14" s="571"/>
      <c r="GN14" s="571"/>
      <c r="GO14" s="571"/>
      <c r="GP14" s="571"/>
      <c r="GQ14" s="571"/>
      <c r="GR14" s="571"/>
      <c r="GS14" s="571"/>
      <c r="GT14" s="571"/>
      <c r="GU14" s="571"/>
      <c r="GV14" s="571"/>
      <c r="GW14" s="571"/>
      <c r="GX14" s="506"/>
      <c r="GY14" s="507">
        <f>IF(BH14&lt;10,10,IF(AND(BH14&gt;=10,BH14&lt;15),15,IF(AND(BH14&gt;=15,BH14&lt;20),20,IF(AND(BH14&gt;=20,BH14&lt;30),30,IF(AND(BH14&gt;=30,BH14&lt;40),40,IF(AND(BH14&gt;=40,BH14&lt;50),50,IF(AND(BH14&gt;=50,BH14&lt;60),60,IF(AND(BH14&gt;=60,BH14&lt;80),80,IF(AND(BH14&gt;=80,BH14&lt;100),100,IF(AND(BH14&gt;=100,BH14&lt;120),120,"error"))))))))))</f>
        <v>10</v>
      </c>
      <c r="GZ14" s="505">
        <f>IF(BH14&lt;10,10,IF(AND(BH14&gt;=10,BH14&lt;20),20,IF(AND(BH14&gt;=20,BH14&lt;30),30,IF(AND(BH14&gt;=30,BH14&lt;40),40,IF(AND(BH14&gt;=40,BH14&lt;50),50,IF(AND(BH14&gt;=50,BH14&lt;60),60,IF(AND(BH14&gt;=60,BH14&lt;80),80,IF(AND(BH14&gt;=80,BH14&lt;100),100,IF(AND(BH14&gt;=100,BH14&lt;120),120,"error")))))))))</f>
        <v>10</v>
      </c>
      <c r="HA14" s="505">
        <f>IF(BH14&lt;10,10,IF(AND(BH14&gt;=10,BH14&lt;20),20,IF(AND(BH14&gt;=20,BH14&lt;30),30,IF(AND(BH14&gt;=30,BH14&lt;40),40,IF(AND(BH14&gt;=40,BH14&lt;50),50,"error")))))</f>
        <v>10</v>
      </c>
      <c r="HB14" s="505">
        <f>IF(BH14&lt;6,6,IF(AND(BH14&gt;=6,BH14&lt;10),10,IF(AND(BH14&gt;=10,BH14&lt;15),15,IF(AND(BH14&gt;=15,BH14&lt;20),20,IF(AND(BH14&gt;=20,BH14&lt;30),30,IF(AND(BH14&gt;=30,BH14&lt;40),40,IF(AND(BH14&gt;=40,BH14&lt;50),50,"error")))))))</f>
        <v>6</v>
      </c>
      <c r="HC14" s="505">
        <f>IF(BH14&lt;6,6,IF(AND(BH14&gt;=6,BH14&lt;10),10,IF(AND(BH14&gt;=10,BH14&lt;15),15,IF(AND(BH14&gt;=15,BH14&lt;20),20,IF(AND(BH14&gt;=20,BH14&lt;30),30,IF(AND(BH14&gt;=30,BH14&lt;40),40,IF(AND(BH14&gt;=40,BH14&lt;50),50,"error")))))))</f>
        <v>6</v>
      </c>
      <c r="HD14" s="505">
        <f>IF(BH14&lt;10,10,IF(AND(BH14&gt;=10,BH14&lt;15),15,IF(AND(BH14&gt;=15,BH14&lt;25),25,IF(AND(BH14&gt;=25,BH14&lt;35),35,IF(AND(BH14&gt;=35,BH14&lt;40),40,IF(AND(BH14&gt;=40,BH14&lt;50),50,"error"))))))</f>
        <v>10</v>
      </c>
      <c r="HE14" s="505">
        <f>IF(BH14&lt;10,10,IF(AND(BH14&gt;=10,BH14&lt;15),15,IF(AND(BH14&gt;=15,BH14&lt;20),20,"error")))</f>
        <v>10</v>
      </c>
      <c r="HF14" s="571"/>
      <c r="HG14" s="571"/>
      <c r="HH14" s="571"/>
      <c r="HI14" s="571"/>
      <c r="HJ14" s="571"/>
      <c r="HK14" s="571"/>
      <c r="HL14" s="571"/>
      <c r="HM14" s="571"/>
      <c r="HN14" s="571"/>
      <c r="HO14" s="571"/>
      <c r="HP14" s="571"/>
      <c r="HQ14" s="571"/>
      <c r="HR14" s="571"/>
      <c r="HS14" s="777"/>
      <c r="HT14" s="508">
        <f t="shared" ref="HT14:HT38" si="24">IF(OR(S14=$CI$17,S14=$CI$19,S14=$CI$23),AO14*AA14,0)</f>
        <v>0</v>
      </c>
      <c r="HU14" s="509">
        <f t="shared" ref="HU14:HU30" si="25">IF(OR(S14=$CI$18,S14=$CI22),AO14*AA14,0)</f>
        <v>0</v>
      </c>
      <c r="HV14" s="510">
        <f t="shared" ref="HV14:HV38" si="26">IF(OR(X14=0,X14="حصيرة فقط"),0,AA14)</f>
        <v>1</v>
      </c>
      <c r="HW14" s="543"/>
      <c r="HX14" s="543" t="s">
        <v>233</v>
      </c>
      <c r="HY14" s="543">
        <v>315</v>
      </c>
      <c r="HZ14" s="543">
        <v>250</v>
      </c>
      <c r="IA14" s="546" t="e">
        <f>IF(V14&gt;VLOOKUP(S14,$HX$13:$HZ$46,2,0),"غ","م")</f>
        <v>#N/A</v>
      </c>
      <c r="IB14" s="547" t="e">
        <f>IF(W14&gt;VLOOKUP(S14,$HX$13:$HZ$46,3,0),"غ","م")</f>
        <v>#N/A</v>
      </c>
      <c r="IC14" s="554">
        <f t="shared" ref="IC14:IC38" si="27">V14*W14*AA14/10000</f>
        <v>1.5</v>
      </c>
      <c r="ID14" s="545" t="str">
        <f t="shared" ref="ID14:ID38" si="28">IF(AND(OR(AB14="طقم شريط مضلع صغير",AB14="طقم شريط مضلع كبير"),X14="خارج الفتحة "),"علبة الشريط غير مناسبة لطريقة التركيب الخارجية","")</f>
        <v/>
      </c>
      <c r="IE14" s="222">
        <f t="shared" ref="IE14:IE38" si="29">IF(OR(X14="حصيرة فقط",Z14=TRUE),0,AA14)</f>
        <v>0</v>
      </c>
      <c r="IF14" s="230">
        <f t="shared" ref="IF14:IF38" si="30">IF($AB14="asa",IF(AND($AV14=7,$BD14&lt;=50),AA14,0),0)</f>
        <v>0</v>
      </c>
      <c r="IG14" s="228">
        <f t="shared" ref="IG14:IG38" si="31">IF($AB14="Somfy",IF(AND($AV14=7,$BD14&lt;=50),AA14,0),0)</f>
        <v>0</v>
      </c>
      <c r="IH14" s="423">
        <f t="shared" ref="IH14:IH38" si="32">IF($AB14="Gaposa",IF(AND($AV14=7,$BD14&lt;5=0),AA14,0),0)</f>
        <v>0</v>
      </c>
      <c r="II14" s="425">
        <f t="shared" ref="II14:II38" si="33">IF(AC14="مانافيلا",AA14,0)</f>
        <v>0</v>
      </c>
      <c r="IJ14" s="182"/>
    </row>
    <row r="15" spans="2:270" s="40" customFormat="1" ht="24.75" customHeight="1" x14ac:dyDescent="0.35">
      <c r="B15" s="258"/>
      <c r="C15" s="310">
        <f t="shared" ref="C15:C23" si="34">R15</f>
        <v>2</v>
      </c>
      <c r="D15" s="311" t="str">
        <f>IF(S15=0,0,VLOOKUP(S15,'قائمة الأسعار'!$C$13:$H$45,2,0))</f>
        <v>شريحة 5.8 مدار</v>
      </c>
      <c r="E15" s="312">
        <f t="shared" ref="E15:E23" si="35">T15</f>
        <v>0</v>
      </c>
      <c r="F15" s="313">
        <f t="shared" ref="F15:F38" si="36">IF(V15=0,0,IF(AND(S15=$CI$17,X15=$BF$14),AO15-0.5,IF(AND(S15=$CI$23,X15=$BF$14),AO15-0.5,AO15)))</f>
        <v>103.6</v>
      </c>
      <c r="G15" s="313">
        <f t="shared" ref="G15:G38" si="37">AN15</f>
        <v>168.2</v>
      </c>
      <c r="H15" s="314">
        <f t="shared" ref="H15:H38" si="38">IF(W15=0,0,IF(AV15&gt;7,AQ15+3,AQ15))</f>
        <v>29</v>
      </c>
      <c r="I15" s="315">
        <f t="shared" ref="I15:I38" si="39">$AR15</f>
        <v>1.7425519999999997</v>
      </c>
      <c r="J15" s="316">
        <f t="shared" si="0"/>
        <v>1</v>
      </c>
      <c r="K15" s="315">
        <f t="shared" ref="K15:K23" si="40">J15*I15</f>
        <v>1.7425519999999997</v>
      </c>
      <c r="L15" s="317">
        <f>IF(S15=0,0,IF(T15="لون خاص",VLOOKUP(D15,'قائمة الأسعار'!$D$48:$F$62,3,0),VLOOKUP(D15,'قائمة الأسعار'!$D$13:$F$27,3,0)))</f>
        <v>1</v>
      </c>
      <c r="M15" s="318">
        <f t="shared" si="1"/>
        <v>1.7425519999999997</v>
      </c>
      <c r="N15" s="315">
        <f>IF(S15=0,0,(IF(OR(S15=$CI$17,S15=$CI$18,S15=$CI$22,S15=$CI$23),K15,K15-(VLOOKUP(D15,'قائمة الأسعار'!$D$13:$G$47,4,FALSE)*J15*F15)/10000)))</f>
        <v>1.6824639999999997</v>
      </c>
      <c r="O15" s="612">
        <f>IF(S15=0,0,IF(T15="لون خاص",VLOOKUP(D15,'قائمة الأسعار'!$D$48:$G$62,4,0),VLOOKUP(D15,'قائمة الأسعار'!$D$13:$G$47,4,0)))</f>
        <v>5.8</v>
      </c>
      <c r="Q15" s="91"/>
      <c r="R15" s="199">
        <v>2</v>
      </c>
      <c r="S15" s="200" t="s">
        <v>234</v>
      </c>
      <c r="T15" s="200"/>
      <c r="U15" s="200"/>
      <c r="V15" s="201">
        <v>100</v>
      </c>
      <c r="W15" s="201">
        <v>150</v>
      </c>
      <c r="X15" s="201" t="s">
        <v>24</v>
      </c>
      <c r="Y15" s="201"/>
      <c r="Z15" s="201" t="b">
        <v>1</v>
      </c>
      <c r="AA15" s="200">
        <v>1</v>
      </c>
      <c r="AB15" s="201"/>
      <c r="AC15" s="219"/>
      <c r="AD15" s="620"/>
      <c r="AE15" s="620"/>
      <c r="AF15" s="621"/>
      <c r="AG15" s="193"/>
      <c r="AH15" s="202"/>
      <c r="AI15" s="203" t="str">
        <f t="shared" si="2"/>
        <v/>
      </c>
      <c r="AJ15" s="63"/>
      <c r="AK15" s="53"/>
      <c r="AL15" s="37"/>
      <c r="AM15" s="488"/>
      <c r="AN15" s="489">
        <f t="shared" ref="AN15:AN38" si="41">AR15*10000/AO15</f>
        <v>168.2</v>
      </c>
      <c r="AO15" s="490" cm="1">
        <f t="array" ref="AO15">IF(V15&lt;&gt;0,IF($AW$12=$BB$4,IF(X15=$BF$14,V15-1,IF(X15=$BF$13,V15+8.5,V15-7.5)),IF(X15=$BF$14,V15-1,IF(X15=$BF$13,IF(OR(S15=$CI$15:$CI$19,S15=$CI$38,S15=$CI$40),V15+3.6,IF(S15=$CI$39,V15+2.9,V15+4)),IF(OR(S15=$CI$15:$CI$19,S15=$CI$38,S15=$CI$40),V15-12.4,IF(S15=$CI$39,V15-13.1,V15-12))))),0)</f>
        <v>103.6</v>
      </c>
      <c r="AP15" s="491">
        <f t="shared" ref="AP15:AP38" si="42">IF(X15="حصيرة فقط",W15,IF(OR(S15=$CI$17,S15=$CI$18,S15=$CI$19,S15=$CI$23,S15=$CI$29,S15=$CI$32,S15=$CI$33,S15=$CI$34,S15=$CI$35,S15=$CI$38,S15=$CI$39,S15=$CI$42,S15=$CI$44,S15=$CI$46,S15=$CI$47),IF(V15=0,0,IF(X15=$BF$13,W15+5.5+5.5+5.5,W15-AS15+5.5+5.5+5.5)),IF(OR(S15=$CI$15,S15=$CI$20,S15=$CI$24,S15=$CI$26,S15=$CI$28,S15=$CI$43,S15=$CI$45),IF(V15=0,0,IF(X15=$BF$13,W15+9+5.3,W15-AS15+9+5.3)),IF(OR(S15=$CI$22),IF(V15=0,0,IF(X15=$BF$13,W15+7.8+5.3,W15-AS15+7.8+5.3)),IF(V15=0,0,IF(X15=$BF$13,W15+5.8+5.8+5.3,W15-AS15+5.8+5.8+5.3))))))</f>
        <v>166.90000000000003</v>
      </c>
      <c r="AQ15" s="491">
        <f t="shared" ref="AQ15:AQ38" si="43">IF(W15=0,0,IF(S15=$CI$19,ROUND((AP15/5.5),0),IF(OR(S15=$CI$17,S15=$CI$18,S15=$CI$21,S15=$CI$23,S15=$CI$25,S15=$CI$27,S15=$CI$29,S15=$CI$32,S15=$CI$33,S15=$CI$38,S15=$CI$44,S15=$CI$46),ROUND((AP15/5.5),0),IF(OR(S15=$CI$15,S15=$CI$26,S15=$CI$28,S15=$CI$43),ROUND(AP15/4.5,0),IF(OR(S15=$CI$16,S15=$CI$34,S15=$CI$35,S15=$CI$39),ROUND(AP15/5.8,0),IF(OR(S15=$CI$20,S15=$CI$24),ROUND(AP15/4.25,0),IF(OR(S15=$CI$22),ROUND(AP15/3.9,0),IF(OR(S15=$CI$30,S15=$CI$31,S15=$CI$36,S15=$CI$37,S15=$CI$41,S15=$CI$47),ROUND(AP15/5,0),IF(OR(S15=$CI$40),ROUND(AP15/4,0),IF(OR(S15=$CI$42),ROUND(AP15/5.6,0),IF(OR(S15=$CI$45),ROUND(AP15/4.3,0))))))))))))</f>
        <v>29</v>
      </c>
      <c r="AR15" s="492">
        <f t="shared" ref="AR15:AR38" si="44">IF(S15=$CI$19,((AQ15*AO15*5.5)/10000),IF(OR(S15=$CI$17,S15=$CI$18,S15=$CI$21,S15=$CI$23,S15=$CI$25,S15=$CI$27,S15=$CI$29,S15=$CI$32,S15=$CI$33,S15=$CI$38,S15=$CI$44,S15=$CI$46),((AQ15*AO15*5.5)/10000),IF(OR(S15=$CI$15,S15=$CI$26,S15=$CI$28,S15=$CI$43),((AQ15*AO15*4.5)/10000),IF(OR(S15=$CI$16,S15=$CI$34,S15=$CI$35,S15=$CI$39),((AQ15*AO15*5.8)/10000),IF(OR(S15=$CI$20,S15=$CI$24),((AQ15*AO15*4.25)/10000),IF(OR(S15=$CI$22),((AQ15*AO15*3.9)/10000),IF(OR(S15=$CI$30,S15=$CI$31,S15=$CI$36,S15=$CI$37,S15=$CI$41,S15=$CI$47),((AQ15*AO15*5)/10000),IF(OR(S15=$CI$40),((AQ15*AO15*4)/10000),IF(OR(S15=$CI$42),((AQ15*AO15*5.6)/10000),IF(OR(S15=$CI$45),((AQ15*AO15*4.3)/10000),0))))))))))</f>
        <v>1.7425519999999997</v>
      </c>
      <c r="AS15" s="493">
        <f t="shared" ref="AS15:AS38" si="45">IF(X15="حصيرة فقط",0,IF($S15=CM$12,CM15,CN15))</f>
        <v>20</v>
      </c>
      <c r="AT15" s="493">
        <f t="shared" ref="AT15:AT38" si="46">IF(X15=$BF$14,0,IF(X15=$BF$13,V15+16,V15))</f>
        <v>116</v>
      </c>
      <c r="AU15" s="493">
        <f t="shared" ref="AU15:AU38" si="47">AT15*AA15</f>
        <v>116</v>
      </c>
      <c r="AV15" s="493">
        <f t="shared" ref="AV15:AV38" si="48">IF(V15=0,0,IF(X15="حصيرة فقط",0,IF(BD15&gt;50,IF(DW15&gt;9,9,7),DW15)))</f>
        <v>6</v>
      </c>
      <c r="AW15" s="494">
        <f t="shared" ref="AW15:AW38" si="49">IF(V15=0,0,IF(OR(S15=$CI$15,S15=$CI$20,S15=$CI$22,S15=$CI$24,S15=$CI$26,S15=$CI$28,S15=$CI$30,S15=$CI$31,S15=$CI$36,S15=$CI$37,S15=$CI$40,S15=$CI$41,S15=$CI$43,S15=$CI$45,S15=$CI$47),4.5,5.8))</f>
        <v>5.8</v>
      </c>
      <c r="AX15" s="494">
        <f t="shared" ref="AX15:AX38" si="50">IF(S15="",0,IF(Z15=TRUE,IF(X15=$BF$14,0,IF(X15=$BF$13,W15,W15-AS15))+3,IF(X15=$BF$14,0,IF(X15=$BF$13,W15,W15-AS15))))</f>
        <v>153</v>
      </c>
      <c r="AY15" s="494">
        <f t="shared" ref="AY15:AY38" si="51">AX15*AA15</f>
        <v>153</v>
      </c>
      <c r="AZ15" s="495" t="str">
        <f t="shared" ref="AZ15:AZ38" si="52">IF(X15="حصيرة فقط",0,IF(AO15=0,0,IF(OR(S15=$CI$15,S15=$CI$16,S15=$CI$20,S15=$CI$21,S15=$CI$26,S15=$CI$27,S15=$CI$24,S15=$CI$25,S15=$CI$28,S15=$CI$29,S15=$CI$22,S15=$CI$40,S15=$CI$43,S15=$CI$45,S15=$CI$30,S15=$CI$31,S15=$CI$32,S15=$CI$34,S15=$CI$35,S15=$CI$37,S15=$CI$38,S15=$CI$39,S15=$CI$41,S15=$CI$42,S15=$CI$44),IF(OR(S15=$CI$15,S15=$CI$20,S15=$CI$26,S15=$CI$28,S15=$CI$24,S15=$CI$22,S15=$CI$40,S15=$CI$43,S15=$CI$45),"نابضية ص","نابضية ك"),AV15)))</f>
        <v>نابضية ك</v>
      </c>
      <c r="BA15" s="495">
        <f t="shared" ref="BA15:BA38" si="53">IF(X15=$BF$14,0,IF(OR(AZ15="نابضية ص",AZ15="نابضية ك"),ROUNDUP(IF(AR15&lt;=2,3,AR15*1),0),IF(AO15&lt;100,2,ROUNDUP(AO15/100,0))))</f>
        <v>3</v>
      </c>
      <c r="BB15" s="495">
        <f t="shared" ref="BB15:BB38" si="54">BA15*AA15</f>
        <v>3</v>
      </c>
      <c r="BC15" s="496" cm="1">
        <f t="array" ref="BC15">IF(OR($AB15=$BF$22:$BF$40),$AB15,0)</f>
        <v>0</v>
      </c>
      <c r="BD15" s="496" cm="1">
        <f t="array" ref="BD15">IF(OR($AB15=$BF$22:$BF$40),IF(AC15=$CH$14,BK15,IF(AC15=$CH$13,BJ15,BI15)),0)</f>
        <v>0</v>
      </c>
      <c r="BE15" s="497" cm="1">
        <f t="array" ref="BE15">IF(OR(AB15=$BF$22:$BF$40),AA15,0)</f>
        <v>0</v>
      </c>
      <c r="BF15" s="487" t="s">
        <v>26</v>
      </c>
      <c r="BH15" s="499">
        <f t="shared" ref="BH15:BH38" si="55">VLOOKUP(S15,$CI$15:$CK$49,3,0)*AR15</f>
        <v>4.7048903999999991</v>
      </c>
      <c r="BI15" s="498">
        <f t="shared" ref="BI15:BI38" si="56">IF(OR(AC15=$CH$14,AC15=$CH$13),0,IF(OR(AB15=$FI$12,AB15=$FP$12,AB15=$FQ$12,AB15=$FR$12,AB15=$FS$12,AB15=$FT$12,AB15=$FV$12,AB15=$FW$12,AB15=$FX$12,AB15=$FY$12,AB15=$FZ$12,AB15=$GA$12),FI15,IF(AB15="asa",FJ15,IF(AB15="Gaposa",FK15,IF(OR(AB15=$FL$12,AB15=$FU$12),FL15,IF(AB15="سيبار",FM15,IF(AB15="feierge",FN15,IF(AB15="feierge short",FO15,0))))))))</f>
        <v>0</v>
      </c>
      <c r="BJ15" s="498">
        <f t="shared" ref="BJ15:BJ38" si="57">IF(AC15="مدمج",IF(OR(AB15=$GE$12,AB15=$GL$12,AB15=$GM$12,AB15=$GN$12,AB15=$GO$12,AB15=$GP$12,AB15=$GQ$12,AB15=$GR$12,AB15=$GS$12,AB15=$GT$12,AB15=$GU$12),GE15,IF(AB15="asa",GF15,IF(AB15="Gaposa",GG15,IF(AB15="دويا شورت",GH15,IF(AB15="سيبار",GI15,IF(AB15="سيمو",GJ15,IF(AB15="هيولايت",GK15,0))))))),0)</f>
        <v>0</v>
      </c>
      <c r="BK15" s="498">
        <f t="shared" ref="BK15:BK38" si="58">IF(AC15="مانافيلا",IF(OR(AB15=$GY$12,AB15=$HF$12,AB15=$HG$12,AB15=$HH$12,AB15=$HI$12,AB15=$HJ$12,AB15=$HK$12,AB15=$HL$12,AB15=$HM$12,AB15=$HN$12,AB15=$HO$12,AB15=$HP$12),GY15,IF(AB15="asa",GZ15,IF(AB15="Gaposa",HA15,IF(AB15="دويا شورت",HB15,IF(AB15="سيبار",HC15,IF(AB15="سيمو",HD15,IF(AB15="هيولايت",HE15,0))))))),0)</f>
        <v>0</v>
      </c>
      <c r="BL15" s="500">
        <f t="shared" ref="BL15:BL23" si="59">IF(BE15&gt;0,AV15,IF(OR(AB15="محرك من الزبون",AB15="ACM30-1",AB15="ACM30-2"),AV15,0))</f>
        <v>0</v>
      </c>
      <c r="BM15" s="500">
        <f t="shared" si="3"/>
        <v>0</v>
      </c>
      <c r="BN15" s="500">
        <f t="shared" si="4"/>
        <v>0</v>
      </c>
      <c r="BO15" s="500">
        <f t="shared" si="5"/>
        <v>0</v>
      </c>
      <c r="BP15" s="500">
        <f t="shared" si="6"/>
        <v>0</v>
      </c>
      <c r="BQ15" s="500">
        <f t="shared" si="7"/>
        <v>0</v>
      </c>
      <c r="BR15" s="500">
        <f t="shared" si="8"/>
        <v>0</v>
      </c>
      <c r="BS15" s="500">
        <f t="shared" si="9"/>
        <v>0</v>
      </c>
      <c r="BT15" s="496">
        <f t="shared" si="10"/>
        <v>0</v>
      </c>
      <c r="BU15" s="496">
        <f t="shared" si="11"/>
        <v>0</v>
      </c>
      <c r="BV15" s="496">
        <f t="shared" si="12"/>
        <v>0</v>
      </c>
      <c r="BW15" s="496">
        <f t="shared" si="13"/>
        <v>0</v>
      </c>
      <c r="BX15" s="496">
        <f t="shared" si="14"/>
        <v>0</v>
      </c>
      <c r="BY15" s="496">
        <f t="shared" si="15"/>
        <v>0</v>
      </c>
      <c r="BZ15" s="496">
        <f t="shared" ref="BZ15:BZ38" si="60">IF($AF15=$BG$13,$AA15,0)</f>
        <v>0</v>
      </c>
      <c r="CA15" s="496">
        <f t="shared" si="16"/>
        <v>0</v>
      </c>
      <c r="CB15" s="496">
        <f t="shared" si="17"/>
        <v>0</v>
      </c>
      <c r="CC15" s="496">
        <f t="shared" si="18"/>
        <v>0</v>
      </c>
      <c r="CD15" s="496">
        <f t="shared" si="19"/>
        <v>0</v>
      </c>
      <c r="CE15" s="501">
        <f t="shared" ref="CE15:CE38" si="61">IF(AB15="طقم شريط كامل صغير ( مع كوباية شفط + كوباية عجل + طارة عجل )",AA15,0)</f>
        <v>0</v>
      </c>
      <c r="CF15" s="501">
        <f t="shared" ref="CF15:CF38" si="62">IF(AB15="طقم شريط كامل كبير ( مع كوباية شفط + كوباية عجل + طارة عجل )",AA15,0)</f>
        <v>0</v>
      </c>
      <c r="CG15" s="502">
        <f t="shared" ref="CG15:CG38" si="63">IF(AB15="طقم مانفيلا كامل",AA15,0)</f>
        <v>0</v>
      </c>
      <c r="CH15" s="487"/>
      <c r="CI15" s="487" t="s">
        <v>418</v>
      </c>
      <c r="CJ15" s="487">
        <v>9</v>
      </c>
      <c r="CK15" s="597">
        <v>2.5</v>
      </c>
      <c r="CL15" s="777"/>
      <c r="CM15" s="503">
        <f t="shared" ref="CM15:CM17" si="64">IF($S15=CM$12,IF(W15&lt;=124,"15",IF(AND(W15&gt;124,W15&lt;=161),16.5,IF(AND(W15&gt;161,W15&lt;=207),18,IF(AND(W15&gt;207,W15&lt;=313),20,IF(AND(W15&gt;313,W15&lt;=400),25,30))))),CN15)</f>
        <v>20</v>
      </c>
      <c r="CN15" s="504">
        <f t="shared" ref="CN15:CN38" si="65">IF($S15=CN$12,IF(W15&lt;=98,16.5,IF(AND(W15&gt;98,W15&lt;=138),18,IF(AND(W15&gt;138,W15&lt;=185),20,IF(AND(W15&gt;185,W15&lt;=254),22.5,IF(AND(W15&gt;254,W15&lt;=313),25,30))))),CO15)</f>
        <v>20</v>
      </c>
      <c r="CO15" s="504">
        <f t="shared" ref="CO15:CO38" si="66">IF($S15=CO$12,IF(W15&lt;=100,16.5,IF(AND(W15&gt;100,W15&lt;=105),18,IF(AND(W15&gt;105,W15&lt;144),20,IF(AND(W15&gt;=144,W15&lt;174),22.5,IF(AND(W15&gt;=174,W15&lt;252),25,30))))),CP15)</f>
        <v>0</v>
      </c>
      <c r="CP15" s="504">
        <f t="shared" ref="CP15:CP38" si="67">IF($S15=CP$12,IF(W15&lt;=100,16.5,IF(AND(W15&gt;100,W15&lt;=130),18,IF(AND(W15&gt;130,W15&lt;213),20,IF(AND(W15&gt;=213,W15&lt;233),22.5,IF(AND(W15&gt;=223,W15&lt;323),25,30))))),CQ15)</f>
        <v>0</v>
      </c>
      <c r="CQ15" s="504">
        <f t="shared" ref="CQ15:CQ37" si="68">IF($S15=CQ$12,IF(W15&lt;=100,16.5,IF(AND(W15&gt;100,W15&lt;=114),18,IF(AND(W15&gt;114,W15&lt;157),20,IF(AND(W15&gt;=157,W15&lt;194),25,30)))),CR15)</f>
        <v>0</v>
      </c>
      <c r="CR15" s="504">
        <f t="shared" ref="CR15:CR38" si="69">IF($S15=CR$12,IF(W15&lt;=100,"15",IF(AND(W15&gt;100,W15&lt;149),16.5,IF(AND(W15&gt;=149,W15&lt;209),18,IF(AND(W15&gt;=209,W15&lt;269),20,IF(AND(W15&gt;=269,W15&lt;309),22.5,IF(AND(W15&gt;=309,W15&lt;349),25,30)))))),CS15)</f>
        <v>0</v>
      </c>
      <c r="CS15" s="504">
        <f t="shared" ref="CS15:CS38" si="70">IF($S15=CS$12,IF(W15&lt;=80,"15",IF(AND(W15&gt;80,W15&lt;100),16.5,IF(AND(W15&gt;=100,W15&lt;149),18,IF(AND(W15&gt;=149,W15&lt;199),20,IF(AND(W15&gt;=199,W15&lt;289),22.5,IF(AND(W15&gt;=289,W15&lt;349),25,30)))))),CT15)</f>
        <v>0</v>
      </c>
      <c r="CT15" s="504">
        <f t="shared" ref="CT15:CT38" si="71">IF($S15=CT$12,IF(W15&lt;=100,"15",IF(AND(W15&gt;100,W15&lt;141),16,IF(AND(W15&gt;=141,W15&lt;150),18,IF(AND(W15&gt;=150,W15&lt;230),20,IF(AND(W15&gt;=230,W15&lt;270),22.5,IF(AND(W15&gt;=270,W15&lt;400),25,30)))))),CU15)</f>
        <v>0</v>
      </c>
      <c r="CU15" s="504">
        <f t="shared" ref="CU15:CU38" si="72">IF($S15=CU$12,IF(W15&lt;=90,16.5,IF(AND(W15&gt;90,W15&lt;101),18,IF(AND(W15&gt;=101,W15&lt;186),20,IF(AND(W15&gt;=186,W15&lt;201),22.5,IF(AND(W15&gt;=201,W15&lt;251),25,30))))),CV15)</f>
        <v>0</v>
      </c>
      <c r="CV15" s="504">
        <f t="shared" ref="CV15:CV38" si="73">IF($S15=CV$12,IF(W15&lt;=100,"15",IF(AND(W15&gt;100,W15&lt;149),16.5,IF(AND(W15&gt;=149,W15&lt;209),18,IF(AND(W15&gt;=209,W15&lt;269),20,IF(AND(W15&gt;=269,W15&lt;309),22.5,IF(AND(W15&gt;=309,W15&lt;349),25,30)))))),CW15)</f>
        <v>0</v>
      </c>
      <c r="CW15" s="504">
        <f t="shared" ref="CW15:CW38" si="74">IF($S15=CW$12,IF(W15&lt;=80,"15",IF(AND(W15&gt;80,W15&lt;100),16.5,IF(AND(W15&gt;=100,W15&lt;149),18,IF(AND(W15&gt;=149,W15&lt;199),20,IF(AND(W15&gt;=199,W15&lt;289),22.5,IF(AND(W15&gt;=289,W15&lt;349),25,30)))))),CX15)</f>
        <v>0</v>
      </c>
      <c r="CX15" s="504">
        <f t="shared" ref="CX15:CX38" si="75">IF($S15=CX$12,IF(W15&lt;=100,"15",IF(AND(W15&gt;=100,W15&lt;125),16.5,IF(AND(W15&gt;=125,W15&lt;180),18,IF(AND(W15&gt;=180,W15&lt;260),20,IF(AND(W15&gt;=260,W15&lt;350),25,30))))),CY15)</f>
        <v>0</v>
      </c>
      <c r="CY15" s="504">
        <f t="shared" ref="CY15:CY38" si="76">IF($S15=CY$12,IF(W15&lt;=80,"15",IF(AND(W15&gt;=80,W15&lt;100),16.5,IF(AND(W15&gt;=100,W15&lt;150),18,IF(AND(W15&gt;=150,W15&lt;200),20,IF(AND(W15&gt;=200,W15&lt;320),25,30))))),CZ15)</f>
        <v>0</v>
      </c>
      <c r="CZ15" s="504">
        <f t="shared" ref="CZ15:CZ38" si="77">IF($S15=CZ$12,IF(W15&lt;=100,"15",IF(AND(W15&gt;=100,W15&lt;125),16.5,IF(AND(W15&gt;=125,W15&lt;180),18,IF(AND(W15&gt;=180,W15&lt;260),20,IF(AND(W15&gt;=260,W15&lt;350),25,30))))),DA15)</f>
        <v>0</v>
      </c>
      <c r="DA15" s="505">
        <f t="shared" ref="DA15:DA38" si="78">IF($S15=DA$12,IF(W15&lt;=80,"15",IF(AND(W15&gt;=80,W15&lt;100),16.5,IF(AND(W15&gt;=100,W15&lt;150),18,IF(AND(W15&gt;=150,W15&lt;200),20,IF(AND(W15&gt;=200,W15&lt;320),25,30))))),DB15)</f>
        <v>0</v>
      </c>
      <c r="DB15" s="571">
        <f t="shared" ref="DB15:DB38" si="79">IF($S15=DB$12,IF(W15&lt;=125,16.5,IF(AND(W15&gt;125,W15&lt;201),18,IF(AND(W15&gt;=201,W15&lt;276),20,IF(AND(W15&gt;=276,W15&lt;331),22.5,IF(AND(W15&gt;=331,W15&lt;401),25,30))))),DC15)</f>
        <v>0</v>
      </c>
      <c r="DC15" s="571">
        <f t="shared" ref="DC15:DC38" si="80">IF($S15=DC$12,IF(W15&lt;=100,16.5,IF(AND(W15&gt;100,W15&lt;126),18,IF(AND(W15&gt;=126,W15&lt;151),20,IF(AND(W15&gt;=151,W15&lt;251),22.5,IF(AND(W15&gt;=251,W15&lt;301),25,30))))),DD15)</f>
        <v>0</v>
      </c>
      <c r="DD15" s="571">
        <f t="shared" ref="DD15:DD38" si="81">IF($S15=DD$12,IF(W15&lt;=100,16.5,IF(AND(W15&gt;100,W15&lt;126),18,IF(AND(W15&gt;=126,W15&lt;151),20,IF(AND(W15&gt;=151,W15&lt;251),22.5,IF(AND(W15&gt;=251,W15&lt;301),25,30))))),DE15)</f>
        <v>0</v>
      </c>
      <c r="DE15" s="571">
        <f t="shared" ref="DE15:DE38" si="82">IF($S15=DE$12,IF(W15&lt;=90,16.5,IF(AND(W15&gt;190,W15&lt;141),18,IF(AND(W15&gt;=141,W15&lt;216),20,IF(AND(W15&gt;=216,W15&lt;256),22.5,IF(AND(W15&gt;=256,W15&lt;331),25,30))))),DF15)</f>
        <v>0</v>
      </c>
      <c r="DF15" s="571">
        <f t="shared" ref="DF15:DF38" si="83">IF($S15=DF$12,IF(W15&lt;=90,16.5,IF(AND(W15&gt;90,W15&lt;161),18,IF(AND(W15&gt;=161,W15&lt;221),20,IF(AND(W15&gt;=221,W15&lt;281),22.5,IF(AND(W15&gt;=281,W15&lt;341),25,30))))),DG15)</f>
        <v>0</v>
      </c>
      <c r="DG15" s="571">
        <f t="shared" ref="DG15:DG38" si="84">IF($S15=DG$12,IF(W15&lt;=90,16.5,IF(AND(W15&gt;90,W15&lt;161),18,IF(AND(W15&gt;=161,W15&lt;221),20,IF(AND(W15&gt;=221,W15&lt;281),22.5,IF(AND(W15&gt;=281,W15&lt;341),25,30))))),DH15)</f>
        <v>0</v>
      </c>
      <c r="DH15" s="571">
        <f t="shared" ref="DH15:DH38" si="85">IF($S15=DH$12,IF(W15&lt;=100,16.5,IF(AND(W15&gt;100,W15&lt;126),18,IF(AND(W15&gt;=126,W15&lt;151),20,IF(AND(W15&gt;=151,W15&lt;251),22.5,IF(AND(W15&gt;=251,W15&lt;301),25,30))))),DI15)</f>
        <v>0</v>
      </c>
      <c r="DI15" s="571">
        <f t="shared" ref="DI15:DI38" si="86">IF($S15=DI$12,IF(W15&lt;=125,16.5,IF(AND(W15&gt;125,W15&lt;201),18,IF(AND(W15&gt;=201,W15&lt;276),20,IF(AND(W15&gt;=276,W15&lt;331),22.5,IF(AND(W15&gt;=331,W15&lt;401),25,30))))),DJ15)</f>
        <v>0</v>
      </c>
      <c r="DJ15" s="571">
        <f t="shared" ref="DJ15:DJ38" si="87">IF($S15=DJ$12,IF(W15&lt;=103,16.5,IF(AND(W15&gt;103,W15&lt;140),18,IF(AND(W15&gt;=140,W15&lt;195),20,IF(AND(W15&gt;=195,W15&lt;256),22.5,IF(AND(W15&gt;=256,W15&lt;323),25,30))))),DK15)</f>
        <v>0</v>
      </c>
      <c r="DK15" s="571">
        <f t="shared" ref="DK15:DK38" si="88">IF($S15=DK$12,IF(W15&lt;=96,16.5,IF(AND(W15&gt;96,W15&lt;136),18,IF(AND(W15&gt;=136,W15&lt;252),22.5,IF(AND(W15&gt;=252,W15&lt;311),25,30)))),DL15)</f>
        <v>0</v>
      </c>
      <c r="DL15" s="571">
        <f t="shared" ref="DL15:DL38" si="89">IF($S15=DL$12,IF(W15&lt;=103,16.5,IF(AND(W15&gt;103,W15&lt;192),18,IF(AND(W15&gt;=192,W15&lt;247),20,IF(AND(W15&gt;=247,W15&lt;295),22.5,IF(AND(W15&gt;=295,W15&lt;401),25,30))))),DM15)</f>
        <v>0</v>
      </c>
      <c r="DM15" s="571">
        <f t="shared" ref="DM15:DM38" si="90">IF($S15=DM$12,IF($W15&lt;=115,16.5,IF(AND($W15&gt;115,$W15&lt;123),18,IF(AND($W15&gt;=123,$W15&lt;198),20,IF(AND($W15&gt;=198,$W15&lt;228),22.5,IF(AND($W15&gt;=228,$W15&lt;278),25,30))))),DN15)</f>
        <v>0</v>
      </c>
      <c r="DN15" s="571">
        <f t="shared" ref="DN15:DN38" si="91">IF($S15=DN$12,IF($W15&lt;=115,16.5,IF(AND($W15&gt;115,$W15&lt;123),18,IF(AND($W15&gt;=123,$W15&lt;198),20,IF(AND($W15&gt;=198,$W15&lt;228),22.5,IF(AND($W15&gt;=228,$W15&lt;278),25,30))))),DO15)</f>
        <v>0</v>
      </c>
      <c r="DO15" s="571">
        <f t="shared" ref="DO15:DO38" si="92">IF($S15=DO$12,IF($W15&lt;=115,16.5,IF(AND($W15&gt;115,$W15&lt;123),18,IF(AND($W15&gt;=123,$W15&lt;198),20,IF(AND($W15&gt;=198,$W15&lt;228),22.5,IF(AND($W15&gt;=228,$W15&lt;278),25,30))))),DP15)</f>
        <v>0</v>
      </c>
      <c r="DP15" s="571">
        <f t="shared" ref="DP15:DP38" si="93">IF($S15=DP$12,IF($W15&lt;=120,16.5,IF(AND($W15&gt;120,$W15&lt;181),18,IF(AND($W15&gt;=181,$W15&lt;241),20,IF(AND($W15&gt;=241,$W15&lt;301),22.5,IF(AND($W15&gt;=301,$W15&lt;321),25,30))))),DQ15)</f>
        <v>0</v>
      </c>
      <c r="DQ15" s="571">
        <f t="shared" si="20"/>
        <v>0</v>
      </c>
      <c r="DR15" s="571">
        <f t="shared" ref="DR15:DR38" si="94">IF($S15=DR$12,IF(W15&lt;=100,16.5,IF(AND(W15&gt;100,W15&lt;=105),18,IF(AND(W15&gt;105,W15&lt;144),20,IF(AND(W15&gt;=144,W15&lt;174),22.5,IF(AND(W15&gt;=174,W15&lt;252),25,30))))),DS15)</f>
        <v>0</v>
      </c>
      <c r="DS15" s="571">
        <f t="shared" ref="DS15:DS38" si="95">IF($S15=DS$12,IF($W15&lt;=115,16.5,IF(AND($W15&gt;115,$W15&lt;123),18,IF(AND($W15&gt;=123,$W15&lt;198),20,IF(AND($W15&gt;=198,$W15&lt;228),22.5,IF(AND($W15&gt;=228,$W15&lt;278),25,30))))),0)</f>
        <v>0</v>
      </c>
      <c r="DT15" s="571"/>
      <c r="DU15" s="571"/>
      <c r="DV15" s="777"/>
      <c r="DW15" s="503">
        <f>IF($S15=DW$12,IF(AND(AO15&lt;=320,BH15&lt;=50),6,7),DX15)</f>
        <v>6</v>
      </c>
      <c r="DX15" s="503">
        <f>IF($S15=DX$12,IF(AND(AO15&lt;=320,BH15&lt;=50),6,7),DY15)</f>
        <v>6</v>
      </c>
      <c r="DY15" s="503" cm="1">
        <f t="array" ref="DY15">IF($S15=DY$12,IF(AND(AO15&lt;=250,BH15&lt;=60),6,IF(OR(AO15&lt;=350,BH15&lt;=80),7,IF(OR(AND(AO15&gt;350,AO&lt;=120),BH15&lt;=120),9,12))),DZ15)</f>
        <v>0</v>
      </c>
      <c r="DZ15" s="504">
        <f t="shared" ref="DZ15:DZ38" si="96">IF($S15=DZ$12,IF(AND(AO15&lt;=250,BH15&lt;=60),6,IF(OR(AO15&lt;=350,BH15&lt;=80),7,IF(OR(AO15&lt;=400,BH15&lt;=120),9,12))),EA15)</f>
        <v>0</v>
      </c>
      <c r="EA15" s="504">
        <f t="shared" ref="EA15:EA38" si="97">IF($S15=EA$12,IF(AND(AO15&lt;=250,BH15&lt;=60),6,IF(OR(AO15&lt;=350,BH15&lt;=80),7,9)),EB15)</f>
        <v>0</v>
      </c>
      <c r="EB15" s="504">
        <f t="shared" ref="EB15:EB38" si="98">IF($S15=EB$12,IF(AND(AO15&lt;=320,BH15&lt;=50),6,7),EC15)</f>
        <v>0</v>
      </c>
      <c r="EC15" s="504">
        <f t="shared" ref="EC15:EC38" si="99">IF($S15=EC$12,IF(AND(AO15&lt;=320,BH15&lt;=50),6,7),ED15)</f>
        <v>0</v>
      </c>
      <c r="ED15" s="504">
        <f t="shared" ref="ED15:ED38" si="100">IF($S15=ED$12,IF(AND(AO15&lt;=250,BH15&lt;=60),6,IF(OR(AO15&lt;=350,BH15&lt;=80),7,9)),EE15)</f>
        <v>0</v>
      </c>
      <c r="EE15" s="504">
        <f t="shared" ref="EE15:EE38" si="101">IF($S15=EE$12,IF(AND(AO15&lt;=250,BH15&lt;=60),6,IF(OR(AO15&lt;=350,BH15&lt;=80),7,9)),EF15)</f>
        <v>0</v>
      </c>
      <c r="EF15" s="504">
        <f t="shared" ref="EF15:EF38" si="102">IF($S15=EF$12,IF(AND(AO15&lt;=320,BH15&lt;=50),6,7),EG15)</f>
        <v>0</v>
      </c>
      <c r="EG15" s="504">
        <f t="shared" ref="EG15:EG38" si="103">IF($S15=EG$12,IF(AND(AO15&lt;=320,BH15&lt;=50),6,7),EH15)</f>
        <v>0</v>
      </c>
      <c r="EH15" s="504">
        <f t="shared" ref="EH15:EH38" si="104">IF($S15=EH$12,IF(AND(AO15&lt;=320,BH15&lt;=50),6,7),EI15)</f>
        <v>0</v>
      </c>
      <c r="EI15" s="504">
        <f t="shared" ref="EI15:EI38" si="105">IF($S15=EI$12,IF(AND(AO15&lt;=320,BH15&lt;=50),6,7),EJ15)</f>
        <v>0</v>
      </c>
      <c r="EJ15" s="504">
        <f t="shared" ref="EJ15:EJ38" si="106">IF($S15=EJ$12,IF(AND(AO15&lt;=320,BH15&lt;=50),6,7),EK15)</f>
        <v>0</v>
      </c>
      <c r="EK15" s="505">
        <f t="shared" ref="EK15:EK38" si="107">IF($S15=EK$12,IF(AND(AO15&lt;=320,BH15&lt;=50),6,7),EL15)</f>
        <v>0</v>
      </c>
      <c r="EL15" s="571">
        <f t="shared" ref="EL15:ET15" si="108">IF($S15=EL$12,IF(AND($AO15&lt;=320,$BH15&lt;=50),6,7),EM15)</f>
        <v>0</v>
      </c>
      <c r="EM15" s="571">
        <f t="shared" si="108"/>
        <v>0</v>
      </c>
      <c r="EN15" s="571">
        <f t="shared" si="108"/>
        <v>0</v>
      </c>
      <c r="EO15" s="571">
        <f t="shared" si="108"/>
        <v>0</v>
      </c>
      <c r="EP15" s="571">
        <f t="shared" si="108"/>
        <v>0</v>
      </c>
      <c r="EQ15" s="571">
        <f t="shared" si="108"/>
        <v>0</v>
      </c>
      <c r="ER15" s="571">
        <f t="shared" si="108"/>
        <v>0</v>
      </c>
      <c r="ES15" s="571">
        <f t="shared" si="108"/>
        <v>0</v>
      </c>
      <c r="ET15" s="571">
        <f t="shared" si="108"/>
        <v>0</v>
      </c>
      <c r="EU15" s="571">
        <f t="shared" ref="EU15:EU38" si="109">IF($S15=EU$12,IF(AND($AO15&lt;=320,$BH15&lt;50),6,7),EV15)</f>
        <v>0</v>
      </c>
      <c r="EV15" s="571">
        <f t="shared" ref="EV15:FA15" si="110">IF($S15=EV$12,IF(AND($AO15&lt;=320,$BH15&lt;=50),6,7),EW15)</f>
        <v>0</v>
      </c>
      <c r="EW15" s="571">
        <f t="shared" si="110"/>
        <v>0</v>
      </c>
      <c r="EX15" s="571">
        <f t="shared" si="110"/>
        <v>0</v>
      </c>
      <c r="EY15" s="571">
        <f t="shared" si="110"/>
        <v>0</v>
      </c>
      <c r="EZ15" s="571">
        <f t="shared" si="110"/>
        <v>0</v>
      </c>
      <c r="FA15" s="571">
        <f t="shared" si="110"/>
        <v>0</v>
      </c>
      <c r="FB15" s="571">
        <f t="shared" si="23"/>
        <v>0</v>
      </c>
      <c r="FC15" s="571">
        <f t="shared" ref="FC15:FC38" si="111">IF($S15=FC$12,IF(AND($AO15&lt;=320,$BH15&lt;=50),6,7),0)</f>
        <v>0</v>
      </c>
      <c r="FD15" s="571"/>
      <c r="FE15" s="571"/>
      <c r="FF15" s="571"/>
      <c r="FG15" s="571"/>
      <c r="FH15" s="443"/>
      <c r="FI15" s="505">
        <f t="shared" ref="FI15:FI38" si="112">IF(BH15&lt;8,8,IF(AND(BH15&gt;=8,BH15&lt;10),10,IF(AND(BH15&gt;=10,BH15&lt;15),15,IF(AND(BH15&gt;=15,BH15&lt;20),20,IF(AND(BH15&gt;=20,BH15&lt;30),30,IF(AND(BH15&gt;=30,BH15&lt;40),40,IF(AND(BH15&gt;=40,BH15&lt;50),50,IF(AND(BH15&gt;=50,BH15&lt;60),60,IF(AND(BH15&gt;=60,BH15&lt;80),80,IF(AND(BH15&gt;=80,BH15&lt;100),100,IF(AND(BH15&gt;=100,BH15&lt;120),120,IF(AND(BH15&gt;=120,BH15&lt;150),150,IF(AND(BH15&gt;=150,BH15&lt;250),250,"error")))))))))))))</f>
        <v>8</v>
      </c>
      <c r="FJ15" s="505">
        <f t="shared" ref="FJ15:FJ38" si="113">IF(BH15&lt;6,6,IF(AND(BH15&gt;=6,BH15&lt;10),10,IF(AND(BH15&gt;=10,BH15&lt;15),15,IF(AND(BH15&gt;=15,BH15&lt;20),20,IF(AND(BH15&gt;=20,BH15&lt;30),30,IF(AND(BH15&gt;=30,BH15&lt;40),40,IF(AND(BH15&gt;=40,BH15&lt;50),50,IF(AND(BH15&gt;=50,BH15&lt;80),80,IF(AND(BH15&gt;=80,BH15&lt;100),100,IF(AND(BH15&gt;=100,BH15&lt;120),120,IF(AND(BH15&gt;=120,BH15&lt;150),150,IF(AND(BH15&gt;=150,BH15&lt;250),250,"error"))))))))))))</f>
        <v>6</v>
      </c>
      <c r="FK15" s="505">
        <f t="shared" ref="FK15:FK38" si="114">IF(BH15&lt;6,6,IF(AND(BH15&gt;=6,BH15&lt;10),10,IF(AND(BH15&gt;=10,BH15&lt;15),15,IF(AND(BH15&gt;=15,BH15&lt;20),20,IF(AND(BH15&gt;=20,BH15&lt;30),30,IF(AND(BH15&gt;=30,BH15&lt;40),40,IF(AND(BH15&gt;=40,BH15&lt;50),50,IF(AND(BH15&gt;=50,BH15&lt;60),60,IF(AND(BH15&gt;=60,BH15&lt;80),80,IF(AND(BH15&gt;=80,BH15&lt;100),100,IF(AND(BH15&gt;=100,BH15&lt;120),120,IF(AND(BH15&gt;=120,BH15&lt;150),150,IF(AND(BH15&gt;=150,BH15&lt;250),250,"error")))))))))))))</f>
        <v>6</v>
      </c>
      <c r="FL15" s="505">
        <f t="shared" ref="FL15:FL38" si="115">IF(BH15&lt;6,6,IF(AND(BH15&gt;=6,BH15&lt;10),10,IF(AND(BH15&gt;=10,BH15&lt;15),15,IF(AND(BH15&gt;=15,BH15&lt;20),20,IF(AND(BH15&gt;=20,BH15&lt;30),30,IF(AND(BH15&gt;=30,BH15&lt;40),40,IF(AND(BH15&gt;=40,BH15&lt;50),50,"error")))))))</f>
        <v>6</v>
      </c>
      <c r="FM15" s="505">
        <f t="shared" ref="FM15:FM38" si="116">IF(BH15&lt;6,6,IF(AND(BH15&gt;=6,BH15&lt;10),10,IF(AND(BH15&gt;=10,BH15&lt;15),15,IF(AND(BH15&gt;=15,BH15&lt;20),20,IF(AND(BH15&gt;=20,BH15&lt;30),30,IF(AND(BH15&gt;=30,BH15&lt;40),40,IF(AND(BH15&gt;=40,BH15&lt;50),50,"error")))))))</f>
        <v>6</v>
      </c>
      <c r="FN15" s="505">
        <f t="shared" ref="FN15:FN38" si="117">IF(BH15&lt;10,10,IF(AND(BH15&gt;=10,BH15&lt;20),20,IF(AND(BH15&gt;=20,BH15&lt;30),30,IF(AND(BH15&gt;=30,BH15&lt;50),50,"error"))))</f>
        <v>10</v>
      </c>
      <c r="FO15" s="505">
        <f t="shared" ref="FO15:FO38" si="118">IF(BH15&lt;10,10,"error")</f>
        <v>10</v>
      </c>
      <c r="FP15" s="571"/>
      <c r="FQ15" s="571"/>
      <c r="FR15" s="571"/>
      <c r="FS15" s="571"/>
      <c r="FT15" s="571"/>
      <c r="FU15" s="571"/>
      <c r="FV15" s="571"/>
      <c r="FW15" s="571"/>
      <c r="FX15" s="571"/>
      <c r="FY15" s="571"/>
      <c r="FZ15" s="571"/>
      <c r="GA15" s="571"/>
      <c r="GB15" s="571"/>
      <c r="GC15" s="571"/>
      <c r="GD15" s="443"/>
      <c r="GE15" s="505">
        <f t="shared" ref="GE15:GE38" si="119">IF(BH15&lt;6,6,IF(AND(BH15&gt;=6,BH15&lt;10),10,IF(AND(BH15&gt;=10,BH15&lt;15),15,IF(AND(BH15&gt;=15,BH15&lt;20),20,IF(AND(BH15&gt;=20,BH15&lt;30),30,IF(AND(BH15&gt;=30,BH15&lt;40),40,IF(AND(BH15&gt;=40,BH15&lt;55),55,IF(AND(BH15&gt;=55,BH15&lt;70),70,IF(AND(BH15&gt;=70,BH15&lt;85),85,IF(AND(BH15&gt;=85,BH15&lt;100),100,IF(AND(BH15&gt;=100,BH15&lt;120),120,"error")))))))))))</f>
        <v>6</v>
      </c>
      <c r="GF15" s="505">
        <f t="shared" ref="GF15:GF38" si="120">IF(BH15&lt;6,6,IF(AND(BH15&gt;=6,BH15&lt;10),10,IF(AND(BH15&gt;=10,BH15&lt;20),20,IF(AND(BH15&gt;=20,BH15&lt;30),30,IF(AND(BH15&gt;=30,BH15&lt;40),40,IF(AND(BH15&gt;=40,BH15&lt;50),50,"error"))))))</f>
        <v>6</v>
      </c>
      <c r="GG15" s="505">
        <f t="shared" ref="GG15:GG38" si="121">IF(BH15&lt;6,6,IF(AND(BH15&gt;=6,BH15&lt;10),10,IF(AND(BH15&gt;=10,BH15&lt;20),20,IF(AND(BH15&gt;=20,BH15&lt;30),30,IF(AND(BH15&gt;=30,BH15&lt;40),40,IF(AND(BH15&gt;=40,BH15&lt;50),50,"error"))))))</f>
        <v>6</v>
      </c>
      <c r="GH15" s="505">
        <f t="shared" ref="GH15:GH38" si="122">IF(BH15&lt;6,6,IF(AND(BH15&gt;=6,BH15&lt;10),10,IF(AND(BH15&gt;=10,BH15&lt;15),15,IF(AND(BH15&gt;=15,BH15&lt;20),20,IF(AND(BH15&gt;=20,BH15&lt;30),30,IF(AND(BH15&gt;=30,BH15&lt;40),40,IF(AND(BH15&gt;=40,BH15&lt;50),50,"error")))))))</f>
        <v>6</v>
      </c>
      <c r="GI15" s="505">
        <f t="shared" ref="GI15:GI38" si="123">IF(BH15&lt;6,6,IF(AND(BH15&gt;=6,BH15&lt;10),10,IF(AND(BH15&gt;=10,BH15&lt;15),15,IF(AND(BH15&gt;=15,BH15&lt;20),20,IF(AND(BH15&gt;=20,BH15&lt;30),30,IF(AND(BH15&gt;=30,BH15&lt;40),40,IF(AND(BH15&gt;=40,BH15&lt;50),50,"error")))))))</f>
        <v>6</v>
      </c>
      <c r="GJ15" s="505">
        <f t="shared" ref="GJ15:GJ38" si="124">IF(BH15&lt;8,8,IF(AND(BH15&gt;=8,BH15&lt;10),10,IF(AND(BH15&gt;=10,BH15&lt;20),20,IF(AND(BH15&gt;=20,BH15&lt;35),35,IF(AND(BH15&gt;=35,BH15&lt;50),50,"error")))))</f>
        <v>8</v>
      </c>
      <c r="GK15" s="505">
        <f t="shared" ref="GK15:GK38" si="125">IF(BH15&lt;10,10,IF(AND(BH15&gt;=10,BH15&lt;15),15,IF(AND(BH15&gt;=15,BH15&lt;20),20,"error")))</f>
        <v>10</v>
      </c>
      <c r="GL15" s="571"/>
      <c r="GM15" s="571"/>
      <c r="GN15" s="571"/>
      <c r="GO15" s="571"/>
      <c r="GP15" s="571"/>
      <c r="GQ15" s="571"/>
      <c r="GR15" s="571"/>
      <c r="GS15" s="571"/>
      <c r="GT15" s="571"/>
      <c r="GU15" s="571"/>
      <c r="GV15" s="571"/>
      <c r="GW15" s="571"/>
      <c r="GX15" s="506"/>
      <c r="GY15" s="507">
        <f t="shared" ref="GY15:GY38" si="126">IF(BH15&lt;10,10,IF(AND(BH15&gt;=10,BH15&lt;15),15,IF(AND(BH15&gt;=15,BH15&lt;20),20,IF(AND(BH15&gt;=20,BH15&lt;30),30,IF(AND(BH15&gt;=30,BH15&lt;40),40,IF(AND(BH15&gt;=40,BH15&lt;50),50,IF(AND(BH15&gt;=50,BH15&lt;60),60,IF(AND(BH15&gt;=60,BH15&lt;80),80,IF(AND(BH15&gt;=80,BH15&lt;100),100,IF(AND(BH15&gt;=100,BH15&lt;120),120,"error"))))))))))</f>
        <v>10</v>
      </c>
      <c r="GZ15" s="505">
        <f t="shared" ref="GZ15:GZ38" si="127">IF(BH15&lt;10,10,IF(AND(BH15&gt;=10,BH15&lt;20),20,IF(AND(BH15&gt;=20,BH15&lt;30),30,IF(AND(BH15&gt;=30,BH15&lt;40),40,IF(AND(BH15&gt;=40,BH15&lt;50),50,IF(AND(BH15&gt;=50,BH15&lt;60),60,IF(AND(BH15&gt;=60,BH15&lt;80),80,IF(AND(BH15&gt;=80,BH15&lt;100),100,IF(AND(BH15&gt;=100,BH15&lt;120),120,"error")))))))))</f>
        <v>10</v>
      </c>
      <c r="HA15" s="505">
        <f t="shared" ref="HA15:HA38" si="128">IF(BH15&lt;10,10,IF(AND(BH15&gt;=10,BH15&lt;20),20,IF(AND(BH15&gt;=20,BH15&lt;30),30,IF(AND(BH15&gt;=30,BH15&lt;40),40,IF(AND(BH15&gt;=40,BH15&lt;50),50,"error")))))</f>
        <v>10</v>
      </c>
      <c r="HB15" s="505">
        <f t="shared" ref="HB15:HB38" si="129">IF(BH15&lt;6,6,IF(AND(BH15&gt;=6,BH15&lt;10),10,IF(AND(BH15&gt;=10,BH15&lt;15),15,IF(AND(BH15&gt;=15,BH15&lt;20),20,IF(AND(BH15&gt;=20,BH15&lt;30),30,IF(AND(BH15&gt;=30,BH15&lt;40),40,IF(AND(BH15&gt;=40,BH15&lt;50),50,"error")))))))</f>
        <v>6</v>
      </c>
      <c r="HC15" s="505">
        <f t="shared" ref="HC15:HC38" si="130">IF(BH15&lt;6,6,IF(AND(BH15&gt;=6,BH15&lt;10),10,IF(AND(BH15&gt;=10,BH15&lt;15),15,IF(AND(BH15&gt;=15,BH15&lt;20),20,IF(AND(BH15&gt;=20,BH15&lt;30),30,IF(AND(BH15&gt;=30,BH15&lt;40),40,IF(AND(BH15&gt;=40,BH15&lt;50),50,"error")))))))</f>
        <v>6</v>
      </c>
      <c r="HD15" s="505">
        <f t="shared" ref="HD15:HD38" si="131">IF(BH15&lt;10,10,IF(AND(BH15&gt;=10,BH15&lt;15),15,IF(AND(BH15&gt;=15,BH15&lt;25),25,IF(AND(BH15&gt;=25,BH15&lt;35),35,IF(AND(BH15&gt;=35,BH15&lt;40),40,IF(AND(BH15&gt;=40,BH15&lt;50),50,"error"))))))</f>
        <v>10</v>
      </c>
      <c r="HE15" s="505">
        <f t="shared" ref="HE15:HE38" si="132">IF(BH15&lt;10,10,IF(AND(BH15&gt;=10,BH15&lt;15),15,IF(AND(BH15&gt;=15,BH15&lt;20),20,"error")))</f>
        <v>10</v>
      </c>
      <c r="HF15" s="571"/>
      <c r="HG15" s="571"/>
      <c r="HH15" s="571"/>
      <c r="HI15" s="571"/>
      <c r="HJ15" s="571"/>
      <c r="HK15" s="571"/>
      <c r="HL15" s="571"/>
      <c r="HM15" s="571"/>
      <c r="HN15" s="571"/>
      <c r="HO15" s="571"/>
      <c r="HP15" s="571"/>
      <c r="HQ15" s="571"/>
      <c r="HR15" s="571"/>
      <c r="HS15" s="777"/>
      <c r="HT15" s="508">
        <f t="shared" si="24"/>
        <v>0</v>
      </c>
      <c r="HU15" s="509">
        <f t="shared" si="25"/>
        <v>0</v>
      </c>
      <c r="HV15" s="510">
        <f t="shared" si="26"/>
        <v>1</v>
      </c>
      <c r="HW15" s="543"/>
      <c r="HX15" s="543" t="s">
        <v>234</v>
      </c>
      <c r="HY15" s="543">
        <v>400</v>
      </c>
      <c r="HZ15" s="543">
        <v>320</v>
      </c>
      <c r="IA15" s="546" t="str">
        <f t="shared" ref="IA15:IA46" si="133">IF(V15&gt;VLOOKUP(S15,$HX$13:$HZ$46,2,0),"غ","م")</f>
        <v>م</v>
      </c>
      <c r="IB15" s="547" t="str">
        <f t="shared" ref="IB15:IB46" si="134">IF(W15&gt;VLOOKUP(S15,$HX$13:$HZ$46,3,0),"غ","م")</f>
        <v>م</v>
      </c>
      <c r="IC15" s="554">
        <f t="shared" si="27"/>
        <v>1.5</v>
      </c>
      <c r="ID15" s="545" t="str">
        <f t="shared" si="28"/>
        <v/>
      </c>
      <c r="IE15" s="222">
        <f t="shared" si="29"/>
        <v>0</v>
      </c>
      <c r="IF15" s="230">
        <f t="shared" si="30"/>
        <v>0</v>
      </c>
      <c r="IG15" s="228">
        <f t="shared" si="31"/>
        <v>0</v>
      </c>
      <c r="IH15" s="423">
        <f t="shared" si="32"/>
        <v>0</v>
      </c>
      <c r="II15" s="425">
        <f t="shared" si="33"/>
        <v>0</v>
      </c>
      <c r="IJ15" s="182"/>
    </row>
    <row r="16" spans="2:270" s="40" customFormat="1" ht="22.5" customHeight="1" x14ac:dyDescent="0.35">
      <c r="B16" s="258"/>
      <c r="C16" s="310">
        <f t="shared" si="34"/>
        <v>3</v>
      </c>
      <c r="D16" s="311" t="str">
        <f>IF(S16=0,0,VLOOKUP(S16,'قائمة الأسعار'!$C$13:$H$45,2,0))</f>
        <v>شريحة حماية 5.5 مدار</v>
      </c>
      <c r="E16" s="312">
        <f t="shared" si="35"/>
        <v>0</v>
      </c>
      <c r="F16" s="313">
        <f t="shared" si="36"/>
        <v>103.6</v>
      </c>
      <c r="G16" s="313">
        <f t="shared" si="37"/>
        <v>165</v>
      </c>
      <c r="H16" s="314">
        <f t="shared" si="38"/>
        <v>30</v>
      </c>
      <c r="I16" s="315">
        <f t="shared" si="39"/>
        <v>1.7094</v>
      </c>
      <c r="J16" s="316">
        <f t="shared" si="0"/>
        <v>1</v>
      </c>
      <c r="K16" s="315">
        <f t="shared" si="40"/>
        <v>1.7094</v>
      </c>
      <c r="L16" s="317">
        <f>IF(S16=0,0,IF(T16="لون خاص",VLOOKUP(D16,'قائمة الأسعار'!$D$48:$F$62,3,0),VLOOKUP(D16,'قائمة الأسعار'!$D$13:$F$27,3,0)))</f>
        <v>1</v>
      </c>
      <c r="M16" s="318">
        <f t="shared" si="1"/>
        <v>1.7094</v>
      </c>
      <c r="N16" s="315">
        <f>IF(S16=0,0,(IF(OR(S16=$CI$17,S16=$CI$18,S16=$CI$22,S16=$CI$23),K16,K16-(VLOOKUP(D16,'قائمة الأسعار'!$D$13:$G$47,4,FALSE)*J16*F16)/10000)))</f>
        <v>1.7094</v>
      </c>
      <c r="O16" s="612">
        <f>IF(S16=0,0,IF(T16="لون خاص",VLOOKUP(D16,'قائمة الأسعار'!$D$48:$G$62,4,0),VLOOKUP(D16,'قائمة الأسعار'!$D$13:$G$47,4,0)))</f>
        <v>5.5</v>
      </c>
      <c r="Q16" s="91"/>
      <c r="R16" s="199">
        <v>3</v>
      </c>
      <c r="S16" s="200" t="s">
        <v>235</v>
      </c>
      <c r="T16" s="200"/>
      <c r="U16" s="200"/>
      <c r="V16" s="201">
        <v>100</v>
      </c>
      <c r="W16" s="201">
        <v>150</v>
      </c>
      <c r="X16" s="201" t="s">
        <v>24</v>
      </c>
      <c r="Y16" s="201"/>
      <c r="Z16" s="201" t="b">
        <v>1</v>
      </c>
      <c r="AA16" s="200">
        <v>1</v>
      </c>
      <c r="AB16" s="201"/>
      <c r="AC16" s="219"/>
      <c r="AD16" s="620"/>
      <c r="AE16" s="620"/>
      <c r="AF16" s="621"/>
      <c r="AG16" s="193"/>
      <c r="AH16" s="202"/>
      <c r="AI16" s="203" t="str">
        <f t="shared" si="2"/>
        <v/>
      </c>
      <c r="AJ16" s="63"/>
      <c r="AK16" s="53"/>
      <c r="AL16" s="37"/>
      <c r="AM16" s="488"/>
      <c r="AN16" s="489">
        <f t="shared" si="41"/>
        <v>165</v>
      </c>
      <c r="AO16" s="490" cm="1">
        <f t="array" ref="AO16">IF(V16&lt;&gt;0,IF($AW$12=$BB$4,IF(X16=$BF$14,V16-1,IF(X16=$BF$13,V16+8.5,V16-7.5)),IF(X16=$BF$14,V16-1,IF(X16=$BF$13,IF(OR(S16=$CI$15:$CI$19,S16=$CI$38,S16=$CI$40),V16+3.6,IF(S16=$CI$39,V16+2.9,V16+4)),IF(OR(S16=$CI$15:$CI$19,S16=$CI$38,S16=$CI$40),V16-12.4,IF(S16=$CI$39,V16-13.1,V16-12))))),0)</f>
        <v>103.6</v>
      </c>
      <c r="AP16" s="491">
        <f t="shared" si="42"/>
        <v>166.5</v>
      </c>
      <c r="AQ16" s="491">
        <f t="shared" si="43"/>
        <v>30</v>
      </c>
      <c r="AR16" s="492">
        <f t="shared" si="44"/>
        <v>1.7094</v>
      </c>
      <c r="AS16" s="493">
        <f t="shared" si="45"/>
        <v>22.5</v>
      </c>
      <c r="AT16" s="493">
        <f t="shared" si="46"/>
        <v>116</v>
      </c>
      <c r="AU16" s="493">
        <f t="shared" si="47"/>
        <v>116</v>
      </c>
      <c r="AV16" s="493">
        <f t="shared" si="48"/>
        <v>6</v>
      </c>
      <c r="AW16" s="494">
        <f t="shared" si="49"/>
        <v>5.8</v>
      </c>
      <c r="AX16" s="494">
        <f t="shared" si="50"/>
        <v>153</v>
      </c>
      <c r="AY16" s="494">
        <f t="shared" si="51"/>
        <v>153</v>
      </c>
      <c r="AZ16" s="495">
        <f t="shared" si="52"/>
        <v>6</v>
      </c>
      <c r="BA16" s="495">
        <f t="shared" si="53"/>
        <v>2</v>
      </c>
      <c r="BB16" s="495">
        <f t="shared" si="54"/>
        <v>2</v>
      </c>
      <c r="BC16" s="496" cm="1">
        <f t="array" ref="BC16">IF(OR($AB16=$BF$22:$BF$40),$AB16,0)</f>
        <v>0</v>
      </c>
      <c r="BD16" s="496" cm="1">
        <f t="array" ref="BD16">IF(OR($AB16=$BF$22:$BF$40),IF(AC16=$CH$14,BK16,IF(AC16=$CH$13,BJ16,BI16)),0)</f>
        <v>0</v>
      </c>
      <c r="BE16" s="497" cm="1">
        <f t="array" ref="BE16">IF(OR(AB16=$BF$22:$BF$40),AA16,0)</f>
        <v>0</v>
      </c>
      <c r="BF16" s="487" t="s">
        <v>24</v>
      </c>
      <c r="BH16" s="499">
        <f t="shared" si="55"/>
        <v>16.2393</v>
      </c>
      <c r="BI16" s="498">
        <f t="shared" si="56"/>
        <v>0</v>
      </c>
      <c r="BJ16" s="498">
        <f t="shared" si="57"/>
        <v>0</v>
      </c>
      <c r="BK16" s="498">
        <f t="shared" si="58"/>
        <v>0</v>
      </c>
      <c r="BL16" s="500">
        <f t="shared" si="59"/>
        <v>0</v>
      </c>
      <c r="BM16" s="500">
        <f t="shared" si="3"/>
        <v>0</v>
      </c>
      <c r="BN16" s="500">
        <f t="shared" si="4"/>
        <v>0</v>
      </c>
      <c r="BO16" s="500">
        <f t="shared" si="5"/>
        <v>0</v>
      </c>
      <c r="BP16" s="500">
        <f t="shared" si="6"/>
        <v>0</v>
      </c>
      <c r="BQ16" s="500">
        <f t="shared" si="7"/>
        <v>0</v>
      </c>
      <c r="BR16" s="500">
        <f t="shared" si="8"/>
        <v>0</v>
      </c>
      <c r="BS16" s="500">
        <f t="shared" si="9"/>
        <v>0</v>
      </c>
      <c r="BT16" s="496">
        <f t="shared" si="10"/>
        <v>0</v>
      </c>
      <c r="BU16" s="496">
        <f t="shared" si="11"/>
        <v>0</v>
      </c>
      <c r="BV16" s="496">
        <f t="shared" si="12"/>
        <v>0</v>
      </c>
      <c r="BW16" s="496">
        <f t="shared" si="13"/>
        <v>0</v>
      </c>
      <c r="BX16" s="496">
        <f t="shared" si="14"/>
        <v>0</v>
      </c>
      <c r="BY16" s="496">
        <f t="shared" si="15"/>
        <v>0</v>
      </c>
      <c r="BZ16" s="496">
        <f t="shared" si="60"/>
        <v>0</v>
      </c>
      <c r="CA16" s="496">
        <f t="shared" si="16"/>
        <v>0</v>
      </c>
      <c r="CB16" s="496">
        <f t="shared" si="17"/>
        <v>0</v>
      </c>
      <c r="CC16" s="496">
        <f t="shared" si="18"/>
        <v>0</v>
      </c>
      <c r="CD16" s="496">
        <f t="shared" si="19"/>
        <v>0</v>
      </c>
      <c r="CE16" s="501">
        <f t="shared" si="61"/>
        <v>0</v>
      </c>
      <c r="CF16" s="501">
        <f t="shared" si="62"/>
        <v>0</v>
      </c>
      <c r="CG16" s="502">
        <f t="shared" si="63"/>
        <v>0</v>
      </c>
      <c r="CH16" s="498">
        <v>1013</v>
      </c>
      <c r="CI16" s="487" t="s">
        <v>234</v>
      </c>
      <c r="CJ16" s="487">
        <v>9</v>
      </c>
      <c r="CK16" s="597">
        <v>2.7</v>
      </c>
      <c r="CL16" s="777"/>
      <c r="CM16" s="503">
        <f t="shared" si="64"/>
        <v>22.5</v>
      </c>
      <c r="CN16" s="504">
        <f t="shared" si="65"/>
        <v>22.5</v>
      </c>
      <c r="CO16" s="504">
        <f t="shared" si="66"/>
        <v>22.5</v>
      </c>
      <c r="CP16" s="504">
        <f t="shared" si="67"/>
        <v>0</v>
      </c>
      <c r="CQ16" s="504">
        <f t="shared" si="68"/>
        <v>0</v>
      </c>
      <c r="CR16" s="504">
        <f t="shared" si="69"/>
        <v>0</v>
      </c>
      <c r="CS16" s="504">
        <f t="shared" si="70"/>
        <v>0</v>
      </c>
      <c r="CT16" s="504">
        <f t="shared" si="71"/>
        <v>0</v>
      </c>
      <c r="CU16" s="504">
        <f t="shared" si="72"/>
        <v>0</v>
      </c>
      <c r="CV16" s="504">
        <f t="shared" si="73"/>
        <v>0</v>
      </c>
      <c r="CW16" s="504">
        <f t="shared" si="74"/>
        <v>0</v>
      </c>
      <c r="CX16" s="504">
        <f t="shared" si="75"/>
        <v>0</v>
      </c>
      <c r="CY16" s="504">
        <f t="shared" si="76"/>
        <v>0</v>
      </c>
      <c r="CZ16" s="504">
        <f t="shared" si="77"/>
        <v>0</v>
      </c>
      <c r="DA16" s="505">
        <f t="shared" si="78"/>
        <v>0</v>
      </c>
      <c r="DB16" s="571">
        <f t="shared" si="79"/>
        <v>0</v>
      </c>
      <c r="DC16" s="571">
        <f t="shared" si="80"/>
        <v>0</v>
      </c>
      <c r="DD16" s="571">
        <f t="shared" si="81"/>
        <v>0</v>
      </c>
      <c r="DE16" s="571">
        <f t="shared" si="82"/>
        <v>0</v>
      </c>
      <c r="DF16" s="571">
        <f t="shared" si="83"/>
        <v>0</v>
      </c>
      <c r="DG16" s="571">
        <f t="shared" si="84"/>
        <v>0</v>
      </c>
      <c r="DH16" s="571">
        <f t="shared" si="85"/>
        <v>0</v>
      </c>
      <c r="DI16" s="571">
        <f t="shared" si="86"/>
        <v>0</v>
      </c>
      <c r="DJ16" s="571">
        <f t="shared" si="87"/>
        <v>0</v>
      </c>
      <c r="DK16" s="571">
        <f t="shared" si="88"/>
        <v>0</v>
      </c>
      <c r="DL16" s="571">
        <f t="shared" si="89"/>
        <v>0</v>
      </c>
      <c r="DM16" s="571">
        <f t="shared" si="90"/>
        <v>0</v>
      </c>
      <c r="DN16" s="571">
        <f t="shared" si="91"/>
        <v>0</v>
      </c>
      <c r="DO16" s="571">
        <f t="shared" si="92"/>
        <v>0</v>
      </c>
      <c r="DP16" s="571">
        <f t="shared" si="93"/>
        <v>0</v>
      </c>
      <c r="DQ16" s="571">
        <f t="shared" si="20"/>
        <v>0</v>
      </c>
      <c r="DR16" s="571">
        <f t="shared" si="94"/>
        <v>0</v>
      </c>
      <c r="DS16" s="571">
        <f t="shared" si="95"/>
        <v>0</v>
      </c>
      <c r="DT16" s="571"/>
      <c r="DU16" s="571"/>
      <c r="DV16" s="777"/>
      <c r="DW16" s="503">
        <f t="shared" ref="DW16:DW38" si="135">IF($S16=DW$12,IF(AND(AO16&lt;=320,BH16&lt;=50),6,7),DX16)</f>
        <v>6</v>
      </c>
      <c r="DX16" s="503">
        <f t="shared" ref="DX16:DX38" si="136">IF($S16=DX$12,IF(AND(AO16&lt;=320,BH16&lt;=50),6,7),DY16)</f>
        <v>6</v>
      </c>
      <c r="DY16" s="503" cm="1">
        <f t="array" ref="DY16">IF($S16=DY$12,IF(AND(AO16&lt;=250,BH16&lt;=60),6,IF(OR(AO16&lt;=350,BH16&lt;=80),7,IF(OR(AND(AO16&gt;350,AO&lt;=120),BH16&lt;=120),9,12))),DZ16)</f>
        <v>6</v>
      </c>
      <c r="DZ16" s="504">
        <f t="shared" si="96"/>
        <v>0</v>
      </c>
      <c r="EA16" s="504">
        <f t="shared" si="97"/>
        <v>0</v>
      </c>
      <c r="EB16" s="504">
        <f t="shared" si="98"/>
        <v>0</v>
      </c>
      <c r="EC16" s="504">
        <f t="shared" si="99"/>
        <v>0</v>
      </c>
      <c r="ED16" s="504">
        <f t="shared" si="100"/>
        <v>0</v>
      </c>
      <c r="EE16" s="504">
        <f t="shared" si="101"/>
        <v>0</v>
      </c>
      <c r="EF16" s="504">
        <f t="shared" si="102"/>
        <v>0</v>
      </c>
      <c r="EG16" s="504">
        <f t="shared" si="103"/>
        <v>0</v>
      </c>
      <c r="EH16" s="504">
        <f t="shared" si="104"/>
        <v>0</v>
      </c>
      <c r="EI16" s="504">
        <f t="shared" si="105"/>
        <v>0</v>
      </c>
      <c r="EJ16" s="504">
        <f t="shared" si="106"/>
        <v>0</v>
      </c>
      <c r="EK16" s="505">
        <f t="shared" si="107"/>
        <v>0</v>
      </c>
      <c r="EL16" s="571">
        <f t="shared" ref="EL16:ET16" si="137">IF($S16=EL$12,IF(AND($AO16&lt;=320,$BH16&lt;=50),6,7),EM16)</f>
        <v>0</v>
      </c>
      <c r="EM16" s="571">
        <f t="shared" si="137"/>
        <v>0</v>
      </c>
      <c r="EN16" s="571">
        <f t="shared" si="137"/>
        <v>0</v>
      </c>
      <c r="EO16" s="571">
        <f t="shared" si="137"/>
        <v>0</v>
      </c>
      <c r="EP16" s="571">
        <f t="shared" si="137"/>
        <v>0</v>
      </c>
      <c r="EQ16" s="571">
        <f t="shared" si="137"/>
        <v>0</v>
      </c>
      <c r="ER16" s="571">
        <f t="shared" si="137"/>
        <v>0</v>
      </c>
      <c r="ES16" s="571">
        <f t="shared" si="137"/>
        <v>0</v>
      </c>
      <c r="ET16" s="571">
        <f t="shared" si="137"/>
        <v>0</v>
      </c>
      <c r="EU16" s="571">
        <f t="shared" si="109"/>
        <v>0</v>
      </c>
      <c r="EV16" s="571">
        <f t="shared" ref="EV16:FA16" si="138">IF($S16=EV$12,IF(AND($AO16&lt;=320,$BH16&lt;=50),6,7),EW16)</f>
        <v>0</v>
      </c>
      <c r="EW16" s="571">
        <f t="shared" si="138"/>
        <v>0</v>
      </c>
      <c r="EX16" s="571">
        <f t="shared" si="138"/>
        <v>0</v>
      </c>
      <c r="EY16" s="571">
        <f t="shared" si="138"/>
        <v>0</v>
      </c>
      <c r="EZ16" s="571">
        <f t="shared" si="138"/>
        <v>0</v>
      </c>
      <c r="FA16" s="571">
        <f t="shared" si="138"/>
        <v>0</v>
      </c>
      <c r="FB16" s="571">
        <f t="shared" si="23"/>
        <v>0</v>
      </c>
      <c r="FC16" s="571">
        <f t="shared" si="111"/>
        <v>0</v>
      </c>
      <c r="FD16" s="571"/>
      <c r="FE16" s="571"/>
      <c r="FF16" s="571"/>
      <c r="FG16" s="571"/>
      <c r="FH16" s="443"/>
      <c r="FI16" s="505">
        <f t="shared" si="112"/>
        <v>20</v>
      </c>
      <c r="FJ16" s="505">
        <f t="shared" si="113"/>
        <v>20</v>
      </c>
      <c r="FK16" s="505">
        <f t="shared" si="114"/>
        <v>20</v>
      </c>
      <c r="FL16" s="505">
        <f t="shared" si="115"/>
        <v>20</v>
      </c>
      <c r="FM16" s="505">
        <f t="shared" si="116"/>
        <v>20</v>
      </c>
      <c r="FN16" s="505">
        <f t="shared" si="117"/>
        <v>20</v>
      </c>
      <c r="FO16" s="505" t="str">
        <f t="shared" si="118"/>
        <v>error</v>
      </c>
      <c r="FP16" s="571"/>
      <c r="FQ16" s="571"/>
      <c r="FR16" s="571"/>
      <c r="FS16" s="571"/>
      <c r="FT16" s="571"/>
      <c r="FU16" s="571"/>
      <c r="FV16" s="571"/>
      <c r="FW16" s="571"/>
      <c r="FX16" s="571"/>
      <c r="FY16" s="571"/>
      <c r="FZ16" s="571"/>
      <c r="GA16" s="571"/>
      <c r="GB16" s="571"/>
      <c r="GC16" s="571"/>
      <c r="GD16" s="443"/>
      <c r="GE16" s="505">
        <f t="shared" si="119"/>
        <v>20</v>
      </c>
      <c r="GF16" s="505">
        <f t="shared" si="120"/>
        <v>20</v>
      </c>
      <c r="GG16" s="505">
        <f t="shared" si="121"/>
        <v>20</v>
      </c>
      <c r="GH16" s="505">
        <f t="shared" si="122"/>
        <v>20</v>
      </c>
      <c r="GI16" s="505">
        <f t="shared" si="123"/>
        <v>20</v>
      </c>
      <c r="GJ16" s="505">
        <f t="shared" si="124"/>
        <v>20</v>
      </c>
      <c r="GK16" s="505">
        <f t="shared" si="125"/>
        <v>20</v>
      </c>
      <c r="GL16" s="571"/>
      <c r="GM16" s="571"/>
      <c r="GN16" s="571"/>
      <c r="GO16" s="571"/>
      <c r="GP16" s="571"/>
      <c r="GQ16" s="571"/>
      <c r="GR16" s="571"/>
      <c r="GS16" s="571"/>
      <c r="GT16" s="571"/>
      <c r="GU16" s="571"/>
      <c r="GV16" s="571"/>
      <c r="GW16" s="571"/>
      <c r="GX16" s="506"/>
      <c r="GY16" s="507">
        <f t="shared" si="126"/>
        <v>20</v>
      </c>
      <c r="GZ16" s="505">
        <f t="shared" si="127"/>
        <v>20</v>
      </c>
      <c r="HA16" s="505">
        <f t="shared" si="128"/>
        <v>20</v>
      </c>
      <c r="HB16" s="505">
        <f t="shared" si="129"/>
        <v>20</v>
      </c>
      <c r="HC16" s="505">
        <f t="shared" si="130"/>
        <v>20</v>
      </c>
      <c r="HD16" s="505">
        <f t="shared" si="131"/>
        <v>25</v>
      </c>
      <c r="HE16" s="505">
        <f t="shared" si="132"/>
        <v>20</v>
      </c>
      <c r="HF16" s="571"/>
      <c r="HG16" s="571"/>
      <c r="HH16" s="571"/>
      <c r="HI16" s="571"/>
      <c r="HJ16" s="571"/>
      <c r="HK16" s="571"/>
      <c r="HL16" s="571"/>
      <c r="HM16" s="571"/>
      <c r="HN16" s="571"/>
      <c r="HO16" s="571"/>
      <c r="HP16" s="571"/>
      <c r="HQ16" s="571"/>
      <c r="HR16" s="571"/>
      <c r="HS16" s="777"/>
      <c r="HT16" s="508">
        <f t="shared" si="24"/>
        <v>103.6</v>
      </c>
      <c r="HU16" s="509">
        <f t="shared" si="25"/>
        <v>0</v>
      </c>
      <c r="HV16" s="510">
        <f t="shared" si="26"/>
        <v>1</v>
      </c>
      <c r="HW16" s="543"/>
      <c r="HX16" s="548" t="s">
        <v>235</v>
      </c>
      <c r="HY16" s="548">
        <v>500</v>
      </c>
      <c r="HZ16" s="548">
        <v>400</v>
      </c>
      <c r="IA16" s="546" t="str">
        <f t="shared" si="133"/>
        <v>م</v>
      </c>
      <c r="IB16" s="547" t="str">
        <f t="shared" si="134"/>
        <v>م</v>
      </c>
      <c r="IC16" s="554">
        <f t="shared" si="27"/>
        <v>1.5</v>
      </c>
      <c r="ID16" s="545" t="str">
        <f t="shared" si="28"/>
        <v/>
      </c>
      <c r="IE16" s="222">
        <f t="shared" si="29"/>
        <v>0</v>
      </c>
      <c r="IF16" s="230">
        <f t="shared" si="30"/>
        <v>0</v>
      </c>
      <c r="IG16" s="228">
        <f t="shared" si="31"/>
        <v>0</v>
      </c>
      <c r="IH16" s="423">
        <f t="shared" si="32"/>
        <v>0</v>
      </c>
      <c r="II16" s="425">
        <f t="shared" si="33"/>
        <v>0</v>
      </c>
      <c r="IJ16" s="182"/>
    </row>
    <row r="17" spans="2:244" s="40" customFormat="1" ht="24.75" customHeight="1" x14ac:dyDescent="0.35">
      <c r="B17" s="258"/>
      <c r="C17" s="310">
        <f t="shared" si="34"/>
        <v>4</v>
      </c>
      <c r="D17" s="311" t="str">
        <f>IF(S17=0,0,VLOOKUP(S17,'قائمة الأسعار'!$C$13:$H$45,2,0))</f>
        <v>شريحة زنكاليوم 5.5 مدار</v>
      </c>
      <c r="E17" s="312">
        <f t="shared" si="35"/>
        <v>0</v>
      </c>
      <c r="F17" s="313">
        <f t="shared" si="36"/>
        <v>103.6</v>
      </c>
      <c r="G17" s="313">
        <f t="shared" si="37"/>
        <v>165</v>
      </c>
      <c r="H17" s="314">
        <f t="shared" si="38"/>
        <v>30</v>
      </c>
      <c r="I17" s="315">
        <f t="shared" si="39"/>
        <v>1.7094</v>
      </c>
      <c r="J17" s="316">
        <f t="shared" si="0"/>
        <v>1</v>
      </c>
      <c r="K17" s="315">
        <f t="shared" si="40"/>
        <v>1.7094</v>
      </c>
      <c r="L17" s="317">
        <f>IF(S17=0,0,IF(T17="لون خاص",VLOOKUP(D17,'قائمة الأسعار'!$D$48:$F$62,3,0),VLOOKUP(D17,'قائمة الأسعار'!$D$13:$F$27,3,0)))</f>
        <v>1</v>
      </c>
      <c r="M17" s="318">
        <f t="shared" si="1"/>
        <v>1.7094</v>
      </c>
      <c r="N17" s="315">
        <f>IF(S17=0,0,(IF(OR(S17=$CI$17,S17=$CI$18,S17=$CI$22,S17=$CI$23),K17,K17-(VLOOKUP(D17,'قائمة الأسعار'!$D$13:$G$47,4,FALSE)*J17*F17)/10000)))</f>
        <v>1.7094</v>
      </c>
      <c r="O17" s="612">
        <f>IF(S17=0,0,IF(T17="لون خاص",VLOOKUP(D17,'قائمة الأسعار'!$D$48:$G$62,4,0),VLOOKUP(D17,'قائمة الأسعار'!$D$13:$G$47,4,0)))</f>
        <v>5.5</v>
      </c>
      <c r="Q17" s="91"/>
      <c r="R17" s="199">
        <v>4</v>
      </c>
      <c r="S17" s="200" t="s">
        <v>236</v>
      </c>
      <c r="T17" s="200"/>
      <c r="U17" s="200"/>
      <c r="V17" s="201">
        <v>100</v>
      </c>
      <c r="W17" s="201">
        <v>150</v>
      </c>
      <c r="X17" s="201" t="s">
        <v>24</v>
      </c>
      <c r="Y17" s="201"/>
      <c r="Z17" s="201" t="b">
        <v>1</v>
      </c>
      <c r="AA17" s="200">
        <v>1</v>
      </c>
      <c r="AB17" s="201"/>
      <c r="AC17" s="219"/>
      <c r="AD17" s="620"/>
      <c r="AE17" s="620"/>
      <c r="AF17" s="621"/>
      <c r="AG17" s="193"/>
      <c r="AH17" s="202" t="str">
        <f t="shared" ref="AH17:AH38" si="139">IF(S17=0,0,IF(OR(IA17="غ",IB17="غ"),"غير مقبول فنياً","مقبول فنياً"))</f>
        <v>مقبول فنياً</v>
      </c>
      <c r="AI17" s="203" t="str">
        <f t="shared" si="2"/>
        <v/>
      </c>
      <c r="AJ17" s="63"/>
      <c r="AK17" s="53"/>
      <c r="AL17" s="37"/>
      <c r="AM17" s="488"/>
      <c r="AN17" s="489">
        <f t="shared" si="41"/>
        <v>165</v>
      </c>
      <c r="AO17" s="490" cm="1">
        <f t="array" ref="AO17">IF(V17&lt;&gt;0,IF($AW$12=$BB$4,IF(X17=$BF$14,V17-1,IF(X17=$BF$13,V17+8.5,V17-7.5)),IF(X17=$BF$14,V17-1,IF(X17=$BF$13,IF(OR(S17=$CI$15:$CI$19,S17=$CI$38,S17=$CI$40),V17+3.6,IF(S17=$CI$39,V17+2.9,V17+4)),IF(OR(S17=$CI$15:$CI$19,S17=$CI$38,S17=$CI$40),V17-12.4,IF(S17=$CI$39,V17-13.1,V17-12))))),0)</f>
        <v>103.6</v>
      </c>
      <c r="AP17" s="491">
        <f t="shared" si="42"/>
        <v>166.5</v>
      </c>
      <c r="AQ17" s="491">
        <f t="shared" si="43"/>
        <v>30</v>
      </c>
      <c r="AR17" s="492">
        <f t="shared" si="44"/>
        <v>1.7094</v>
      </c>
      <c r="AS17" s="493">
        <f t="shared" si="45"/>
        <v>20</v>
      </c>
      <c r="AT17" s="493">
        <f t="shared" si="46"/>
        <v>116</v>
      </c>
      <c r="AU17" s="493">
        <f t="shared" si="47"/>
        <v>116</v>
      </c>
      <c r="AV17" s="493">
        <f t="shared" si="48"/>
        <v>6</v>
      </c>
      <c r="AW17" s="494">
        <f t="shared" si="49"/>
        <v>5.8</v>
      </c>
      <c r="AX17" s="494">
        <f t="shared" si="50"/>
        <v>153</v>
      </c>
      <c r="AY17" s="494">
        <f t="shared" si="51"/>
        <v>153</v>
      </c>
      <c r="AZ17" s="495">
        <f t="shared" si="52"/>
        <v>6</v>
      </c>
      <c r="BA17" s="495">
        <f t="shared" si="53"/>
        <v>2</v>
      </c>
      <c r="BB17" s="495">
        <f t="shared" si="54"/>
        <v>2</v>
      </c>
      <c r="BC17" s="496" cm="1">
        <f t="array" ref="BC17">IF(OR($AB17=$BF$22:$BF$40),$AB17,0)</f>
        <v>0</v>
      </c>
      <c r="BD17" s="496" cm="1">
        <f t="array" ref="BD17">IF(OR($AB17=$BF$22:$BF$40),IF(AC17=$CH$14,BK17,IF(AC17=$CH$13,BJ17,BI17)),0)</f>
        <v>0</v>
      </c>
      <c r="BE17" s="497" cm="1">
        <f t="array" ref="BE17">IF(OR(AB17=$BF$22:$BF$40),AA17,0)</f>
        <v>0</v>
      </c>
      <c r="BF17" s="498"/>
      <c r="BH17" s="499">
        <f t="shared" si="55"/>
        <v>14.358960000000002</v>
      </c>
      <c r="BI17" s="498">
        <f t="shared" si="56"/>
        <v>0</v>
      </c>
      <c r="BJ17" s="498">
        <f t="shared" si="57"/>
        <v>0</v>
      </c>
      <c r="BK17" s="498">
        <f t="shared" si="58"/>
        <v>0</v>
      </c>
      <c r="BL17" s="500">
        <f t="shared" si="59"/>
        <v>0</v>
      </c>
      <c r="BM17" s="500">
        <f t="shared" si="3"/>
        <v>0</v>
      </c>
      <c r="BN17" s="500">
        <f t="shared" si="4"/>
        <v>0</v>
      </c>
      <c r="BO17" s="500">
        <f t="shared" si="5"/>
        <v>0</v>
      </c>
      <c r="BP17" s="500">
        <f t="shared" si="6"/>
        <v>0</v>
      </c>
      <c r="BQ17" s="500">
        <f t="shared" si="7"/>
        <v>0</v>
      </c>
      <c r="BR17" s="500">
        <f t="shared" si="8"/>
        <v>0</v>
      </c>
      <c r="BS17" s="500">
        <f t="shared" si="9"/>
        <v>0</v>
      </c>
      <c r="BT17" s="496">
        <f t="shared" si="10"/>
        <v>0</v>
      </c>
      <c r="BU17" s="496">
        <f t="shared" si="11"/>
        <v>0</v>
      </c>
      <c r="BV17" s="496">
        <f t="shared" si="12"/>
        <v>0</v>
      </c>
      <c r="BW17" s="496">
        <f t="shared" si="13"/>
        <v>0</v>
      </c>
      <c r="BX17" s="496">
        <f t="shared" si="14"/>
        <v>0</v>
      </c>
      <c r="BY17" s="496">
        <f t="shared" si="15"/>
        <v>0</v>
      </c>
      <c r="BZ17" s="496">
        <f t="shared" si="60"/>
        <v>0</v>
      </c>
      <c r="CA17" s="496">
        <f t="shared" si="16"/>
        <v>0</v>
      </c>
      <c r="CB17" s="496">
        <f t="shared" si="17"/>
        <v>0</v>
      </c>
      <c r="CC17" s="496">
        <f t="shared" si="18"/>
        <v>0</v>
      </c>
      <c r="CD17" s="496">
        <f t="shared" si="19"/>
        <v>0</v>
      </c>
      <c r="CE17" s="501">
        <f t="shared" si="61"/>
        <v>0</v>
      </c>
      <c r="CF17" s="501">
        <f t="shared" si="62"/>
        <v>0</v>
      </c>
      <c r="CG17" s="502">
        <f t="shared" si="63"/>
        <v>0</v>
      </c>
      <c r="CH17" s="498">
        <v>9016</v>
      </c>
      <c r="CI17" s="498" t="s">
        <v>235</v>
      </c>
      <c r="CJ17" s="498">
        <v>12</v>
      </c>
      <c r="CK17" s="598">
        <v>9.5</v>
      </c>
      <c r="CL17" s="777"/>
      <c r="CM17" s="503">
        <f t="shared" si="64"/>
        <v>20</v>
      </c>
      <c r="CN17" s="504">
        <f t="shared" si="65"/>
        <v>20</v>
      </c>
      <c r="CO17" s="504">
        <f t="shared" si="66"/>
        <v>20</v>
      </c>
      <c r="CP17" s="504">
        <f t="shared" si="67"/>
        <v>20</v>
      </c>
      <c r="CQ17" s="504">
        <f t="shared" si="68"/>
        <v>0</v>
      </c>
      <c r="CR17" s="504">
        <f t="shared" si="69"/>
        <v>0</v>
      </c>
      <c r="CS17" s="504">
        <f t="shared" si="70"/>
        <v>0</v>
      </c>
      <c r="CT17" s="504">
        <f t="shared" si="71"/>
        <v>0</v>
      </c>
      <c r="CU17" s="504">
        <f t="shared" si="72"/>
        <v>0</v>
      </c>
      <c r="CV17" s="504">
        <f t="shared" si="73"/>
        <v>0</v>
      </c>
      <c r="CW17" s="504">
        <f t="shared" si="74"/>
        <v>0</v>
      </c>
      <c r="CX17" s="504">
        <f t="shared" si="75"/>
        <v>0</v>
      </c>
      <c r="CY17" s="504">
        <f t="shared" si="76"/>
        <v>0</v>
      </c>
      <c r="CZ17" s="504">
        <f t="shared" si="77"/>
        <v>0</v>
      </c>
      <c r="DA17" s="505">
        <f t="shared" si="78"/>
        <v>0</v>
      </c>
      <c r="DB17" s="571">
        <f t="shared" si="79"/>
        <v>0</v>
      </c>
      <c r="DC17" s="571">
        <f t="shared" si="80"/>
        <v>0</v>
      </c>
      <c r="DD17" s="571">
        <f t="shared" si="81"/>
        <v>0</v>
      </c>
      <c r="DE17" s="571">
        <f t="shared" si="82"/>
        <v>0</v>
      </c>
      <c r="DF17" s="571">
        <f t="shared" si="83"/>
        <v>0</v>
      </c>
      <c r="DG17" s="571">
        <f t="shared" si="84"/>
        <v>0</v>
      </c>
      <c r="DH17" s="571">
        <f t="shared" si="85"/>
        <v>0</v>
      </c>
      <c r="DI17" s="571">
        <f t="shared" si="86"/>
        <v>0</v>
      </c>
      <c r="DJ17" s="571">
        <f t="shared" si="87"/>
        <v>0</v>
      </c>
      <c r="DK17" s="571">
        <f t="shared" si="88"/>
        <v>0</v>
      </c>
      <c r="DL17" s="571">
        <f t="shared" si="89"/>
        <v>0</v>
      </c>
      <c r="DM17" s="571">
        <f t="shared" si="90"/>
        <v>0</v>
      </c>
      <c r="DN17" s="571">
        <f t="shared" si="91"/>
        <v>0</v>
      </c>
      <c r="DO17" s="571">
        <f t="shared" si="92"/>
        <v>0</v>
      </c>
      <c r="DP17" s="571">
        <f t="shared" si="93"/>
        <v>0</v>
      </c>
      <c r="DQ17" s="571">
        <f t="shared" si="20"/>
        <v>0</v>
      </c>
      <c r="DR17" s="571">
        <f t="shared" si="94"/>
        <v>0</v>
      </c>
      <c r="DS17" s="571">
        <f t="shared" si="95"/>
        <v>0</v>
      </c>
      <c r="DT17" s="571"/>
      <c r="DU17" s="571"/>
      <c r="DV17" s="777"/>
      <c r="DW17" s="503">
        <f t="shared" si="135"/>
        <v>6</v>
      </c>
      <c r="DX17" s="503">
        <f t="shared" si="136"/>
        <v>6</v>
      </c>
      <c r="DY17" s="503" cm="1">
        <f t="array" ref="DY17">IF($S17=DY$12,IF(AND(AO17&lt;=250,BH17&lt;=60),6,IF(OR(AO17&lt;=350,BH17&lt;=80),7,IF(OR(AND(AO17&gt;350,AO&lt;=120),BH17&lt;=120),9,12))),DZ17)</f>
        <v>6</v>
      </c>
      <c r="DZ17" s="504">
        <f t="shared" si="96"/>
        <v>6</v>
      </c>
      <c r="EA17" s="504">
        <f t="shared" si="97"/>
        <v>0</v>
      </c>
      <c r="EB17" s="504">
        <f t="shared" si="98"/>
        <v>0</v>
      </c>
      <c r="EC17" s="504">
        <f t="shared" si="99"/>
        <v>0</v>
      </c>
      <c r="ED17" s="504">
        <f t="shared" si="100"/>
        <v>0</v>
      </c>
      <c r="EE17" s="504">
        <f t="shared" si="101"/>
        <v>0</v>
      </c>
      <c r="EF17" s="504">
        <f t="shared" si="102"/>
        <v>0</v>
      </c>
      <c r="EG17" s="504">
        <f t="shared" si="103"/>
        <v>0</v>
      </c>
      <c r="EH17" s="504">
        <f t="shared" si="104"/>
        <v>0</v>
      </c>
      <c r="EI17" s="504">
        <f t="shared" si="105"/>
        <v>0</v>
      </c>
      <c r="EJ17" s="504">
        <f t="shared" si="106"/>
        <v>0</v>
      </c>
      <c r="EK17" s="505">
        <f t="shared" si="107"/>
        <v>0</v>
      </c>
      <c r="EL17" s="571">
        <f t="shared" ref="EL17:ET17" si="140">IF($S17=EL$12,IF(AND($AO17&lt;=320,$BH17&lt;=50),6,7),EM17)</f>
        <v>0</v>
      </c>
      <c r="EM17" s="571">
        <f t="shared" si="140"/>
        <v>0</v>
      </c>
      <c r="EN17" s="571">
        <f t="shared" si="140"/>
        <v>0</v>
      </c>
      <c r="EO17" s="571">
        <f t="shared" si="140"/>
        <v>0</v>
      </c>
      <c r="EP17" s="571">
        <f t="shared" si="140"/>
        <v>0</v>
      </c>
      <c r="EQ17" s="571">
        <f t="shared" si="140"/>
        <v>0</v>
      </c>
      <c r="ER17" s="571">
        <f t="shared" si="140"/>
        <v>0</v>
      </c>
      <c r="ES17" s="571">
        <f t="shared" si="140"/>
        <v>0</v>
      </c>
      <c r="ET17" s="571">
        <f t="shared" si="140"/>
        <v>0</v>
      </c>
      <c r="EU17" s="571">
        <f t="shared" si="109"/>
        <v>0</v>
      </c>
      <c r="EV17" s="571">
        <f t="shared" ref="EV17:FA17" si="141">IF($S17=EV$12,IF(AND($AO17&lt;=320,$BH17&lt;=50),6,7),EW17)</f>
        <v>0</v>
      </c>
      <c r="EW17" s="571">
        <f t="shared" si="141"/>
        <v>0</v>
      </c>
      <c r="EX17" s="571">
        <f t="shared" si="141"/>
        <v>0</v>
      </c>
      <c r="EY17" s="571">
        <f t="shared" si="141"/>
        <v>0</v>
      </c>
      <c r="EZ17" s="571">
        <f t="shared" si="141"/>
        <v>0</v>
      </c>
      <c r="FA17" s="571">
        <f t="shared" si="141"/>
        <v>0</v>
      </c>
      <c r="FB17" s="571">
        <f t="shared" si="23"/>
        <v>0</v>
      </c>
      <c r="FC17" s="571">
        <f t="shared" si="111"/>
        <v>0</v>
      </c>
      <c r="FD17" s="571"/>
      <c r="FE17" s="571"/>
      <c r="FF17" s="571"/>
      <c r="FG17" s="571"/>
      <c r="FH17" s="443"/>
      <c r="FI17" s="505">
        <f t="shared" si="112"/>
        <v>15</v>
      </c>
      <c r="FJ17" s="505">
        <f t="shared" si="113"/>
        <v>15</v>
      </c>
      <c r="FK17" s="505">
        <f t="shared" si="114"/>
        <v>15</v>
      </c>
      <c r="FL17" s="505">
        <f t="shared" si="115"/>
        <v>15</v>
      </c>
      <c r="FM17" s="505">
        <f t="shared" si="116"/>
        <v>15</v>
      </c>
      <c r="FN17" s="505">
        <f t="shared" si="117"/>
        <v>20</v>
      </c>
      <c r="FO17" s="505" t="str">
        <f t="shared" si="118"/>
        <v>error</v>
      </c>
      <c r="FP17" s="571"/>
      <c r="FQ17" s="571"/>
      <c r="FR17" s="571"/>
      <c r="FS17" s="571"/>
      <c r="FT17" s="571"/>
      <c r="FU17" s="571"/>
      <c r="FV17" s="571"/>
      <c r="FW17" s="571"/>
      <c r="FX17" s="571"/>
      <c r="FY17" s="571"/>
      <c r="FZ17" s="571"/>
      <c r="GA17" s="571"/>
      <c r="GB17" s="571"/>
      <c r="GC17" s="571"/>
      <c r="GD17" s="443"/>
      <c r="GE17" s="505">
        <f t="shared" si="119"/>
        <v>15</v>
      </c>
      <c r="GF17" s="505">
        <f t="shared" si="120"/>
        <v>20</v>
      </c>
      <c r="GG17" s="505">
        <f t="shared" si="121"/>
        <v>20</v>
      </c>
      <c r="GH17" s="505">
        <f t="shared" si="122"/>
        <v>15</v>
      </c>
      <c r="GI17" s="505">
        <f t="shared" si="123"/>
        <v>15</v>
      </c>
      <c r="GJ17" s="505">
        <f t="shared" si="124"/>
        <v>20</v>
      </c>
      <c r="GK17" s="505">
        <f t="shared" si="125"/>
        <v>15</v>
      </c>
      <c r="GL17" s="571"/>
      <c r="GM17" s="571"/>
      <c r="GN17" s="571"/>
      <c r="GO17" s="571"/>
      <c r="GP17" s="571"/>
      <c r="GQ17" s="571"/>
      <c r="GR17" s="571"/>
      <c r="GS17" s="571"/>
      <c r="GT17" s="571"/>
      <c r="GU17" s="571"/>
      <c r="GV17" s="571"/>
      <c r="GW17" s="571"/>
      <c r="GX17" s="506"/>
      <c r="GY17" s="507">
        <f t="shared" si="126"/>
        <v>15</v>
      </c>
      <c r="GZ17" s="505">
        <f t="shared" si="127"/>
        <v>20</v>
      </c>
      <c r="HA17" s="505">
        <f t="shared" si="128"/>
        <v>20</v>
      </c>
      <c r="HB17" s="505">
        <f t="shared" si="129"/>
        <v>15</v>
      </c>
      <c r="HC17" s="505">
        <f t="shared" si="130"/>
        <v>15</v>
      </c>
      <c r="HD17" s="505">
        <f t="shared" si="131"/>
        <v>15</v>
      </c>
      <c r="HE17" s="505">
        <f t="shared" si="132"/>
        <v>15</v>
      </c>
      <c r="HF17" s="571"/>
      <c r="HG17" s="571"/>
      <c r="HH17" s="571"/>
      <c r="HI17" s="571"/>
      <c r="HJ17" s="571"/>
      <c r="HK17" s="571"/>
      <c r="HL17" s="571"/>
      <c r="HM17" s="571"/>
      <c r="HN17" s="571"/>
      <c r="HO17" s="571"/>
      <c r="HP17" s="571"/>
      <c r="HQ17" s="571"/>
      <c r="HR17" s="571"/>
      <c r="HS17" s="777"/>
      <c r="HT17" s="508">
        <f t="shared" si="24"/>
        <v>0</v>
      </c>
      <c r="HU17" s="509">
        <f t="shared" si="25"/>
        <v>103.6</v>
      </c>
      <c r="HV17" s="510">
        <f t="shared" si="26"/>
        <v>1</v>
      </c>
      <c r="HW17" s="543"/>
      <c r="HX17" s="548" t="s">
        <v>236</v>
      </c>
      <c r="HY17" s="548">
        <v>520</v>
      </c>
      <c r="HZ17" s="548">
        <v>450</v>
      </c>
      <c r="IA17" s="546" t="str">
        <f t="shared" si="133"/>
        <v>م</v>
      </c>
      <c r="IB17" s="547" t="str">
        <f t="shared" si="134"/>
        <v>م</v>
      </c>
      <c r="IC17" s="554">
        <f t="shared" si="27"/>
        <v>1.5</v>
      </c>
      <c r="ID17" s="545" t="str">
        <f t="shared" si="28"/>
        <v/>
      </c>
      <c r="IE17" s="222">
        <f t="shared" si="29"/>
        <v>0</v>
      </c>
      <c r="IF17" s="230">
        <f t="shared" si="30"/>
        <v>0</v>
      </c>
      <c r="IG17" s="228">
        <f t="shared" si="31"/>
        <v>0</v>
      </c>
      <c r="IH17" s="423">
        <f t="shared" si="32"/>
        <v>0</v>
      </c>
      <c r="II17" s="425">
        <f t="shared" si="33"/>
        <v>0</v>
      </c>
      <c r="IJ17" s="183"/>
    </row>
    <row r="18" spans="2:244" s="40" customFormat="1" ht="24.75" customHeight="1" x14ac:dyDescent="0.35">
      <c r="B18" s="258"/>
      <c r="C18" s="310">
        <f t="shared" si="34"/>
        <v>5</v>
      </c>
      <c r="D18" s="311" t="str">
        <f>IF(S18=0,0,VLOOKUP(S18,'قائمة الأسعار'!$C$13:$H$45,2,0))</f>
        <v>شريحة مدار 5.5</v>
      </c>
      <c r="E18" s="312">
        <f t="shared" si="35"/>
        <v>0</v>
      </c>
      <c r="F18" s="313">
        <f t="shared" si="36"/>
        <v>103.6</v>
      </c>
      <c r="G18" s="313">
        <f t="shared" si="37"/>
        <v>165</v>
      </c>
      <c r="H18" s="314">
        <f t="shared" si="38"/>
        <v>30</v>
      </c>
      <c r="I18" s="315">
        <f t="shared" si="39"/>
        <v>1.7094</v>
      </c>
      <c r="J18" s="316">
        <f t="shared" si="0"/>
        <v>1</v>
      </c>
      <c r="K18" s="315">
        <f t="shared" si="40"/>
        <v>1.7094</v>
      </c>
      <c r="L18" s="317" t="e">
        <f>IF(S18=0,0,IF(T18="لون خاص",VLOOKUP(D18,'قائمة الأسعار'!$D$48:$F$62,3,0),VLOOKUP(D18,'قائمة الأسعار'!$D$13:$F$27,3,0)))</f>
        <v>#N/A</v>
      </c>
      <c r="M18" s="318" t="e">
        <f t="shared" si="1"/>
        <v>#N/A</v>
      </c>
      <c r="N18" s="315">
        <f>IF(S18=0,0,(IF(OR(S18=$CI$17,S18=$CI$18,S18=$CI$22,S18=$CI$23),K18,K18-(VLOOKUP(D18,'قائمة الأسعار'!$D$13:$G$47,4,FALSE)*J18*F18)/10000)))</f>
        <v>1.65242</v>
      </c>
      <c r="O18" s="612">
        <f>IF(S18=0,0,IF(T18="لون خاص",VLOOKUP(D18,'قائمة الأسعار'!$D$48:$G$62,4,0),VLOOKUP(D18,'قائمة الأسعار'!$D$13:$G$47,4,0)))</f>
        <v>5.5</v>
      </c>
      <c r="Q18" s="91"/>
      <c r="R18" s="199">
        <v>5</v>
      </c>
      <c r="S18" s="200" t="s">
        <v>426</v>
      </c>
      <c r="T18" s="200"/>
      <c r="U18" s="200"/>
      <c r="V18" s="201">
        <v>100</v>
      </c>
      <c r="W18" s="201">
        <v>150</v>
      </c>
      <c r="X18" s="201" t="s">
        <v>24</v>
      </c>
      <c r="Y18" s="201"/>
      <c r="Z18" s="201" t="b">
        <v>1</v>
      </c>
      <c r="AA18" s="200">
        <v>1</v>
      </c>
      <c r="AB18" s="201"/>
      <c r="AC18" s="219"/>
      <c r="AD18" s="620"/>
      <c r="AE18" s="620"/>
      <c r="AF18" s="621"/>
      <c r="AG18" s="193"/>
      <c r="AH18" s="202" t="str">
        <f t="shared" si="139"/>
        <v>غير مقبول فنياً</v>
      </c>
      <c r="AI18" s="203" t="str">
        <f t="shared" si="2"/>
        <v/>
      </c>
      <c r="AJ18" s="63"/>
      <c r="AK18" s="53"/>
      <c r="AL18" s="37"/>
      <c r="AM18" s="488"/>
      <c r="AN18" s="489">
        <f t="shared" si="41"/>
        <v>165</v>
      </c>
      <c r="AO18" s="490" cm="1">
        <f t="array" ref="AO18">IF(V18&lt;&gt;0,IF($AW$12=$BB$4,IF(X18=$BF$14,V18-1,IF(X18=$BF$13,V18+8.5,V18-7.5)),IF(X18=$BF$14,V18-1,IF(X18=$BF$13,IF(OR(S18=$CI$15:$CI$19,S18=$CI$38,S18=$CI$40),V18+3.6,IF(S18=$CI$39,V18+2.9,V18+4)),IF(OR(S18=$CI$15:$CI$19,S18=$CI$38,S18=$CI$40),V18-12.4,IF(S18=$CI$39,V18-13.1,V18-12))))),0)</f>
        <v>103.6</v>
      </c>
      <c r="AP18" s="491">
        <f t="shared" si="42"/>
        <v>166.5</v>
      </c>
      <c r="AQ18" s="491">
        <f t="shared" si="43"/>
        <v>30</v>
      </c>
      <c r="AR18" s="492">
        <f t="shared" si="44"/>
        <v>1.7094</v>
      </c>
      <c r="AS18" s="493">
        <f t="shared" si="45"/>
        <v>20</v>
      </c>
      <c r="AT18" s="493">
        <f t="shared" si="46"/>
        <v>116</v>
      </c>
      <c r="AU18" s="493">
        <f t="shared" si="47"/>
        <v>116</v>
      </c>
      <c r="AV18" s="493">
        <f t="shared" si="48"/>
        <v>6</v>
      </c>
      <c r="AW18" s="494">
        <f t="shared" si="49"/>
        <v>5.8</v>
      </c>
      <c r="AX18" s="494">
        <f t="shared" si="50"/>
        <v>153</v>
      </c>
      <c r="AY18" s="494">
        <f t="shared" si="51"/>
        <v>153</v>
      </c>
      <c r="AZ18" s="495" t="str">
        <f t="shared" si="52"/>
        <v>نابضية ك</v>
      </c>
      <c r="BA18" s="495">
        <f t="shared" si="53"/>
        <v>3</v>
      </c>
      <c r="BB18" s="495">
        <f t="shared" si="54"/>
        <v>3</v>
      </c>
      <c r="BC18" s="496" cm="1">
        <f t="array" ref="BC18">IF(OR($AB18=$BF$22:$BF$40),$AB18,0)</f>
        <v>0</v>
      </c>
      <c r="BD18" s="496" cm="1">
        <f t="array" ref="BD18">IF(OR($AB18=$BF$22:$BF$40),IF(AC18=$CH$14,BK18,IF(AC18=$CH$13,BJ18,BI18)),0)</f>
        <v>0</v>
      </c>
      <c r="BE18" s="497" cm="1">
        <f t="array" ref="BE18">IF(OR(AB18=$BF$22:$BF$40),AA18,0)</f>
        <v>0</v>
      </c>
      <c r="BF18" s="498" t="s">
        <v>145</v>
      </c>
      <c r="BH18" s="499">
        <f t="shared" si="55"/>
        <v>4.61538</v>
      </c>
      <c r="BI18" s="498">
        <f t="shared" si="56"/>
        <v>0</v>
      </c>
      <c r="BJ18" s="498">
        <f t="shared" si="57"/>
        <v>0</v>
      </c>
      <c r="BK18" s="498">
        <f t="shared" si="58"/>
        <v>0</v>
      </c>
      <c r="BL18" s="500">
        <f t="shared" si="59"/>
        <v>0</v>
      </c>
      <c r="BM18" s="500">
        <f t="shared" si="3"/>
        <v>0</v>
      </c>
      <c r="BN18" s="500">
        <f t="shared" si="4"/>
        <v>0</v>
      </c>
      <c r="BO18" s="500">
        <f t="shared" si="5"/>
        <v>0</v>
      </c>
      <c r="BP18" s="500">
        <f t="shared" si="6"/>
        <v>0</v>
      </c>
      <c r="BQ18" s="500">
        <f t="shared" si="7"/>
        <v>0</v>
      </c>
      <c r="BR18" s="500">
        <f t="shared" si="8"/>
        <v>0</v>
      </c>
      <c r="BS18" s="500">
        <f t="shared" si="9"/>
        <v>0</v>
      </c>
      <c r="BT18" s="496">
        <f t="shared" si="10"/>
        <v>0</v>
      </c>
      <c r="BU18" s="496">
        <f t="shared" si="11"/>
        <v>0</v>
      </c>
      <c r="BV18" s="496">
        <f t="shared" si="12"/>
        <v>0</v>
      </c>
      <c r="BW18" s="496">
        <f t="shared" si="13"/>
        <v>0</v>
      </c>
      <c r="BX18" s="496">
        <f t="shared" si="14"/>
        <v>0</v>
      </c>
      <c r="BY18" s="496">
        <f t="shared" si="15"/>
        <v>0</v>
      </c>
      <c r="BZ18" s="496">
        <f t="shared" si="60"/>
        <v>0</v>
      </c>
      <c r="CA18" s="496">
        <f t="shared" si="16"/>
        <v>0</v>
      </c>
      <c r="CB18" s="496">
        <f t="shared" si="17"/>
        <v>0</v>
      </c>
      <c r="CC18" s="496">
        <f t="shared" si="18"/>
        <v>0</v>
      </c>
      <c r="CD18" s="496">
        <f t="shared" si="19"/>
        <v>0</v>
      </c>
      <c r="CE18" s="501">
        <f t="shared" si="61"/>
        <v>0</v>
      </c>
      <c r="CF18" s="501">
        <f t="shared" si="62"/>
        <v>0</v>
      </c>
      <c r="CG18" s="502">
        <f t="shared" si="63"/>
        <v>0</v>
      </c>
      <c r="CH18" s="485">
        <v>9010</v>
      </c>
      <c r="CI18" s="498" t="s">
        <v>236</v>
      </c>
      <c r="CJ18" s="498">
        <v>11</v>
      </c>
      <c r="CK18" s="598">
        <v>8.4</v>
      </c>
      <c r="CL18" s="777"/>
      <c r="CM18" s="503">
        <f t="shared" ref="CM18:CM38" si="142">IF($S18=CM$12,IF(W18&lt;=124,"15",IF(AND(W18&gt;124,W18&lt;=161),16.5,IF(AND(W18&gt;161,W18&lt;=207),18,IF(AND(W18&gt;207,W18&lt;=313),20,IF(AND(W18&gt;313,W18&lt;=400),25,30))))),CN18)</f>
        <v>20</v>
      </c>
      <c r="CN18" s="504">
        <f t="shared" si="65"/>
        <v>20</v>
      </c>
      <c r="CO18" s="504">
        <f t="shared" si="66"/>
        <v>20</v>
      </c>
      <c r="CP18" s="504">
        <f t="shared" si="67"/>
        <v>20</v>
      </c>
      <c r="CQ18" s="504">
        <f t="shared" si="68"/>
        <v>20</v>
      </c>
      <c r="CR18" s="504">
        <f t="shared" si="69"/>
        <v>20</v>
      </c>
      <c r="CS18" s="504">
        <f t="shared" si="70"/>
        <v>20</v>
      </c>
      <c r="CT18" s="504">
        <f t="shared" si="71"/>
        <v>20</v>
      </c>
      <c r="CU18" s="504">
        <f t="shared" si="72"/>
        <v>20</v>
      </c>
      <c r="CV18" s="504">
        <f t="shared" si="73"/>
        <v>20</v>
      </c>
      <c r="CW18" s="504">
        <f t="shared" si="74"/>
        <v>20</v>
      </c>
      <c r="CX18" s="504">
        <f t="shared" si="75"/>
        <v>20</v>
      </c>
      <c r="CY18" s="504">
        <f t="shared" si="76"/>
        <v>20</v>
      </c>
      <c r="CZ18" s="504">
        <f t="shared" si="77"/>
        <v>20</v>
      </c>
      <c r="DA18" s="505">
        <f t="shared" si="78"/>
        <v>20</v>
      </c>
      <c r="DB18" s="571">
        <f t="shared" si="79"/>
        <v>20</v>
      </c>
      <c r="DC18" s="571">
        <f t="shared" si="80"/>
        <v>20</v>
      </c>
      <c r="DD18" s="571">
        <f t="shared" si="81"/>
        <v>20</v>
      </c>
      <c r="DE18" s="571">
        <f t="shared" si="82"/>
        <v>20</v>
      </c>
      <c r="DF18" s="571">
        <f t="shared" si="83"/>
        <v>20</v>
      </c>
      <c r="DG18" s="571">
        <f t="shared" si="84"/>
        <v>20</v>
      </c>
      <c r="DH18" s="571">
        <f t="shared" si="85"/>
        <v>20</v>
      </c>
      <c r="DI18" s="571">
        <f t="shared" si="86"/>
        <v>20</v>
      </c>
      <c r="DJ18" s="571">
        <f t="shared" si="87"/>
        <v>20</v>
      </c>
      <c r="DK18" s="571">
        <f t="shared" si="88"/>
        <v>0</v>
      </c>
      <c r="DL18" s="571">
        <f t="shared" si="89"/>
        <v>0</v>
      </c>
      <c r="DM18" s="571">
        <f t="shared" si="90"/>
        <v>0</v>
      </c>
      <c r="DN18" s="571">
        <f t="shared" si="91"/>
        <v>0</v>
      </c>
      <c r="DO18" s="571">
        <f t="shared" si="92"/>
        <v>0</v>
      </c>
      <c r="DP18" s="571">
        <f t="shared" si="93"/>
        <v>0</v>
      </c>
      <c r="DQ18" s="571">
        <f t="shared" si="20"/>
        <v>0</v>
      </c>
      <c r="DR18" s="571">
        <f t="shared" si="94"/>
        <v>0</v>
      </c>
      <c r="DS18" s="571">
        <f t="shared" si="95"/>
        <v>0</v>
      </c>
      <c r="DT18" s="571"/>
      <c r="DU18" s="571"/>
      <c r="DV18" s="777"/>
      <c r="DW18" s="503">
        <f t="shared" si="135"/>
        <v>6</v>
      </c>
      <c r="DX18" s="503">
        <f t="shared" si="136"/>
        <v>6</v>
      </c>
      <c r="DY18" s="503" cm="1">
        <f t="array" ref="DY18">IF($S18=DY$12,IF(AND(AO18&lt;=250,BH18&lt;=60),6,IF(OR(AO18&lt;=350,BH18&lt;=80),7,IF(OR(AND(AO18&gt;350,AO&lt;=120),BH18&lt;=120),9,12))),DZ18)</f>
        <v>6</v>
      </c>
      <c r="DZ18" s="504">
        <f t="shared" si="96"/>
        <v>6</v>
      </c>
      <c r="EA18" s="504">
        <f t="shared" si="97"/>
        <v>6</v>
      </c>
      <c r="EB18" s="504">
        <f t="shared" si="98"/>
        <v>6</v>
      </c>
      <c r="EC18" s="504">
        <f t="shared" si="99"/>
        <v>6</v>
      </c>
      <c r="ED18" s="504">
        <f t="shared" si="100"/>
        <v>6</v>
      </c>
      <c r="EE18" s="504">
        <f t="shared" si="101"/>
        <v>6</v>
      </c>
      <c r="EF18" s="504">
        <f t="shared" si="102"/>
        <v>6</v>
      </c>
      <c r="EG18" s="504">
        <f t="shared" si="103"/>
        <v>6</v>
      </c>
      <c r="EH18" s="504">
        <f t="shared" si="104"/>
        <v>6</v>
      </c>
      <c r="EI18" s="504">
        <f t="shared" si="105"/>
        <v>6</v>
      </c>
      <c r="EJ18" s="504">
        <f t="shared" si="106"/>
        <v>6</v>
      </c>
      <c r="EK18" s="505">
        <f t="shared" si="107"/>
        <v>6</v>
      </c>
      <c r="EL18" s="571">
        <f t="shared" ref="EL18:ET18" si="143">IF($S18=EL$12,IF(AND($AO18&lt;=320,$BH18&lt;=50),6,7),EM18)</f>
        <v>6</v>
      </c>
      <c r="EM18" s="571">
        <f t="shared" si="143"/>
        <v>6</v>
      </c>
      <c r="EN18" s="571">
        <f t="shared" si="143"/>
        <v>6</v>
      </c>
      <c r="EO18" s="571">
        <f t="shared" si="143"/>
        <v>6</v>
      </c>
      <c r="EP18" s="571">
        <f t="shared" si="143"/>
        <v>6</v>
      </c>
      <c r="EQ18" s="571">
        <f t="shared" si="143"/>
        <v>6</v>
      </c>
      <c r="ER18" s="571">
        <f t="shared" si="143"/>
        <v>6</v>
      </c>
      <c r="ES18" s="571">
        <f t="shared" si="143"/>
        <v>6</v>
      </c>
      <c r="ET18" s="571">
        <f t="shared" si="143"/>
        <v>6</v>
      </c>
      <c r="EU18" s="571">
        <f t="shared" si="109"/>
        <v>0</v>
      </c>
      <c r="EV18" s="571">
        <f t="shared" ref="EV18:FA18" si="144">IF($S18=EV$12,IF(AND($AO18&lt;=320,$BH18&lt;=50),6,7),EW18)</f>
        <v>0</v>
      </c>
      <c r="EW18" s="571">
        <f t="shared" si="144"/>
        <v>0</v>
      </c>
      <c r="EX18" s="571">
        <f t="shared" si="144"/>
        <v>0</v>
      </c>
      <c r="EY18" s="571">
        <f t="shared" si="144"/>
        <v>0</v>
      </c>
      <c r="EZ18" s="571">
        <f t="shared" si="144"/>
        <v>0</v>
      </c>
      <c r="FA18" s="571">
        <f t="shared" si="144"/>
        <v>0</v>
      </c>
      <c r="FB18" s="571">
        <f t="shared" si="23"/>
        <v>0</v>
      </c>
      <c r="FC18" s="571">
        <f t="shared" si="111"/>
        <v>0</v>
      </c>
      <c r="FD18" s="571"/>
      <c r="FE18" s="571"/>
      <c r="FF18" s="571"/>
      <c r="FG18" s="571"/>
      <c r="FH18" s="443"/>
      <c r="FI18" s="505">
        <f t="shared" si="112"/>
        <v>8</v>
      </c>
      <c r="FJ18" s="505">
        <f t="shared" si="113"/>
        <v>6</v>
      </c>
      <c r="FK18" s="505">
        <f t="shared" si="114"/>
        <v>6</v>
      </c>
      <c r="FL18" s="505">
        <f t="shared" si="115"/>
        <v>6</v>
      </c>
      <c r="FM18" s="505">
        <f t="shared" si="116"/>
        <v>6</v>
      </c>
      <c r="FN18" s="505">
        <f t="shared" si="117"/>
        <v>10</v>
      </c>
      <c r="FO18" s="505">
        <f t="shared" si="118"/>
        <v>10</v>
      </c>
      <c r="FP18" s="571"/>
      <c r="FQ18" s="571"/>
      <c r="FR18" s="571"/>
      <c r="FS18" s="571"/>
      <c r="FT18" s="571"/>
      <c r="FU18" s="571"/>
      <c r="FV18" s="571"/>
      <c r="FW18" s="571"/>
      <c r="FX18" s="571"/>
      <c r="FY18" s="571"/>
      <c r="FZ18" s="571"/>
      <c r="GA18" s="571"/>
      <c r="GB18" s="571"/>
      <c r="GC18" s="571"/>
      <c r="GD18" s="443"/>
      <c r="GE18" s="505">
        <f t="shared" si="119"/>
        <v>6</v>
      </c>
      <c r="GF18" s="505">
        <f t="shared" si="120"/>
        <v>6</v>
      </c>
      <c r="GG18" s="505">
        <f t="shared" si="121"/>
        <v>6</v>
      </c>
      <c r="GH18" s="505">
        <f t="shared" si="122"/>
        <v>6</v>
      </c>
      <c r="GI18" s="505">
        <f t="shared" si="123"/>
        <v>6</v>
      </c>
      <c r="GJ18" s="505">
        <f t="shared" si="124"/>
        <v>8</v>
      </c>
      <c r="GK18" s="505">
        <f t="shared" si="125"/>
        <v>10</v>
      </c>
      <c r="GL18" s="571"/>
      <c r="GM18" s="571"/>
      <c r="GN18" s="571"/>
      <c r="GO18" s="571"/>
      <c r="GP18" s="571"/>
      <c r="GQ18" s="571"/>
      <c r="GR18" s="571"/>
      <c r="GS18" s="571"/>
      <c r="GT18" s="571"/>
      <c r="GU18" s="571"/>
      <c r="GV18" s="571"/>
      <c r="GW18" s="571"/>
      <c r="GX18" s="506"/>
      <c r="GY18" s="507">
        <f t="shared" si="126"/>
        <v>10</v>
      </c>
      <c r="GZ18" s="505">
        <f t="shared" si="127"/>
        <v>10</v>
      </c>
      <c r="HA18" s="505">
        <f t="shared" si="128"/>
        <v>10</v>
      </c>
      <c r="HB18" s="505">
        <f t="shared" si="129"/>
        <v>6</v>
      </c>
      <c r="HC18" s="505">
        <f t="shared" si="130"/>
        <v>6</v>
      </c>
      <c r="HD18" s="505">
        <f t="shared" si="131"/>
        <v>10</v>
      </c>
      <c r="HE18" s="505">
        <f t="shared" si="132"/>
        <v>10</v>
      </c>
      <c r="HF18" s="571"/>
      <c r="HG18" s="571"/>
      <c r="HH18" s="571"/>
      <c r="HI18" s="571"/>
      <c r="HJ18" s="571"/>
      <c r="HK18" s="571"/>
      <c r="HL18" s="571"/>
      <c r="HM18" s="571"/>
      <c r="HN18" s="571"/>
      <c r="HO18" s="571"/>
      <c r="HP18" s="571"/>
      <c r="HQ18" s="571"/>
      <c r="HR18" s="571"/>
      <c r="HS18" s="777"/>
      <c r="HT18" s="508">
        <f t="shared" si="24"/>
        <v>0</v>
      </c>
      <c r="HU18" s="509">
        <f t="shared" si="25"/>
        <v>0</v>
      </c>
      <c r="HV18" s="510">
        <f t="shared" si="26"/>
        <v>1</v>
      </c>
      <c r="HW18" s="543"/>
      <c r="HX18" s="548" t="s">
        <v>237</v>
      </c>
      <c r="HY18" s="548">
        <v>500</v>
      </c>
      <c r="HZ18" s="548">
        <v>400</v>
      </c>
      <c r="IA18" s="546" t="str">
        <f t="shared" si="133"/>
        <v>غ</v>
      </c>
      <c r="IB18" s="547" t="str">
        <f t="shared" si="134"/>
        <v>غ</v>
      </c>
      <c r="IC18" s="554">
        <f t="shared" si="27"/>
        <v>1.5</v>
      </c>
      <c r="ID18" s="545" t="str">
        <f t="shared" si="28"/>
        <v/>
      </c>
      <c r="IE18" s="222">
        <f t="shared" si="29"/>
        <v>0</v>
      </c>
      <c r="IF18" s="230">
        <f t="shared" si="30"/>
        <v>0</v>
      </c>
      <c r="IG18" s="228">
        <f t="shared" si="31"/>
        <v>0</v>
      </c>
      <c r="IH18" s="423">
        <f t="shared" si="32"/>
        <v>0</v>
      </c>
      <c r="II18" s="425">
        <f t="shared" si="33"/>
        <v>0</v>
      </c>
    </row>
    <row r="19" spans="2:244" s="40" customFormat="1" ht="28.5" customHeight="1" x14ac:dyDescent="0.35">
      <c r="B19" s="258"/>
      <c r="C19" s="310">
        <f t="shared" si="34"/>
        <v>6</v>
      </c>
      <c r="D19" s="311" t="str">
        <f>IF(S19=0,0,VLOOKUP(S19,'قائمة الأسعار'!$C$13:$H$45,2,0))</f>
        <v>شريحة مدار 4سم زنكاليوم</v>
      </c>
      <c r="E19" s="312">
        <f t="shared" si="35"/>
        <v>0</v>
      </c>
      <c r="F19" s="313">
        <f t="shared" si="36"/>
        <v>103.6</v>
      </c>
      <c r="G19" s="313">
        <f t="shared" si="37"/>
        <v>168</v>
      </c>
      <c r="H19" s="314">
        <f t="shared" si="38"/>
        <v>42</v>
      </c>
      <c r="I19" s="315">
        <f t="shared" si="39"/>
        <v>1.74048</v>
      </c>
      <c r="J19" s="316">
        <f t="shared" si="0"/>
        <v>1</v>
      </c>
      <c r="K19" s="315">
        <f t="shared" si="40"/>
        <v>1.74048</v>
      </c>
      <c r="L19" s="317" t="e">
        <f>IF(S19=0,0,IF(T19="لون خاص",VLOOKUP(D19,'قائمة الأسعار'!$D$48:$F$62,3,0),VLOOKUP(D19,'قائمة الأسعار'!$D$13:$F$27,3,0)))</f>
        <v>#N/A</v>
      </c>
      <c r="M19" s="318" t="e">
        <f t="shared" si="1"/>
        <v>#N/A</v>
      </c>
      <c r="N19" s="315">
        <f>IF(S19=0,0,(IF(OR(S19=$CI$17,S19=$CI$18,S19=$CI$22,S19=$CI$23),K19,K19-(VLOOKUP(D19,'قائمة الأسعار'!$D$13:$G$47,4,FALSE)*J19*F19)/10000)))</f>
        <v>1.6990400000000001</v>
      </c>
      <c r="O19" s="612">
        <f>IF(S19=0,0,IF(T19="لون خاص",VLOOKUP(D19,'قائمة الأسعار'!$D$48:$G$62,4,0),VLOOKUP(D19,'قائمة الأسعار'!$D$13:$G$47,4,0)))</f>
        <v>4</v>
      </c>
      <c r="Q19" s="91"/>
      <c r="R19" s="199">
        <v>6</v>
      </c>
      <c r="S19" s="200" t="s">
        <v>428</v>
      </c>
      <c r="T19" s="200"/>
      <c r="U19" s="200"/>
      <c r="V19" s="201">
        <v>100</v>
      </c>
      <c r="W19" s="201">
        <v>150</v>
      </c>
      <c r="X19" s="201" t="s">
        <v>24</v>
      </c>
      <c r="Y19" s="201"/>
      <c r="Z19" s="201" t="b">
        <v>1</v>
      </c>
      <c r="AA19" s="200">
        <v>1</v>
      </c>
      <c r="AB19" s="201"/>
      <c r="AC19" s="219"/>
      <c r="AD19" s="620"/>
      <c r="AE19" s="620"/>
      <c r="AF19" s="621"/>
      <c r="AG19" s="193"/>
      <c r="AH19" s="202" t="str">
        <f t="shared" si="139"/>
        <v>غير مقبول فنياً</v>
      </c>
      <c r="AI19" s="203" t="str">
        <f t="shared" si="2"/>
        <v/>
      </c>
      <c r="AJ19" s="63"/>
      <c r="AK19" s="53"/>
      <c r="AL19" s="37"/>
      <c r="AM19" s="488"/>
      <c r="AN19" s="489">
        <f t="shared" si="41"/>
        <v>168</v>
      </c>
      <c r="AO19" s="490" cm="1">
        <f t="array" ref="AO19">IF(V19&lt;&gt;0,IF($AW$12=$BB$4,IF(X19=$BF$14,V19-1,IF(X19=$BF$13,V19+8.5,V19-7.5)),IF(X19=$BF$14,V19-1,IF(X19=$BF$13,IF(OR(S19=$CI$15:$CI$19,S19=$CI$38,S19=$CI$40),V19+3.6,IF(S19=$CI$39,V19+2.9,V19+4)),IF(OR(S19=$CI$15:$CI$19,S19=$CI$38,S19=$CI$40),V19-12.4,IF(S19=$CI$39,V19-13.1,V19-12))))),0)</f>
        <v>103.6</v>
      </c>
      <c r="AP19" s="491">
        <f t="shared" si="42"/>
        <v>166.90000000000003</v>
      </c>
      <c r="AQ19" s="491">
        <f t="shared" si="43"/>
        <v>42</v>
      </c>
      <c r="AR19" s="492">
        <f t="shared" si="44"/>
        <v>1.74048</v>
      </c>
      <c r="AS19" s="493">
        <f t="shared" si="45"/>
        <v>18</v>
      </c>
      <c r="AT19" s="493">
        <f t="shared" si="46"/>
        <v>116</v>
      </c>
      <c r="AU19" s="493">
        <f t="shared" si="47"/>
        <v>116</v>
      </c>
      <c r="AV19" s="493">
        <f t="shared" si="48"/>
        <v>6</v>
      </c>
      <c r="AW19" s="494">
        <f t="shared" si="49"/>
        <v>4.5</v>
      </c>
      <c r="AX19" s="494">
        <f t="shared" si="50"/>
        <v>153</v>
      </c>
      <c r="AY19" s="494">
        <f t="shared" si="51"/>
        <v>153</v>
      </c>
      <c r="AZ19" s="495" t="str">
        <f t="shared" si="52"/>
        <v>نابضية ص</v>
      </c>
      <c r="BA19" s="495">
        <f t="shared" si="53"/>
        <v>3</v>
      </c>
      <c r="BB19" s="495">
        <f t="shared" si="54"/>
        <v>3</v>
      </c>
      <c r="BC19" s="496" cm="1">
        <f t="array" ref="BC19">IF(OR($AB19=$BF$22:$BF$40),$AB19,0)</f>
        <v>0</v>
      </c>
      <c r="BD19" s="496" cm="1">
        <f t="array" ref="BD19">IF(OR($AB19=$BF$22:$BF$40),IF(AC19=$CH$14,BK19,IF(AC19=$CH$13,BJ19,BI19)),0)</f>
        <v>0</v>
      </c>
      <c r="BE19" s="497" cm="1">
        <f t="array" ref="BE19">IF(OR(AB19=$BF$22:$BF$40),AA19,0)</f>
        <v>0</v>
      </c>
      <c r="BF19" s="498" t="s">
        <v>546</v>
      </c>
      <c r="BH19" s="499">
        <f t="shared" si="55"/>
        <v>15.838367999999999</v>
      </c>
      <c r="BI19" s="498">
        <f t="shared" si="56"/>
        <v>0</v>
      </c>
      <c r="BJ19" s="498">
        <f t="shared" si="57"/>
        <v>0</v>
      </c>
      <c r="BK19" s="498">
        <f t="shared" si="58"/>
        <v>0</v>
      </c>
      <c r="BL19" s="500">
        <f t="shared" si="59"/>
        <v>0</v>
      </c>
      <c r="BM19" s="500">
        <f t="shared" si="3"/>
        <v>0</v>
      </c>
      <c r="BN19" s="500">
        <f t="shared" si="4"/>
        <v>0</v>
      </c>
      <c r="BO19" s="500">
        <f t="shared" si="5"/>
        <v>0</v>
      </c>
      <c r="BP19" s="500">
        <f t="shared" si="6"/>
        <v>0</v>
      </c>
      <c r="BQ19" s="500">
        <f t="shared" si="7"/>
        <v>0</v>
      </c>
      <c r="BR19" s="500">
        <f t="shared" si="8"/>
        <v>0</v>
      </c>
      <c r="BS19" s="500">
        <f t="shared" si="9"/>
        <v>0</v>
      </c>
      <c r="BT19" s="496">
        <f t="shared" si="10"/>
        <v>0</v>
      </c>
      <c r="BU19" s="496">
        <f t="shared" si="11"/>
        <v>0</v>
      </c>
      <c r="BV19" s="496">
        <f t="shared" si="12"/>
        <v>0</v>
      </c>
      <c r="BW19" s="496">
        <f t="shared" si="13"/>
        <v>0</v>
      </c>
      <c r="BX19" s="496">
        <f t="shared" si="14"/>
        <v>0</v>
      </c>
      <c r="BY19" s="496">
        <f t="shared" si="15"/>
        <v>0</v>
      </c>
      <c r="BZ19" s="496">
        <f t="shared" si="60"/>
        <v>0</v>
      </c>
      <c r="CA19" s="496">
        <f t="shared" si="16"/>
        <v>0</v>
      </c>
      <c r="CB19" s="496">
        <f t="shared" si="17"/>
        <v>0</v>
      </c>
      <c r="CC19" s="496">
        <f t="shared" si="18"/>
        <v>0</v>
      </c>
      <c r="CD19" s="496">
        <f t="shared" si="19"/>
        <v>0</v>
      </c>
      <c r="CE19" s="501">
        <f t="shared" si="61"/>
        <v>0</v>
      </c>
      <c r="CF19" s="501">
        <f t="shared" si="62"/>
        <v>0</v>
      </c>
      <c r="CG19" s="502">
        <f t="shared" si="63"/>
        <v>0</v>
      </c>
      <c r="CH19" s="485" t="s">
        <v>411</v>
      </c>
      <c r="CI19" s="498" t="s">
        <v>237</v>
      </c>
      <c r="CJ19" s="498">
        <v>20</v>
      </c>
      <c r="CK19" s="598">
        <v>9.4</v>
      </c>
      <c r="CL19" s="777"/>
      <c r="CM19" s="503">
        <f t="shared" si="142"/>
        <v>18</v>
      </c>
      <c r="CN19" s="504">
        <f t="shared" si="65"/>
        <v>18</v>
      </c>
      <c r="CO19" s="504">
        <f t="shared" si="66"/>
        <v>18</v>
      </c>
      <c r="CP19" s="504">
        <f t="shared" si="67"/>
        <v>18</v>
      </c>
      <c r="CQ19" s="504">
        <f t="shared" si="68"/>
        <v>18</v>
      </c>
      <c r="CR19" s="504">
        <f t="shared" si="69"/>
        <v>18</v>
      </c>
      <c r="CS19" s="504">
        <f t="shared" si="70"/>
        <v>18</v>
      </c>
      <c r="CT19" s="504">
        <f t="shared" si="71"/>
        <v>18</v>
      </c>
      <c r="CU19" s="504">
        <f t="shared" si="72"/>
        <v>18</v>
      </c>
      <c r="CV19" s="504">
        <f t="shared" si="73"/>
        <v>18</v>
      </c>
      <c r="CW19" s="504">
        <f t="shared" si="74"/>
        <v>18</v>
      </c>
      <c r="CX19" s="504">
        <f t="shared" si="75"/>
        <v>18</v>
      </c>
      <c r="CY19" s="504">
        <f t="shared" si="76"/>
        <v>18</v>
      </c>
      <c r="CZ19" s="504">
        <f t="shared" si="77"/>
        <v>18</v>
      </c>
      <c r="DA19" s="505">
        <f t="shared" si="78"/>
        <v>18</v>
      </c>
      <c r="DB19" s="571">
        <f t="shared" si="79"/>
        <v>18</v>
      </c>
      <c r="DC19" s="571">
        <f t="shared" si="80"/>
        <v>18</v>
      </c>
      <c r="DD19" s="571">
        <f t="shared" si="81"/>
        <v>18</v>
      </c>
      <c r="DE19" s="571">
        <f t="shared" si="82"/>
        <v>18</v>
      </c>
      <c r="DF19" s="571">
        <f t="shared" si="83"/>
        <v>18</v>
      </c>
      <c r="DG19" s="571">
        <f t="shared" si="84"/>
        <v>18</v>
      </c>
      <c r="DH19" s="571">
        <f t="shared" si="85"/>
        <v>18</v>
      </c>
      <c r="DI19" s="571">
        <f t="shared" si="86"/>
        <v>18</v>
      </c>
      <c r="DJ19" s="571">
        <f t="shared" si="87"/>
        <v>18</v>
      </c>
      <c r="DK19" s="571">
        <f t="shared" si="88"/>
        <v>18</v>
      </c>
      <c r="DL19" s="571">
        <f t="shared" si="89"/>
        <v>18</v>
      </c>
      <c r="DM19" s="571">
        <f t="shared" si="90"/>
        <v>0</v>
      </c>
      <c r="DN19" s="571">
        <f t="shared" si="91"/>
        <v>0</v>
      </c>
      <c r="DO19" s="571">
        <f t="shared" si="92"/>
        <v>0</v>
      </c>
      <c r="DP19" s="571">
        <f t="shared" si="93"/>
        <v>0</v>
      </c>
      <c r="DQ19" s="571">
        <f t="shared" si="20"/>
        <v>0</v>
      </c>
      <c r="DR19" s="571">
        <f t="shared" si="94"/>
        <v>0</v>
      </c>
      <c r="DS19" s="571">
        <f t="shared" si="95"/>
        <v>0</v>
      </c>
      <c r="DT19" s="571"/>
      <c r="DU19" s="571"/>
      <c r="DV19" s="777"/>
      <c r="DW19" s="503">
        <f t="shared" si="135"/>
        <v>6</v>
      </c>
      <c r="DX19" s="503">
        <f t="shared" si="136"/>
        <v>6</v>
      </c>
      <c r="DY19" s="503" cm="1">
        <f t="array" ref="DY19">IF($S19=DY$12,IF(AND(AO19&lt;=250,BH19&lt;=60),6,IF(OR(AO19&lt;=350,BH19&lt;=80),7,IF(OR(AND(AO19&gt;350,AO&lt;=120),BH19&lt;=120),9,12))),DZ19)</f>
        <v>6</v>
      </c>
      <c r="DZ19" s="504">
        <f t="shared" si="96"/>
        <v>6</v>
      </c>
      <c r="EA19" s="504">
        <f t="shared" si="97"/>
        <v>6</v>
      </c>
      <c r="EB19" s="504">
        <f t="shared" si="98"/>
        <v>6</v>
      </c>
      <c r="EC19" s="504">
        <f t="shared" si="99"/>
        <v>6</v>
      </c>
      <c r="ED19" s="504">
        <f t="shared" si="100"/>
        <v>6</v>
      </c>
      <c r="EE19" s="504">
        <f t="shared" si="101"/>
        <v>6</v>
      </c>
      <c r="EF19" s="504">
        <f t="shared" si="102"/>
        <v>6</v>
      </c>
      <c r="EG19" s="504">
        <f t="shared" si="103"/>
        <v>6</v>
      </c>
      <c r="EH19" s="504">
        <f t="shared" si="104"/>
        <v>6</v>
      </c>
      <c r="EI19" s="504">
        <f t="shared" si="105"/>
        <v>6</v>
      </c>
      <c r="EJ19" s="504">
        <f t="shared" si="106"/>
        <v>6</v>
      </c>
      <c r="EK19" s="505">
        <f t="shared" si="107"/>
        <v>6</v>
      </c>
      <c r="EL19" s="571">
        <f t="shared" ref="EL19:ET19" si="145">IF($S19=EL$12,IF(AND($AO19&lt;=320,$BH19&lt;=50),6,7),EM19)</f>
        <v>6</v>
      </c>
      <c r="EM19" s="571">
        <f t="shared" si="145"/>
        <v>6</v>
      </c>
      <c r="EN19" s="571">
        <f t="shared" si="145"/>
        <v>6</v>
      </c>
      <c r="EO19" s="571">
        <f t="shared" si="145"/>
        <v>6</v>
      </c>
      <c r="EP19" s="571">
        <f t="shared" si="145"/>
        <v>6</v>
      </c>
      <c r="EQ19" s="571">
        <f t="shared" si="145"/>
        <v>6</v>
      </c>
      <c r="ER19" s="571">
        <f t="shared" si="145"/>
        <v>6</v>
      </c>
      <c r="ES19" s="571">
        <f t="shared" si="145"/>
        <v>6</v>
      </c>
      <c r="ET19" s="571">
        <f t="shared" si="145"/>
        <v>6</v>
      </c>
      <c r="EU19" s="571">
        <f t="shared" si="109"/>
        <v>6</v>
      </c>
      <c r="EV19" s="571">
        <f t="shared" ref="EV19:FA19" si="146">IF($S19=EV$12,IF(AND($AO19&lt;=320,$BH19&lt;=50),6,7),EW19)</f>
        <v>6</v>
      </c>
      <c r="EW19" s="571">
        <f t="shared" si="146"/>
        <v>0</v>
      </c>
      <c r="EX19" s="571">
        <f t="shared" si="146"/>
        <v>0</v>
      </c>
      <c r="EY19" s="571">
        <f t="shared" si="146"/>
        <v>0</v>
      </c>
      <c r="EZ19" s="571">
        <f t="shared" si="146"/>
        <v>0</v>
      </c>
      <c r="FA19" s="571">
        <f t="shared" si="146"/>
        <v>0</v>
      </c>
      <c r="FB19" s="571">
        <f t="shared" si="23"/>
        <v>0</v>
      </c>
      <c r="FC19" s="571">
        <f t="shared" si="111"/>
        <v>0</v>
      </c>
      <c r="FD19" s="571"/>
      <c r="FE19" s="571"/>
      <c r="FF19" s="571"/>
      <c r="FG19" s="571"/>
      <c r="FH19" s="443"/>
      <c r="FI19" s="505">
        <f t="shared" si="112"/>
        <v>20</v>
      </c>
      <c r="FJ19" s="505">
        <f t="shared" si="113"/>
        <v>20</v>
      </c>
      <c r="FK19" s="505">
        <f t="shared" si="114"/>
        <v>20</v>
      </c>
      <c r="FL19" s="505">
        <f t="shared" si="115"/>
        <v>20</v>
      </c>
      <c r="FM19" s="505">
        <f t="shared" si="116"/>
        <v>20</v>
      </c>
      <c r="FN19" s="505">
        <f t="shared" si="117"/>
        <v>20</v>
      </c>
      <c r="FO19" s="505" t="str">
        <f t="shared" si="118"/>
        <v>error</v>
      </c>
      <c r="FP19" s="571"/>
      <c r="FQ19" s="571"/>
      <c r="FR19" s="571"/>
      <c r="FS19" s="571"/>
      <c r="FT19" s="571"/>
      <c r="FU19" s="571"/>
      <c r="FV19" s="571"/>
      <c r="FW19" s="571"/>
      <c r="FX19" s="571"/>
      <c r="FY19" s="571"/>
      <c r="FZ19" s="571"/>
      <c r="GA19" s="571"/>
      <c r="GB19" s="571"/>
      <c r="GC19" s="571"/>
      <c r="GD19" s="443"/>
      <c r="GE19" s="505">
        <f t="shared" si="119"/>
        <v>20</v>
      </c>
      <c r="GF19" s="505">
        <f t="shared" si="120"/>
        <v>20</v>
      </c>
      <c r="GG19" s="505">
        <f t="shared" si="121"/>
        <v>20</v>
      </c>
      <c r="GH19" s="505">
        <f t="shared" si="122"/>
        <v>20</v>
      </c>
      <c r="GI19" s="505">
        <f t="shared" si="123"/>
        <v>20</v>
      </c>
      <c r="GJ19" s="505">
        <f t="shared" si="124"/>
        <v>20</v>
      </c>
      <c r="GK19" s="505">
        <f t="shared" si="125"/>
        <v>20</v>
      </c>
      <c r="GL19" s="571"/>
      <c r="GM19" s="571"/>
      <c r="GN19" s="571"/>
      <c r="GO19" s="571"/>
      <c r="GP19" s="571"/>
      <c r="GQ19" s="571"/>
      <c r="GR19" s="571"/>
      <c r="GS19" s="571"/>
      <c r="GT19" s="571"/>
      <c r="GU19" s="571"/>
      <c r="GV19" s="571"/>
      <c r="GW19" s="571"/>
      <c r="GX19" s="506"/>
      <c r="GY19" s="507">
        <f t="shared" si="126"/>
        <v>20</v>
      </c>
      <c r="GZ19" s="505">
        <f t="shared" si="127"/>
        <v>20</v>
      </c>
      <c r="HA19" s="505">
        <f t="shared" si="128"/>
        <v>20</v>
      </c>
      <c r="HB19" s="505">
        <f t="shared" si="129"/>
        <v>20</v>
      </c>
      <c r="HC19" s="505">
        <f t="shared" si="130"/>
        <v>20</v>
      </c>
      <c r="HD19" s="505">
        <f t="shared" si="131"/>
        <v>25</v>
      </c>
      <c r="HE19" s="505">
        <f t="shared" si="132"/>
        <v>20</v>
      </c>
      <c r="HF19" s="571"/>
      <c r="HG19" s="571"/>
      <c r="HH19" s="571"/>
      <c r="HI19" s="571"/>
      <c r="HJ19" s="571"/>
      <c r="HK19" s="571"/>
      <c r="HL19" s="571"/>
      <c r="HM19" s="571"/>
      <c r="HN19" s="571"/>
      <c r="HO19" s="571"/>
      <c r="HP19" s="571"/>
      <c r="HQ19" s="571"/>
      <c r="HR19" s="571"/>
      <c r="HS19" s="777"/>
      <c r="HT19" s="508">
        <f t="shared" si="24"/>
        <v>0</v>
      </c>
      <c r="HU19" s="509">
        <f t="shared" si="25"/>
        <v>0</v>
      </c>
      <c r="HV19" s="510">
        <f t="shared" si="26"/>
        <v>1</v>
      </c>
      <c r="HW19" s="543"/>
      <c r="HX19" s="548" t="s">
        <v>238</v>
      </c>
      <c r="HY19" s="548">
        <v>400</v>
      </c>
      <c r="HZ19" s="548">
        <v>350</v>
      </c>
      <c r="IA19" s="546" t="str">
        <f t="shared" si="133"/>
        <v>غ</v>
      </c>
      <c r="IB19" s="547" t="str">
        <f t="shared" si="134"/>
        <v>غ</v>
      </c>
      <c r="IC19" s="554">
        <f t="shared" si="27"/>
        <v>1.5</v>
      </c>
      <c r="ID19" s="545" t="str">
        <f t="shared" si="28"/>
        <v/>
      </c>
      <c r="IE19" s="222">
        <f t="shared" si="29"/>
        <v>0</v>
      </c>
      <c r="IF19" s="230">
        <f t="shared" si="30"/>
        <v>0</v>
      </c>
      <c r="IG19" s="228">
        <f t="shared" si="31"/>
        <v>0</v>
      </c>
      <c r="IH19" s="423">
        <f t="shared" si="32"/>
        <v>0</v>
      </c>
      <c r="II19" s="425">
        <f t="shared" si="33"/>
        <v>0</v>
      </c>
    </row>
    <row r="20" spans="2:244" s="40" customFormat="1" ht="24.75" customHeight="1" x14ac:dyDescent="0.35">
      <c r="B20" s="258"/>
      <c r="C20" s="310">
        <f t="shared" si="34"/>
        <v>7</v>
      </c>
      <c r="D20" s="311" t="str">
        <f>IF(S20=0,0,VLOOKUP(S20,'قائمة الأسعار'!$C$13:$H$45,2,0))</f>
        <v>شريحة مدار 5.8 هارفوم</v>
      </c>
      <c r="E20" s="312">
        <f t="shared" si="35"/>
        <v>0</v>
      </c>
      <c r="F20" s="313">
        <f t="shared" si="36"/>
        <v>102.9</v>
      </c>
      <c r="G20" s="313">
        <f t="shared" si="37"/>
        <v>168.20000000000002</v>
      </c>
      <c r="H20" s="314">
        <f t="shared" si="38"/>
        <v>29</v>
      </c>
      <c r="I20" s="315">
        <f t="shared" si="39"/>
        <v>1.7307780000000001</v>
      </c>
      <c r="J20" s="316">
        <f t="shared" si="0"/>
        <v>1</v>
      </c>
      <c r="K20" s="315">
        <f t="shared" si="40"/>
        <v>1.7307780000000001</v>
      </c>
      <c r="L20" s="317" t="e">
        <f>IF(S20=0,0,IF(T20="لون خاص",VLOOKUP(D20,'قائمة الأسعار'!$D$48:$F$62,3,0),VLOOKUP(D20,'قائمة الأسعار'!$D$13:$F$27,3,0)))</f>
        <v>#N/A</v>
      </c>
      <c r="M20" s="318" t="e">
        <f t="shared" si="1"/>
        <v>#N/A</v>
      </c>
      <c r="N20" s="315">
        <f>IF(S20=0,0,(IF(OR(S20=$CI$17,S20=$CI$18,S20=$CI$22,S20=$CI$23),K20,K20-(VLOOKUP(D20,'قائمة الأسعار'!$D$13:$G$47,4,FALSE)*J20*F20)/10000)))</f>
        <v>1.6710960000000001</v>
      </c>
      <c r="O20" s="612">
        <f>IF(S20=0,0,IF(T20="لون خاص",VLOOKUP(D20,'قائمة الأسعار'!$D$48:$G$62,4,0),VLOOKUP(D20,'قائمة الأسعار'!$D$13:$G$47,4,0)))</f>
        <v>5.8</v>
      </c>
      <c r="Q20" s="91"/>
      <c r="R20" s="199">
        <v>7</v>
      </c>
      <c r="S20" s="200" t="s">
        <v>427</v>
      </c>
      <c r="T20" s="200"/>
      <c r="U20" s="200"/>
      <c r="V20" s="201">
        <v>100</v>
      </c>
      <c r="W20" s="201">
        <v>150</v>
      </c>
      <c r="X20" s="201" t="s">
        <v>24</v>
      </c>
      <c r="Y20" s="201"/>
      <c r="Z20" s="201" t="b">
        <v>1</v>
      </c>
      <c r="AA20" s="200">
        <v>1</v>
      </c>
      <c r="AB20" s="201"/>
      <c r="AC20" s="219"/>
      <c r="AD20" s="620"/>
      <c r="AE20" s="620"/>
      <c r="AF20" s="621"/>
      <c r="AG20" s="193"/>
      <c r="AH20" s="202" t="str">
        <f t="shared" si="139"/>
        <v>غير مقبول فنياً</v>
      </c>
      <c r="AI20" s="203" t="str">
        <f t="shared" si="2"/>
        <v/>
      </c>
      <c r="AJ20" s="63"/>
      <c r="AK20" s="53"/>
      <c r="AL20" s="37"/>
      <c r="AM20" s="488"/>
      <c r="AN20" s="489">
        <f t="shared" si="41"/>
        <v>168.20000000000002</v>
      </c>
      <c r="AO20" s="490" cm="1">
        <f t="array" ref="AO20">IF(V20&lt;&gt;0,IF($AW$12=$BB$4,IF(X20=$BF$14,V20-1,IF(X20=$BF$13,V20+8.5,V20-7.5)),IF(X20=$BF$14,V20-1,IF(X20=$BF$13,IF(OR(S20=$CI$15:$CI$19,S20=$CI$38,S20=$CI$40),V20+3.6,IF(S20=$CI$39,V20+2.9,V20+4)),IF(OR(S20=$CI$15:$CI$19,S20=$CI$38,S20=$CI$40),V20-12.4,IF(S20=$CI$39,V20-13.1,V20-12))))),0)</f>
        <v>102.9</v>
      </c>
      <c r="AP20" s="491">
        <f t="shared" si="42"/>
        <v>166.5</v>
      </c>
      <c r="AQ20" s="491">
        <f t="shared" si="43"/>
        <v>29</v>
      </c>
      <c r="AR20" s="492">
        <f t="shared" si="44"/>
        <v>1.7307780000000001</v>
      </c>
      <c r="AS20" s="493">
        <f t="shared" si="45"/>
        <v>22.5</v>
      </c>
      <c r="AT20" s="493">
        <f t="shared" si="46"/>
        <v>116</v>
      </c>
      <c r="AU20" s="493">
        <f t="shared" si="47"/>
        <v>116</v>
      </c>
      <c r="AV20" s="493">
        <f t="shared" si="48"/>
        <v>6</v>
      </c>
      <c r="AW20" s="494">
        <f t="shared" si="49"/>
        <v>5.8</v>
      </c>
      <c r="AX20" s="494">
        <f t="shared" si="50"/>
        <v>153</v>
      </c>
      <c r="AY20" s="494">
        <f t="shared" si="51"/>
        <v>153</v>
      </c>
      <c r="AZ20" s="495" t="str">
        <f t="shared" si="52"/>
        <v>نابضية ك</v>
      </c>
      <c r="BA20" s="495">
        <f t="shared" si="53"/>
        <v>3</v>
      </c>
      <c r="BB20" s="495">
        <f t="shared" si="54"/>
        <v>3</v>
      </c>
      <c r="BC20" s="496" cm="1">
        <f t="array" ref="BC20">IF(OR($AB20=$BF$22:$BF$40),$AB20,0)</f>
        <v>0</v>
      </c>
      <c r="BD20" s="496" cm="1">
        <f t="array" ref="BD20">IF(OR($AB20=$BF$22:$BF$40),IF(AC20=$CH$14,BK20,IF(AC20=$CH$13,BJ20,BI20)),0)</f>
        <v>0</v>
      </c>
      <c r="BE20" s="497" cm="1">
        <f t="array" ref="BE20">IF(OR(AB20=$BF$22:$BF$40),AA20,0)</f>
        <v>0</v>
      </c>
      <c r="BF20" s="498" t="s">
        <v>545</v>
      </c>
      <c r="BH20" s="499">
        <f t="shared" si="55"/>
        <v>6.0577230000000002</v>
      </c>
      <c r="BI20" s="498">
        <f t="shared" si="56"/>
        <v>0</v>
      </c>
      <c r="BJ20" s="498">
        <f t="shared" si="57"/>
        <v>0</v>
      </c>
      <c r="BK20" s="498">
        <f t="shared" si="58"/>
        <v>0</v>
      </c>
      <c r="BL20" s="500">
        <f t="shared" si="59"/>
        <v>0</v>
      </c>
      <c r="BM20" s="500">
        <f t="shared" si="3"/>
        <v>0</v>
      </c>
      <c r="BN20" s="500">
        <f t="shared" si="4"/>
        <v>0</v>
      </c>
      <c r="BO20" s="500">
        <f t="shared" si="5"/>
        <v>0</v>
      </c>
      <c r="BP20" s="500">
        <f t="shared" si="6"/>
        <v>0</v>
      </c>
      <c r="BQ20" s="500">
        <f t="shared" si="7"/>
        <v>0</v>
      </c>
      <c r="BR20" s="500">
        <f t="shared" si="8"/>
        <v>0</v>
      </c>
      <c r="BS20" s="500">
        <f t="shared" si="9"/>
        <v>0</v>
      </c>
      <c r="BT20" s="496">
        <f t="shared" si="10"/>
        <v>0</v>
      </c>
      <c r="BU20" s="496">
        <f t="shared" si="11"/>
        <v>0</v>
      </c>
      <c r="BV20" s="496">
        <f t="shared" si="12"/>
        <v>0</v>
      </c>
      <c r="BW20" s="496">
        <f t="shared" si="13"/>
        <v>0</v>
      </c>
      <c r="BX20" s="496">
        <f t="shared" si="14"/>
        <v>0</v>
      </c>
      <c r="BY20" s="496">
        <f t="shared" si="15"/>
        <v>0</v>
      </c>
      <c r="BZ20" s="496">
        <f t="shared" si="60"/>
        <v>0</v>
      </c>
      <c r="CA20" s="496">
        <f t="shared" si="16"/>
        <v>0</v>
      </c>
      <c r="CB20" s="496">
        <f t="shared" si="17"/>
        <v>0</v>
      </c>
      <c r="CC20" s="496">
        <f t="shared" si="18"/>
        <v>0</v>
      </c>
      <c r="CD20" s="496">
        <f t="shared" si="19"/>
        <v>0</v>
      </c>
      <c r="CE20" s="501">
        <f t="shared" si="61"/>
        <v>0</v>
      </c>
      <c r="CF20" s="501">
        <f t="shared" si="62"/>
        <v>0</v>
      </c>
      <c r="CG20" s="502">
        <f t="shared" si="63"/>
        <v>0</v>
      </c>
      <c r="CH20" s="485" t="s">
        <v>412</v>
      </c>
      <c r="CI20" s="498" t="s">
        <v>238</v>
      </c>
      <c r="CJ20" s="498">
        <v>15</v>
      </c>
      <c r="CK20" s="598">
        <v>2.5499999999999998</v>
      </c>
      <c r="CL20" s="777"/>
      <c r="CM20" s="503">
        <f t="shared" si="142"/>
        <v>22.5</v>
      </c>
      <c r="CN20" s="504">
        <f t="shared" si="65"/>
        <v>22.5</v>
      </c>
      <c r="CO20" s="504">
        <f t="shared" si="66"/>
        <v>22.5</v>
      </c>
      <c r="CP20" s="504">
        <f t="shared" si="67"/>
        <v>22.5</v>
      </c>
      <c r="CQ20" s="504">
        <f t="shared" si="68"/>
        <v>22.5</v>
      </c>
      <c r="CR20" s="504">
        <f t="shared" si="69"/>
        <v>22.5</v>
      </c>
      <c r="CS20" s="504">
        <f t="shared" si="70"/>
        <v>22.5</v>
      </c>
      <c r="CT20" s="504">
        <f t="shared" si="71"/>
        <v>22.5</v>
      </c>
      <c r="CU20" s="504">
        <f t="shared" si="72"/>
        <v>22.5</v>
      </c>
      <c r="CV20" s="504">
        <f t="shared" si="73"/>
        <v>22.5</v>
      </c>
      <c r="CW20" s="504">
        <f t="shared" si="74"/>
        <v>22.5</v>
      </c>
      <c r="CX20" s="504">
        <f t="shared" si="75"/>
        <v>22.5</v>
      </c>
      <c r="CY20" s="504">
        <f t="shared" si="76"/>
        <v>22.5</v>
      </c>
      <c r="CZ20" s="504">
        <f t="shared" si="77"/>
        <v>22.5</v>
      </c>
      <c r="DA20" s="505">
        <f t="shared" si="78"/>
        <v>22.5</v>
      </c>
      <c r="DB20" s="571">
        <f t="shared" si="79"/>
        <v>22.5</v>
      </c>
      <c r="DC20" s="571">
        <f t="shared" si="80"/>
        <v>22.5</v>
      </c>
      <c r="DD20" s="571">
        <f t="shared" si="81"/>
        <v>22.5</v>
      </c>
      <c r="DE20" s="571">
        <f t="shared" si="82"/>
        <v>22.5</v>
      </c>
      <c r="DF20" s="571">
        <f t="shared" si="83"/>
        <v>22.5</v>
      </c>
      <c r="DG20" s="571">
        <f t="shared" si="84"/>
        <v>22.5</v>
      </c>
      <c r="DH20" s="571">
        <f t="shared" si="85"/>
        <v>22.5</v>
      </c>
      <c r="DI20" s="571">
        <f t="shared" si="86"/>
        <v>22.5</v>
      </c>
      <c r="DJ20" s="571">
        <f t="shared" si="87"/>
        <v>22.5</v>
      </c>
      <c r="DK20" s="571">
        <f t="shared" si="88"/>
        <v>22.5</v>
      </c>
      <c r="DL20" s="571">
        <f t="shared" si="89"/>
        <v>0</v>
      </c>
      <c r="DM20" s="571">
        <f t="shared" si="90"/>
        <v>0</v>
      </c>
      <c r="DN20" s="571">
        <f t="shared" si="91"/>
        <v>0</v>
      </c>
      <c r="DO20" s="571">
        <f t="shared" si="92"/>
        <v>0</v>
      </c>
      <c r="DP20" s="571">
        <f t="shared" si="93"/>
        <v>0</v>
      </c>
      <c r="DQ20" s="571">
        <f t="shared" si="20"/>
        <v>0</v>
      </c>
      <c r="DR20" s="571">
        <f t="shared" si="94"/>
        <v>0</v>
      </c>
      <c r="DS20" s="571">
        <f t="shared" si="95"/>
        <v>0</v>
      </c>
      <c r="DT20" s="571"/>
      <c r="DU20" s="571"/>
      <c r="DV20" s="777"/>
      <c r="DW20" s="503">
        <f t="shared" si="135"/>
        <v>6</v>
      </c>
      <c r="DX20" s="503">
        <f t="shared" si="136"/>
        <v>6</v>
      </c>
      <c r="DY20" s="503" cm="1">
        <f t="array" ref="DY20">IF($S20=DY$12,IF(AND(AO20&lt;=250,BH20&lt;=60),6,IF(OR(AO20&lt;=350,BH20&lt;=80),7,IF(OR(AND(AO20&gt;350,AO&lt;=120),BH20&lt;=120),9,12))),DZ20)</f>
        <v>6</v>
      </c>
      <c r="DZ20" s="504">
        <f t="shared" si="96"/>
        <v>6</v>
      </c>
      <c r="EA20" s="504">
        <f t="shared" si="97"/>
        <v>6</v>
      </c>
      <c r="EB20" s="504">
        <f t="shared" si="98"/>
        <v>6</v>
      </c>
      <c r="EC20" s="504">
        <f t="shared" si="99"/>
        <v>6</v>
      </c>
      <c r="ED20" s="504">
        <f t="shared" si="100"/>
        <v>6</v>
      </c>
      <c r="EE20" s="504">
        <f t="shared" si="101"/>
        <v>6</v>
      </c>
      <c r="EF20" s="504">
        <f t="shared" si="102"/>
        <v>6</v>
      </c>
      <c r="EG20" s="504">
        <f t="shared" si="103"/>
        <v>6</v>
      </c>
      <c r="EH20" s="504">
        <f t="shared" si="104"/>
        <v>6</v>
      </c>
      <c r="EI20" s="504">
        <f t="shared" si="105"/>
        <v>6</v>
      </c>
      <c r="EJ20" s="504">
        <f t="shared" si="106"/>
        <v>6</v>
      </c>
      <c r="EK20" s="505">
        <f t="shared" si="107"/>
        <v>6</v>
      </c>
      <c r="EL20" s="571">
        <f t="shared" ref="EL20:ET20" si="147">IF($S20=EL$12,IF(AND($AO20&lt;=320,$BH20&lt;=50),6,7),EM20)</f>
        <v>6</v>
      </c>
      <c r="EM20" s="571">
        <f t="shared" si="147"/>
        <v>6</v>
      </c>
      <c r="EN20" s="571">
        <f t="shared" si="147"/>
        <v>6</v>
      </c>
      <c r="EO20" s="571">
        <f t="shared" si="147"/>
        <v>6</v>
      </c>
      <c r="EP20" s="571">
        <f t="shared" si="147"/>
        <v>6</v>
      </c>
      <c r="EQ20" s="571">
        <f t="shared" si="147"/>
        <v>6</v>
      </c>
      <c r="ER20" s="571">
        <f t="shared" si="147"/>
        <v>6</v>
      </c>
      <c r="ES20" s="571">
        <f t="shared" si="147"/>
        <v>6</v>
      </c>
      <c r="ET20" s="571">
        <f t="shared" si="147"/>
        <v>6</v>
      </c>
      <c r="EU20" s="571">
        <f t="shared" si="109"/>
        <v>6</v>
      </c>
      <c r="EV20" s="571">
        <f t="shared" ref="EV20:FA20" si="148">IF($S20=EV$12,IF(AND($AO20&lt;=320,$BH20&lt;=50),6,7),EW20)</f>
        <v>0</v>
      </c>
      <c r="EW20" s="571">
        <f t="shared" si="148"/>
        <v>0</v>
      </c>
      <c r="EX20" s="571">
        <f t="shared" si="148"/>
        <v>0</v>
      </c>
      <c r="EY20" s="571">
        <f t="shared" si="148"/>
        <v>0</v>
      </c>
      <c r="EZ20" s="571">
        <f t="shared" si="148"/>
        <v>0</v>
      </c>
      <c r="FA20" s="571">
        <f t="shared" si="148"/>
        <v>0</v>
      </c>
      <c r="FB20" s="571">
        <f>IF($S20=FB$12,IF(AND(AO20&lt;=250,BH20&lt;=60),6,IF(OR(AO20&lt;=350,BH20&lt;=80),7,IF(OR(AO20&gt;350,BH20&lt;=120),9,12))),FC20)</f>
        <v>0</v>
      </c>
      <c r="FC20" s="571">
        <f t="shared" si="111"/>
        <v>0</v>
      </c>
      <c r="FD20" s="571"/>
      <c r="FE20" s="571"/>
      <c r="FF20" s="571"/>
      <c r="FG20" s="571"/>
      <c r="FH20" s="443"/>
      <c r="FI20" s="505">
        <f t="shared" si="112"/>
        <v>8</v>
      </c>
      <c r="FJ20" s="505">
        <f t="shared" si="113"/>
        <v>10</v>
      </c>
      <c r="FK20" s="505">
        <f t="shared" si="114"/>
        <v>10</v>
      </c>
      <c r="FL20" s="505">
        <f t="shared" si="115"/>
        <v>10</v>
      </c>
      <c r="FM20" s="505">
        <f t="shared" si="116"/>
        <v>10</v>
      </c>
      <c r="FN20" s="505">
        <f t="shared" si="117"/>
        <v>10</v>
      </c>
      <c r="FO20" s="505">
        <f t="shared" si="118"/>
        <v>10</v>
      </c>
      <c r="FP20" s="571"/>
      <c r="FQ20" s="571"/>
      <c r="FR20" s="571"/>
      <c r="FS20" s="571"/>
      <c r="FT20" s="571"/>
      <c r="FU20" s="571"/>
      <c r="FV20" s="571"/>
      <c r="FW20" s="571"/>
      <c r="FX20" s="571"/>
      <c r="FY20" s="571"/>
      <c r="FZ20" s="571"/>
      <c r="GA20" s="571"/>
      <c r="GB20" s="571"/>
      <c r="GC20" s="571"/>
      <c r="GD20" s="443"/>
      <c r="GE20" s="505">
        <f t="shared" si="119"/>
        <v>10</v>
      </c>
      <c r="GF20" s="505">
        <f t="shared" si="120"/>
        <v>10</v>
      </c>
      <c r="GG20" s="505">
        <f t="shared" si="121"/>
        <v>10</v>
      </c>
      <c r="GH20" s="505">
        <f t="shared" si="122"/>
        <v>10</v>
      </c>
      <c r="GI20" s="505">
        <f t="shared" si="123"/>
        <v>10</v>
      </c>
      <c r="GJ20" s="505">
        <f t="shared" si="124"/>
        <v>8</v>
      </c>
      <c r="GK20" s="505">
        <f t="shared" si="125"/>
        <v>10</v>
      </c>
      <c r="GL20" s="571"/>
      <c r="GM20" s="571"/>
      <c r="GN20" s="571"/>
      <c r="GO20" s="571"/>
      <c r="GP20" s="571"/>
      <c r="GQ20" s="571"/>
      <c r="GR20" s="571"/>
      <c r="GS20" s="571"/>
      <c r="GT20" s="571"/>
      <c r="GU20" s="571"/>
      <c r="GV20" s="571"/>
      <c r="GW20" s="571"/>
      <c r="GX20" s="506"/>
      <c r="GY20" s="507">
        <f t="shared" si="126"/>
        <v>10</v>
      </c>
      <c r="GZ20" s="505">
        <f t="shared" si="127"/>
        <v>10</v>
      </c>
      <c r="HA20" s="505">
        <f t="shared" si="128"/>
        <v>10</v>
      </c>
      <c r="HB20" s="505">
        <f t="shared" si="129"/>
        <v>10</v>
      </c>
      <c r="HC20" s="505">
        <f t="shared" si="130"/>
        <v>10</v>
      </c>
      <c r="HD20" s="505">
        <f t="shared" si="131"/>
        <v>10</v>
      </c>
      <c r="HE20" s="505">
        <f t="shared" si="132"/>
        <v>10</v>
      </c>
      <c r="HF20" s="571"/>
      <c r="HG20" s="571"/>
      <c r="HH20" s="571"/>
      <c r="HI20" s="571"/>
      <c r="HJ20" s="571"/>
      <c r="HK20" s="571"/>
      <c r="HL20" s="571"/>
      <c r="HM20" s="571"/>
      <c r="HN20" s="571"/>
      <c r="HO20" s="571"/>
      <c r="HP20" s="571"/>
      <c r="HQ20" s="571"/>
      <c r="HR20" s="571"/>
      <c r="HS20" s="777"/>
      <c r="HT20" s="508">
        <f t="shared" si="24"/>
        <v>0</v>
      </c>
      <c r="HU20" s="509">
        <f t="shared" si="25"/>
        <v>0</v>
      </c>
      <c r="HV20" s="510">
        <f t="shared" si="26"/>
        <v>1</v>
      </c>
      <c r="HW20" s="543"/>
      <c r="HX20" s="543" t="s">
        <v>239</v>
      </c>
      <c r="HY20" s="543">
        <v>400</v>
      </c>
      <c r="HZ20" s="543">
        <v>320</v>
      </c>
      <c r="IA20" s="546" t="str">
        <f t="shared" si="133"/>
        <v>غ</v>
      </c>
      <c r="IB20" s="547" t="str">
        <f t="shared" si="134"/>
        <v>غ</v>
      </c>
      <c r="IC20" s="554">
        <f t="shared" si="27"/>
        <v>1.5</v>
      </c>
      <c r="ID20" s="545" t="str">
        <f t="shared" si="28"/>
        <v/>
      </c>
      <c r="IE20" s="222">
        <f t="shared" si="29"/>
        <v>0</v>
      </c>
      <c r="IF20" s="230">
        <f t="shared" si="30"/>
        <v>0</v>
      </c>
      <c r="IG20" s="228">
        <f t="shared" si="31"/>
        <v>0</v>
      </c>
      <c r="IH20" s="423">
        <f t="shared" si="32"/>
        <v>0</v>
      </c>
      <c r="II20" s="425">
        <f t="shared" si="33"/>
        <v>0</v>
      </c>
    </row>
    <row r="21" spans="2:244" s="40" customFormat="1" ht="24.75" customHeight="1" x14ac:dyDescent="0.35">
      <c r="B21" s="258"/>
      <c r="C21" s="310">
        <f t="shared" si="34"/>
        <v>8</v>
      </c>
      <c r="D21" s="311" t="str">
        <f>IF(S21=0,0,VLOOKUP(S21,'قائمة الأسعار'!$C$13:$H$45,2,0))</f>
        <v>شريحة 4.25 النيل</v>
      </c>
      <c r="E21" s="312">
        <f t="shared" si="35"/>
        <v>0</v>
      </c>
      <c r="F21" s="313">
        <f t="shared" si="36"/>
        <v>104</v>
      </c>
      <c r="G21" s="313">
        <f t="shared" si="37"/>
        <v>165.75</v>
      </c>
      <c r="H21" s="314">
        <f t="shared" si="38"/>
        <v>39</v>
      </c>
      <c r="I21" s="315">
        <f t="shared" si="39"/>
        <v>1.7238</v>
      </c>
      <c r="J21" s="316">
        <f t="shared" si="0"/>
        <v>1</v>
      </c>
      <c r="K21" s="315">
        <f t="shared" si="40"/>
        <v>1.7238</v>
      </c>
      <c r="L21" s="317">
        <f>IF(S21=0,0,IF(T21="لون خاص",VLOOKUP(D21,'قائمة الأسعار'!$D$48:$F$62,3,0),VLOOKUP(D21,'قائمة الأسعار'!$D$13:$F$27,3,0)))</f>
        <v>1</v>
      </c>
      <c r="M21" s="318">
        <f t="shared" si="1"/>
        <v>1.7238</v>
      </c>
      <c r="N21" s="315">
        <f>IF(S21=0,0,(IF(OR(S21=$CI$17,S21=$CI$18,S21=$CI$22,S21=$CI$23),K21,K21-(VLOOKUP(D21,'قائمة الأسعار'!$D$13:$G$47,4,FALSE)*J21*F21)/10000)))</f>
        <v>1.6796</v>
      </c>
      <c r="O21" s="612">
        <f>IF(S21=0,0,IF(T21="لون خاص",VLOOKUP(D21,'قائمة الأسعار'!$D$48:$G$62,4,0),VLOOKUP(D21,'قائمة الأسعار'!$D$13:$G$47,4,0)))</f>
        <v>4.25</v>
      </c>
      <c r="Q21" s="91"/>
      <c r="R21" s="199">
        <v>8</v>
      </c>
      <c r="S21" s="200" t="s">
        <v>238</v>
      </c>
      <c r="T21" s="200"/>
      <c r="U21" s="200"/>
      <c r="V21" s="201">
        <v>100</v>
      </c>
      <c r="W21" s="201">
        <v>150</v>
      </c>
      <c r="X21" s="201" t="s">
        <v>24</v>
      </c>
      <c r="Y21" s="201"/>
      <c r="Z21" s="201" t="b">
        <v>1</v>
      </c>
      <c r="AA21" s="200">
        <v>1</v>
      </c>
      <c r="AB21" s="201"/>
      <c r="AC21" s="219"/>
      <c r="AD21" s="620"/>
      <c r="AE21" s="620"/>
      <c r="AF21" s="621"/>
      <c r="AG21" s="193"/>
      <c r="AH21" s="202" t="str">
        <f t="shared" si="139"/>
        <v>مقبول فنياً</v>
      </c>
      <c r="AI21" s="203" t="str">
        <f t="shared" si="2"/>
        <v/>
      </c>
      <c r="AJ21" s="63"/>
      <c r="AK21" s="53"/>
      <c r="AL21" s="37"/>
      <c r="AM21" s="488"/>
      <c r="AN21" s="489">
        <f t="shared" si="41"/>
        <v>165.75</v>
      </c>
      <c r="AO21" s="490" cm="1">
        <f t="array" ref="AO21">IF(V21&lt;&gt;0,IF($AW$12=$BB$4,IF(X21=$BF$14,V21-1,IF(X21=$BF$13,V21+8.5,V21-7.5)),IF(X21=$BF$14,V21-1,IF(X21=$BF$13,IF(OR(S21=$CI$15:$CI$19,S21=$CI$38,S21=$CI$40),V21+3.6,IF(S21=$CI$39,V21+2.9,V21+4)),IF(OR(S21=$CI$15:$CI$19,S21=$CI$38,S21=$CI$40),V21-12.4,IF(S21=$CI$39,V21-13.1,V21-12))))),0)</f>
        <v>104</v>
      </c>
      <c r="AP21" s="491">
        <f t="shared" si="42"/>
        <v>164.3</v>
      </c>
      <c r="AQ21" s="491">
        <f t="shared" si="43"/>
        <v>39</v>
      </c>
      <c r="AR21" s="492">
        <f t="shared" si="44"/>
        <v>1.7238</v>
      </c>
      <c r="AS21" s="493">
        <f t="shared" si="45"/>
        <v>18</v>
      </c>
      <c r="AT21" s="493">
        <f t="shared" si="46"/>
        <v>116</v>
      </c>
      <c r="AU21" s="493">
        <f t="shared" si="47"/>
        <v>116</v>
      </c>
      <c r="AV21" s="493">
        <f t="shared" si="48"/>
        <v>6</v>
      </c>
      <c r="AW21" s="494">
        <f t="shared" si="49"/>
        <v>4.5</v>
      </c>
      <c r="AX21" s="494">
        <f t="shared" si="50"/>
        <v>153</v>
      </c>
      <c r="AY21" s="494">
        <f t="shared" si="51"/>
        <v>153</v>
      </c>
      <c r="AZ21" s="495" t="str">
        <f t="shared" si="52"/>
        <v>نابضية ص</v>
      </c>
      <c r="BA21" s="495">
        <f t="shared" si="53"/>
        <v>3</v>
      </c>
      <c r="BB21" s="495">
        <f t="shared" si="54"/>
        <v>3</v>
      </c>
      <c r="BC21" s="496" cm="1">
        <f t="array" ref="BC21">IF(OR($AB21=$BF$22:$BF$40),$AB21,0)</f>
        <v>0</v>
      </c>
      <c r="BD21" s="496" cm="1">
        <f t="array" ref="BD21">IF(OR($AB21=$BF$22:$BF$40),IF(AC21=$CH$14,BK21,IF(AC21=$CH$13,BJ21,BI21)),0)</f>
        <v>0</v>
      </c>
      <c r="BE21" s="497" cm="1">
        <f t="array" ref="BE21">IF(OR(AB21=$BF$22:$BF$40),AA21,0)</f>
        <v>0</v>
      </c>
      <c r="BF21" s="498" t="s">
        <v>146</v>
      </c>
      <c r="BG21" s="485"/>
      <c r="BH21" s="499">
        <f t="shared" si="55"/>
        <v>4.3956900000000001</v>
      </c>
      <c r="BI21" s="498">
        <f t="shared" si="56"/>
        <v>0</v>
      </c>
      <c r="BJ21" s="498">
        <f t="shared" si="57"/>
        <v>0</v>
      </c>
      <c r="BK21" s="498">
        <f t="shared" si="58"/>
        <v>0</v>
      </c>
      <c r="BL21" s="500">
        <f t="shared" si="59"/>
        <v>0</v>
      </c>
      <c r="BM21" s="500">
        <f t="shared" si="3"/>
        <v>0</v>
      </c>
      <c r="BN21" s="500">
        <f t="shared" si="4"/>
        <v>0</v>
      </c>
      <c r="BO21" s="500">
        <f t="shared" si="5"/>
        <v>0</v>
      </c>
      <c r="BP21" s="500">
        <f t="shared" si="6"/>
        <v>0</v>
      </c>
      <c r="BQ21" s="500">
        <f t="shared" si="7"/>
        <v>0</v>
      </c>
      <c r="BR21" s="500">
        <f t="shared" si="8"/>
        <v>0</v>
      </c>
      <c r="BS21" s="500">
        <f t="shared" si="9"/>
        <v>0</v>
      </c>
      <c r="BT21" s="496">
        <f t="shared" si="10"/>
        <v>0</v>
      </c>
      <c r="BU21" s="496">
        <f t="shared" si="11"/>
        <v>0</v>
      </c>
      <c r="BV21" s="496">
        <f t="shared" si="12"/>
        <v>0</v>
      </c>
      <c r="BW21" s="496">
        <f t="shared" si="13"/>
        <v>0</v>
      </c>
      <c r="BX21" s="496">
        <f t="shared" si="14"/>
        <v>0</v>
      </c>
      <c r="BY21" s="496">
        <f t="shared" si="15"/>
        <v>0</v>
      </c>
      <c r="BZ21" s="496">
        <f t="shared" si="60"/>
        <v>0</v>
      </c>
      <c r="CA21" s="496">
        <f t="shared" si="16"/>
        <v>0</v>
      </c>
      <c r="CB21" s="496">
        <f t="shared" si="17"/>
        <v>0</v>
      </c>
      <c r="CC21" s="496">
        <f t="shared" si="18"/>
        <v>0</v>
      </c>
      <c r="CD21" s="496">
        <f t="shared" si="19"/>
        <v>0</v>
      </c>
      <c r="CE21" s="501">
        <f t="shared" si="61"/>
        <v>0</v>
      </c>
      <c r="CF21" s="501">
        <f t="shared" si="62"/>
        <v>0</v>
      </c>
      <c r="CG21" s="502">
        <f t="shared" si="63"/>
        <v>0</v>
      </c>
      <c r="CH21" s="498" t="s">
        <v>413</v>
      </c>
      <c r="CI21" s="487" t="s">
        <v>239</v>
      </c>
      <c r="CJ21" s="498">
        <v>15</v>
      </c>
      <c r="CK21" s="598">
        <v>3</v>
      </c>
      <c r="CL21" s="777"/>
      <c r="CM21" s="503">
        <f t="shared" si="142"/>
        <v>18</v>
      </c>
      <c r="CN21" s="504">
        <f t="shared" si="65"/>
        <v>18</v>
      </c>
      <c r="CO21" s="504">
        <f t="shared" si="66"/>
        <v>18</v>
      </c>
      <c r="CP21" s="504">
        <f t="shared" si="67"/>
        <v>18</v>
      </c>
      <c r="CQ21" s="504">
        <f t="shared" si="68"/>
        <v>18</v>
      </c>
      <c r="CR21" s="504">
        <f t="shared" si="69"/>
        <v>18</v>
      </c>
      <c r="CS21" s="504">
        <f t="shared" si="70"/>
        <v>0</v>
      </c>
      <c r="CT21" s="504">
        <f t="shared" si="71"/>
        <v>0</v>
      </c>
      <c r="CU21" s="504">
        <f t="shared" si="72"/>
        <v>0</v>
      </c>
      <c r="CV21" s="504">
        <f t="shared" si="73"/>
        <v>0</v>
      </c>
      <c r="CW21" s="504">
        <f t="shared" si="74"/>
        <v>0</v>
      </c>
      <c r="CX21" s="504">
        <f t="shared" si="75"/>
        <v>0</v>
      </c>
      <c r="CY21" s="504">
        <f t="shared" si="76"/>
        <v>0</v>
      </c>
      <c r="CZ21" s="504">
        <f t="shared" si="77"/>
        <v>0</v>
      </c>
      <c r="DA21" s="505">
        <f t="shared" si="78"/>
        <v>0</v>
      </c>
      <c r="DB21" s="571">
        <f t="shared" si="79"/>
        <v>0</v>
      </c>
      <c r="DC21" s="571">
        <f t="shared" si="80"/>
        <v>0</v>
      </c>
      <c r="DD21" s="571">
        <f t="shared" si="81"/>
        <v>0</v>
      </c>
      <c r="DE21" s="571">
        <f t="shared" si="82"/>
        <v>0</v>
      </c>
      <c r="DF21" s="571">
        <f t="shared" si="83"/>
        <v>0</v>
      </c>
      <c r="DG21" s="571">
        <f t="shared" si="84"/>
        <v>0</v>
      </c>
      <c r="DH21" s="571">
        <f t="shared" si="85"/>
        <v>0</v>
      </c>
      <c r="DI21" s="571">
        <f t="shared" si="86"/>
        <v>0</v>
      </c>
      <c r="DJ21" s="571">
        <f t="shared" si="87"/>
        <v>0</v>
      </c>
      <c r="DK21" s="571">
        <f t="shared" si="88"/>
        <v>0</v>
      </c>
      <c r="DL21" s="571">
        <f t="shared" si="89"/>
        <v>0</v>
      </c>
      <c r="DM21" s="571">
        <f t="shared" si="90"/>
        <v>0</v>
      </c>
      <c r="DN21" s="571">
        <f t="shared" si="91"/>
        <v>0</v>
      </c>
      <c r="DO21" s="571">
        <f t="shared" si="92"/>
        <v>0</v>
      </c>
      <c r="DP21" s="571">
        <f t="shared" si="93"/>
        <v>0</v>
      </c>
      <c r="DQ21" s="571">
        <f t="shared" si="20"/>
        <v>0</v>
      </c>
      <c r="DR21" s="571">
        <f t="shared" si="94"/>
        <v>0</v>
      </c>
      <c r="DS21" s="571">
        <f t="shared" si="95"/>
        <v>0</v>
      </c>
      <c r="DT21" s="571"/>
      <c r="DU21" s="571"/>
      <c r="DV21" s="777"/>
      <c r="DW21" s="503">
        <f t="shared" si="135"/>
        <v>6</v>
      </c>
      <c r="DX21" s="503">
        <f t="shared" si="136"/>
        <v>6</v>
      </c>
      <c r="DY21" s="503" cm="1">
        <f t="array" ref="DY21">IF($S21=DY$12,IF(AND(AO21&lt;=250,BH21&lt;=60),6,IF(OR(AO21&lt;=350,BH21&lt;=80),7,IF(OR(AND(AO21&gt;350,AO&lt;=120),BH21&lt;=120),9,12))),DZ21)</f>
        <v>6</v>
      </c>
      <c r="DZ21" s="504">
        <f t="shared" si="96"/>
        <v>6</v>
      </c>
      <c r="EA21" s="504">
        <f t="shared" si="97"/>
        <v>6</v>
      </c>
      <c r="EB21" s="504">
        <f t="shared" si="98"/>
        <v>6</v>
      </c>
      <c r="EC21" s="504">
        <f t="shared" si="99"/>
        <v>0</v>
      </c>
      <c r="ED21" s="504">
        <f t="shared" si="100"/>
        <v>0</v>
      </c>
      <c r="EE21" s="504">
        <f t="shared" si="101"/>
        <v>0</v>
      </c>
      <c r="EF21" s="504">
        <f t="shared" si="102"/>
        <v>0</v>
      </c>
      <c r="EG21" s="504">
        <f t="shared" si="103"/>
        <v>0</v>
      </c>
      <c r="EH21" s="504">
        <f t="shared" si="104"/>
        <v>0</v>
      </c>
      <c r="EI21" s="504">
        <f t="shared" si="105"/>
        <v>0</v>
      </c>
      <c r="EJ21" s="504">
        <f t="shared" si="106"/>
        <v>0</v>
      </c>
      <c r="EK21" s="505">
        <f t="shared" si="107"/>
        <v>0</v>
      </c>
      <c r="EL21" s="571">
        <f t="shared" ref="EL21:ET21" si="149">IF($S21=EL$12,IF(AND($AO21&lt;=320,$BH21&lt;=50),6,7),EM21)</f>
        <v>0</v>
      </c>
      <c r="EM21" s="571">
        <f t="shared" si="149"/>
        <v>0</v>
      </c>
      <c r="EN21" s="571">
        <f t="shared" si="149"/>
        <v>0</v>
      </c>
      <c r="EO21" s="571">
        <f t="shared" si="149"/>
        <v>0</v>
      </c>
      <c r="EP21" s="571">
        <f t="shared" si="149"/>
        <v>0</v>
      </c>
      <c r="EQ21" s="571">
        <f t="shared" si="149"/>
        <v>0</v>
      </c>
      <c r="ER21" s="571">
        <f t="shared" si="149"/>
        <v>0</v>
      </c>
      <c r="ES21" s="571">
        <f t="shared" si="149"/>
        <v>0</v>
      </c>
      <c r="ET21" s="571">
        <f t="shared" si="149"/>
        <v>0</v>
      </c>
      <c r="EU21" s="571">
        <f t="shared" si="109"/>
        <v>0</v>
      </c>
      <c r="EV21" s="571">
        <f t="shared" ref="EV21:FA21" si="150">IF($S21=EV$12,IF(AND($AO21&lt;=320,$BH21&lt;=50),6,7),EW21)</f>
        <v>0</v>
      </c>
      <c r="EW21" s="571">
        <f t="shared" si="150"/>
        <v>0</v>
      </c>
      <c r="EX21" s="571">
        <f t="shared" si="150"/>
        <v>0</v>
      </c>
      <c r="EY21" s="571">
        <f t="shared" si="150"/>
        <v>0</v>
      </c>
      <c r="EZ21" s="571">
        <f t="shared" si="150"/>
        <v>0</v>
      </c>
      <c r="FA21" s="571">
        <f t="shared" si="150"/>
        <v>0</v>
      </c>
      <c r="FB21" s="571">
        <f t="shared" si="23"/>
        <v>0</v>
      </c>
      <c r="FC21" s="571">
        <f t="shared" si="111"/>
        <v>0</v>
      </c>
      <c r="FD21" s="571"/>
      <c r="FE21" s="571"/>
      <c r="FF21" s="571"/>
      <c r="FG21" s="571"/>
      <c r="FH21" s="443"/>
      <c r="FI21" s="505">
        <f t="shared" si="112"/>
        <v>8</v>
      </c>
      <c r="FJ21" s="505">
        <f t="shared" si="113"/>
        <v>6</v>
      </c>
      <c r="FK21" s="505">
        <f t="shared" si="114"/>
        <v>6</v>
      </c>
      <c r="FL21" s="505">
        <f t="shared" si="115"/>
        <v>6</v>
      </c>
      <c r="FM21" s="505">
        <f t="shared" si="116"/>
        <v>6</v>
      </c>
      <c r="FN21" s="505">
        <f t="shared" si="117"/>
        <v>10</v>
      </c>
      <c r="FO21" s="505">
        <f t="shared" si="118"/>
        <v>10</v>
      </c>
      <c r="FP21" s="571"/>
      <c r="FQ21" s="571"/>
      <c r="FR21" s="571"/>
      <c r="FS21" s="571"/>
      <c r="FT21" s="571"/>
      <c r="FU21" s="571"/>
      <c r="FV21" s="571"/>
      <c r="FW21" s="571"/>
      <c r="FX21" s="571"/>
      <c r="FY21" s="571"/>
      <c r="FZ21" s="571"/>
      <c r="GA21" s="571"/>
      <c r="GB21" s="571"/>
      <c r="GC21" s="571"/>
      <c r="GD21" s="443"/>
      <c r="GE21" s="505">
        <f t="shared" si="119"/>
        <v>6</v>
      </c>
      <c r="GF21" s="505">
        <f t="shared" si="120"/>
        <v>6</v>
      </c>
      <c r="GG21" s="505">
        <f t="shared" si="121"/>
        <v>6</v>
      </c>
      <c r="GH21" s="505">
        <f t="shared" si="122"/>
        <v>6</v>
      </c>
      <c r="GI21" s="505">
        <f t="shared" si="123"/>
        <v>6</v>
      </c>
      <c r="GJ21" s="505">
        <f t="shared" si="124"/>
        <v>8</v>
      </c>
      <c r="GK21" s="505">
        <f t="shared" si="125"/>
        <v>10</v>
      </c>
      <c r="GL21" s="571"/>
      <c r="GM21" s="571"/>
      <c r="GN21" s="571"/>
      <c r="GO21" s="571"/>
      <c r="GP21" s="571"/>
      <c r="GQ21" s="571"/>
      <c r="GR21" s="571"/>
      <c r="GS21" s="571"/>
      <c r="GT21" s="571"/>
      <c r="GU21" s="571"/>
      <c r="GV21" s="571"/>
      <c r="GW21" s="571"/>
      <c r="GX21" s="506"/>
      <c r="GY21" s="507">
        <f t="shared" si="126"/>
        <v>10</v>
      </c>
      <c r="GZ21" s="505">
        <f t="shared" si="127"/>
        <v>10</v>
      </c>
      <c r="HA21" s="505">
        <f t="shared" si="128"/>
        <v>10</v>
      </c>
      <c r="HB21" s="505">
        <f t="shared" si="129"/>
        <v>6</v>
      </c>
      <c r="HC21" s="505">
        <f t="shared" si="130"/>
        <v>6</v>
      </c>
      <c r="HD21" s="505">
        <f t="shared" si="131"/>
        <v>10</v>
      </c>
      <c r="HE21" s="505">
        <f t="shared" si="132"/>
        <v>10</v>
      </c>
      <c r="HF21" s="571"/>
      <c r="HG21" s="571"/>
      <c r="HH21" s="571"/>
      <c r="HI21" s="571"/>
      <c r="HJ21" s="571"/>
      <c r="HK21" s="571"/>
      <c r="HL21" s="571"/>
      <c r="HM21" s="571"/>
      <c r="HN21" s="571"/>
      <c r="HO21" s="571"/>
      <c r="HP21" s="571"/>
      <c r="HQ21" s="571"/>
      <c r="HR21" s="571"/>
      <c r="HS21" s="777"/>
      <c r="HT21" s="508">
        <f t="shared" si="24"/>
        <v>0</v>
      </c>
      <c r="HU21" s="509">
        <f t="shared" si="25"/>
        <v>0</v>
      </c>
      <c r="HV21" s="510">
        <f t="shared" si="26"/>
        <v>1</v>
      </c>
      <c r="HW21" s="543"/>
      <c r="HX21" s="543" t="s">
        <v>240</v>
      </c>
      <c r="HY21" s="543">
        <v>600</v>
      </c>
      <c r="HZ21" s="543">
        <v>500</v>
      </c>
      <c r="IA21" s="546" t="str">
        <f t="shared" si="133"/>
        <v>م</v>
      </c>
      <c r="IB21" s="547" t="str">
        <f t="shared" si="134"/>
        <v>م</v>
      </c>
      <c r="IC21" s="554">
        <f t="shared" si="27"/>
        <v>1.5</v>
      </c>
      <c r="ID21" s="545" t="str">
        <f t="shared" si="28"/>
        <v/>
      </c>
      <c r="IE21" s="222">
        <f t="shared" si="29"/>
        <v>0</v>
      </c>
      <c r="IF21" s="230">
        <f t="shared" si="30"/>
        <v>0</v>
      </c>
      <c r="IG21" s="228">
        <f t="shared" si="31"/>
        <v>0</v>
      </c>
      <c r="IH21" s="423">
        <f t="shared" si="32"/>
        <v>0</v>
      </c>
      <c r="II21" s="425">
        <f t="shared" si="33"/>
        <v>0</v>
      </c>
    </row>
    <row r="22" spans="2:244" s="40" customFormat="1" ht="24.75" customHeight="1" x14ac:dyDescent="0.35">
      <c r="B22" s="258"/>
      <c r="C22" s="310">
        <f t="shared" si="34"/>
        <v>9</v>
      </c>
      <c r="D22" s="311" t="str">
        <f>IF(S22=0,0,VLOOKUP(S22,'قائمة الأسعار'!$C$13:$H$45,2,0))</f>
        <v>شريحة النيل 5سم BK</v>
      </c>
      <c r="E22" s="312">
        <f t="shared" si="35"/>
        <v>0</v>
      </c>
      <c r="F22" s="313">
        <f t="shared" si="36"/>
        <v>104</v>
      </c>
      <c r="G22" s="313">
        <f t="shared" si="37"/>
        <v>165</v>
      </c>
      <c r="H22" s="314">
        <f t="shared" si="38"/>
        <v>33</v>
      </c>
      <c r="I22" s="315">
        <f t="shared" si="39"/>
        <v>1.716</v>
      </c>
      <c r="J22" s="316">
        <f t="shared" si="0"/>
        <v>1</v>
      </c>
      <c r="K22" s="315">
        <f t="shared" si="40"/>
        <v>1.716</v>
      </c>
      <c r="L22" s="317" t="e">
        <f>IF(S22=0,0,IF(T22="لون خاص",VLOOKUP(D22,'قائمة الأسعار'!$D$48:$F$62,3,0),VLOOKUP(D22,'قائمة الأسعار'!$D$13:$F$27,3,0)))</f>
        <v>#N/A</v>
      </c>
      <c r="M22" s="318" t="e">
        <f t="shared" si="1"/>
        <v>#N/A</v>
      </c>
      <c r="N22" s="315">
        <f>IF(S22=0,0,(IF(OR(S22=$CI$17,S22=$CI$18,S22=$CI$22,S22=$CI$23),K22,K22-(VLOOKUP(D22,'قائمة الأسعار'!$D$13:$G$47,4,FALSE)*J22*F22)/10000)))</f>
        <v>1.6639999999999999</v>
      </c>
      <c r="O22" s="612">
        <f>IF(S22=0,0,IF(T22="لون خاص",VLOOKUP(D22,'قائمة الأسعار'!$D$48:$G$62,4,0),VLOOKUP(D22,'قائمة الأسعار'!$D$13:$G$47,4,0)))</f>
        <v>5</v>
      </c>
      <c r="Q22" s="91"/>
      <c r="R22" s="199">
        <v>9</v>
      </c>
      <c r="S22" s="200" t="s">
        <v>419</v>
      </c>
      <c r="T22" s="200"/>
      <c r="U22" s="200"/>
      <c r="V22" s="201">
        <v>100</v>
      </c>
      <c r="W22" s="201">
        <v>150</v>
      </c>
      <c r="X22" s="201" t="s">
        <v>24</v>
      </c>
      <c r="Y22" s="201"/>
      <c r="Z22" s="201" t="b">
        <v>1</v>
      </c>
      <c r="AA22" s="200">
        <v>1</v>
      </c>
      <c r="AB22" s="201"/>
      <c r="AC22" s="219"/>
      <c r="AD22" s="620"/>
      <c r="AE22" s="620"/>
      <c r="AF22" s="621"/>
      <c r="AG22" s="193"/>
      <c r="AH22" s="202" t="str">
        <f t="shared" si="139"/>
        <v>غير مقبول فنياً</v>
      </c>
      <c r="AI22" s="203" t="str">
        <f t="shared" si="2"/>
        <v/>
      </c>
      <c r="AJ22" s="63"/>
      <c r="AK22" s="53"/>
      <c r="AL22" s="37"/>
      <c r="AM22" s="488"/>
      <c r="AN22" s="489">
        <f t="shared" si="41"/>
        <v>165</v>
      </c>
      <c r="AO22" s="490" cm="1">
        <f t="array" ref="AO22">IF(V22&lt;&gt;0,IF($AW$12=$BB$4,IF(X22=$BF$14,V22-1,IF(X22=$BF$13,V22+8.5,V22-7.5)),IF(X22=$BF$14,V22-1,IF(X22=$BF$13,IF(OR(S22=$CI$15:$CI$19,S22=$CI$38,S22=$CI$40),V22+3.6,IF(S22=$CI$39,V22+2.9,V22+4)),IF(OR(S22=$CI$15:$CI$19,S22=$CI$38,S22=$CI$40),V22-12.4,IF(S22=$CI$39,V22-13.1,V22-12))))),0)</f>
        <v>104</v>
      </c>
      <c r="AP22" s="491">
        <f t="shared" si="42"/>
        <v>166.90000000000003</v>
      </c>
      <c r="AQ22" s="491">
        <f t="shared" si="43"/>
        <v>33</v>
      </c>
      <c r="AR22" s="492">
        <f t="shared" si="44"/>
        <v>1.716</v>
      </c>
      <c r="AS22" s="493">
        <f t="shared" si="45"/>
        <v>18</v>
      </c>
      <c r="AT22" s="493">
        <f t="shared" si="46"/>
        <v>116</v>
      </c>
      <c r="AU22" s="493">
        <f t="shared" si="47"/>
        <v>116</v>
      </c>
      <c r="AV22" s="493">
        <f t="shared" si="48"/>
        <v>6</v>
      </c>
      <c r="AW22" s="494">
        <f t="shared" si="49"/>
        <v>4.5</v>
      </c>
      <c r="AX22" s="494">
        <f t="shared" si="50"/>
        <v>153</v>
      </c>
      <c r="AY22" s="494">
        <f t="shared" si="51"/>
        <v>153</v>
      </c>
      <c r="AZ22" s="495" t="str">
        <f t="shared" si="52"/>
        <v>نابضية ك</v>
      </c>
      <c r="BA22" s="495">
        <f t="shared" si="53"/>
        <v>3</v>
      </c>
      <c r="BB22" s="495">
        <f t="shared" si="54"/>
        <v>3</v>
      </c>
      <c r="BC22" s="496" cm="1">
        <f t="array" ref="BC22">IF(OR($AB22=$BF$22:$BF$40),$AB22,0)</f>
        <v>0</v>
      </c>
      <c r="BD22" s="496" cm="1">
        <f t="array" ref="BD22">IF(OR($AB22=$BF$22:$BF$40),IF(AC22=$CH$14,BK22,IF(AC22=$CH$13,BJ22,BI22)),0)</f>
        <v>0</v>
      </c>
      <c r="BE22" s="497" cm="1">
        <f t="array" ref="BE22">IF(OR(AB22=$BF$22:$BF$40),AA22,0)</f>
        <v>0</v>
      </c>
      <c r="BF22" s="511" t="s">
        <v>43</v>
      </c>
      <c r="BG22" s="485"/>
      <c r="BH22" s="499">
        <f t="shared" si="55"/>
        <v>4.29</v>
      </c>
      <c r="BI22" s="498">
        <f t="shared" si="56"/>
        <v>0</v>
      </c>
      <c r="BJ22" s="498">
        <f t="shared" si="57"/>
        <v>0</v>
      </c>
      <c r="BK22" s="498">
        <f t="shared" si="58"/>
        <v>0</v>
      </c>
      <c r="BL22" s="500">
        <f t="shared" si="59"/>
        <v>0</v>
      </c>
      <c r="BM22" s="500">
        <f t="shared" si="3"/>
        <v>0</v>
      </c>
      <c r="BN22" s="500">
        <f t="shared" si="4"/>
        <v>0</v>
      </c>
      <c r="BO22" s="500">
        <f t="shared" si="5"/>
        <v>0</v>
      </c>
      <c r="BP22" s="500">
        <f t="shared" si="6"/>
        <v>0</v>
      </c>
      <c r="BQ22" s="500">
        <f t="shared" si="7"/>
        <v>0</v>
      </c>
      <c r="BR22" s="500">
        <f t="shared" si="8"/>
        <v>0</v>
      </c>
      <c r="BS22" s="500">
        <f t="shared" si="9"/>
        <v>0</v>
      </c>
      <c r="BT22" s="496">
        <f t="shared" si="10"/>
        <v>0</v>
      </c>
      <c r="BU22" s="496">
        <f t="shared" si="11"/>
        <v>0</v>
      </c>
      <c r="BV22" s="496">
        <f t="shared" si="12"/>
        <v>0</v>
      </c>
      <c r="BW22" s="496">
        <f t="shared" si="13"/>
        <v>0</v>
      </c>
      <c r="BX22" s="496">
        <f t="shared" si="14"/>
        <v>0</v>
      </c>
      <c r="BY22" s="496">
        <f t="shared" si="15"/>
        <v>0</v>
      </c>
      <c r="BZ22" s="496">
        <f t="shared" si="60"/>
        <v>0</v>
      </c>
      <c r="CA22" s="496">
        <f t="shared" si="16"/>
        <v>0</v>
      </c>
      <c r="CB22" s="496">
        <f t="shared" si="17"/>
        <v>0</v>
      </c>
      <c r="CC22" s="496">
        <f t="shared" si="18"/>
        <v>0</v>
      </c>
      <c r="CD22" s="496">
        <f t="shared" si="19"/>
        <v>0</v>
      </c>
      <c r="CE22" s="501">
        <f t="shared" si="61"/>
        <v>0</v>
      </c>
      <c r="CF22" s="501">
        <f t="shared" si="62"/>
        <v>0</v>
      </c>
      <c r="CG22" s="502">
        <f t="shared" si="63"/>
        <v>0</v>
      </c>
      <c r="CH22" s="498">
        <v>9001</v>
      </c>
      <c r="CI22" s="487" t="s">
        <v>240</v>
      </c>
      <c r="CJ22" s="498">
        <v>15</v>
      </c>
      <c r="CK22" s="598">
        <v>9.5</v>
      </c>
      <c r="CL22" s="777"/>
      <c r="CM22" s="503">
        <f t="shared" si="142"/>
        <v>18</v>
      </c>
      <c r="CN22" s="504">
        <f t="shared" si="65"/>
        <v>18</v>
      </c>
      <c r="CO22" s="504">
        <f t="shared" si="66"/>
        <v>18</v>
      </c>
      <c r="CP22" s="504">
        <f t="shared" si="67"/>
        <v>18</v>
      </c>
      <c r="CQ22" s="504">
        <f t="shared" si="68"/>
        <v>18</v>
      </c>
      <c r="CR22" s="504">
        <f t="shared" si="69"/>
        <v>18</v>
      </c>
      <c r="CS22" s="504">
        <f t="shared" si="70"/>
        <v>18</v>
      </c>
      <c r="CT22" s="504">
        <f t="shared" si="71"/>
        <v>18</v>
      </c>
      <c r="CU22" s="504">
        <f t="shared" si="72"/>
        <v>18</v>
      </c>
      <c r="CV22" s="504">
        <f t="shared" si="73"/>
        <v>18</v>
      </c>
      <c r="CW22" s="504">
        <f t="shared" si="74"/>
        <v>18</v>
      </c>
      <c r="CX22" s="504">
        <f t="shared" si="75"/>
        <v>18</v>
      </c>
      <c r="CY22" s="504">
        <f t="shared" si="76"/>
        <v>18</v>
      </c>
      <c r="CZ22" s="504">
        <f t="shared" si="77"/>
        <v>18</v>
      </c>
      <c r="DA22" s="505">
        <f t="shared" si="78"/>
        <v>18</v>
      </c>
      <c r="DB22" s="571">
        <f t="shared" si="79"/>
        <v>18</v>
      </c>
      <c r="DC22" s="571">
        <f t="shared" si="80"/>
        <v>0</v>
      </c>
      <c r="DD22" s="571">
        <f t="shared" si="81"/>
        <v>0</v>
      </c>
      <c r="DE22" s="571">
        <f t="shared" si="82"/>
        <v>0</v>
      </c>
      <c r="DF22" s="571">
        <f t="shared" si="83"/>
        <v>0</v>
      </c>
      <c r="DG22" s="571">
        <f t="shared" si="84"/>
        <v>0</v>
      </c>
      <c r="DH22" s="571">
        <f t="shared" si="85"/>
        <v>0</v>
      </c>
      <c r="DI22" s="571">
        <f t="shared" si="86"/>
        <v>0</v>
      </c>
      <c r="DJ22" s="571">
        <f t="shared" si="87"/>
        <v>0</v>
      </c>
      <c r="DK22" s="571">
        <f t="shared" si="88"/>
        <v>0</v>
      </c>
      <c r="DL22" s="571">
        <f t="shared" si="89"/>
        <v>0</v>
      </c>
      <c r="DM22" s="571">
        <f t="shared" si="90"/>
        <v>0</v>
      </c>
      <c r="DN22" s="571">
        <f t="shared" si="91"/>
        <v>0</v>
      </c>
      <c r="DO22" s="571">
        <f t="shared" si="92"/>
        <v>0</v>
      </c>
      <c r="DP22" s="571">
        <f t="shared" si="93"/>
        <v>0</v>
      </c>
      <c r="DQ22" s="571">
        <f t="shared" si="20"/>
        <v>0</v>
      </c>
      <c r="DR22" s="571">
        <f t="shared" si="94"/>
        <v>0</v>
      </c>
      <c r="DS22" s="571">
        <f t="shared" si="95"/>
        <v>0</v>
      </c>
      <c r="DT22" s="571"/>
      <c r="DU22" s="571"/>
      <c r="DV22" s="777"/>
      <c r="DW22" s="503">
        <f t="shared" si="135"/>
        <v>6</v>
      </c>
      <c r="DX22" s="503">
        <f t="shared" si="136"/>
        <v>6</v>
      </c>
      <c r="DY22" s="503" cm="1">
        <f t="array" ref="DY22">IF($S22=DY$12,IF(AND(AO22&lt;=250,BH22&lt;=60),6,IF(OR(AO22&lt;=350,BH22&lt;=80),7,IF(OR(AND(AO22&gt;350,AO&lt;=120),BH22&lt;=120),9,12))),DZ22)</f>
        <v>6</v>
      </c>
      <c r="DZ22" s="504">
        <f t="shared" si="96"/>
        <v>6</v>
      </c>
      <c r="EA22" s="504">
        <f t="shared" si="97"/>
        <v>6</v>
      </c>
      <c r="EB22" s="504">
        <f t="shared" si="98"/>
        <v>6</v>
      </c>
      <c r="EC22" s="504">
        <f t="shared" si="99"/>
        <v>6</v>
      </c>
      <c r="ED22" s="504">
        <f t="shared" si="100"/>
        <v>6</v>
      </c>
      <c r="EE22" s="504">
        <f t="shared" si="101"/>
        <v>6</v>
      </c>
      <c r="EF22" s="504">
        <f t="shared" si="102"/>
        <v>6</v>
      </c>
      <c r="EG22" s="504">
        <f t="shared" si="103"/>
        <v>6</v>
      </c>
      <c r="EH22" s="504">
        <f t="shared" si="104"/>
        <v>6</v>
      </c>
      <c r="EI22" s="504">
        <f t="shared" si="105"/>
        <v>6</v>
      </c>
      <c r="EJ22" s="504">
        <f t="shared" si="106"/>
        <v>6</v>
      </c>
      <c r="EK22" s="505">
        <f t="shared" si="107"/>
        <v>6</v>
      </c>
      <c r="EL22" s="571">
        <f t="shared" ref="EL22:ET22" si="151">IF($S22=EL$12,IF(AND($AO22&lt;=320,$BH22&lt;=50),6,7),EM22)</f>
        <v>6</v>
      </c>
      <c r="EM22" s="571">
        <f t="shared" si="151"/>
        <v>0</v>
      </c>
      <c r="EN22" s="571">
        <f t="shared" si="151"/>
        <v>0</v>
      </c>
      <c r="EO22" s="571">
        <f t="shared" si="151"/>
        <v>0</v>
      </c>
      <c r="EP22" s="571">
        <f t="shared" si="151"/>
        <v>0</v>
      </c>
      <c r="EQ22" s="571">
        <f t="shared" si="151"/>
        <v>0</v>
      </c>
      <c r="ER22" s="571">
        <f t="shared" si="151"/>
        <v>0</v>
      </c>
      <c r="ES22" s="571">
        <f t="shared" si="151"/>
        <v>0</v>
      </c>
      <c r="ET22" s="571">
        <f t="shared" si="151"/>
        <v>0</v>
      </c>
      <c r="EU22" s="571">
        <f t="shared" si="109"/>
        <v>0</v>
      </c>
      <c r="EV22" s="571">
        <f t="shared" ref="EV22:FA22" si="152">IF($S22=EV$12,IF(AND($AO22&lt;=320,$BH22&lt;=50),6,7),EW22)</f>
        <v>0</v>
      </c>
      <c r="EW22" s="571">
        <f t="shared" si="152"/>
        <v>0</v>
      </c>
      <c r="EX22" s="571">
        <f t="shared" si="152"/>
        <v>0</v>
      </c>
      <c r="EY22" s="571">
        <f t="shared" si="152"/>
        <v>0</v>
      </c>
      <c r="EZ22" s="571">
        <f t="shared" si="152"/>
        <v>0</v>
      </c>
      <c r="FA22" s="571">
        <f t="shared" si="152"/>
        <v>0</v>
      </c>
      <c r="FB22" s="571">
        <f t="shared" si="23"/>
        <v>0</v>
      </c>
      <c r="FC22" s="571">
        <f t="shared" si="111"/>
        <v>0</v>
      </c>
      <c r="FD22" s="571"/>
      <c r="FE22" s="571"/>
      <c r="FF22" s="571"/>
      <c r="FG22" s="571"/>
      <c r="FH22" s="443"/>
      <c r="FI22" s="505">
        <f t="shared" si="112"/>
        <v>8</v>
      </c>
      <c r="FJ22" s="505">
        <f t="shared" si="113"/>
        <v>6</v>
      </c>
      <c r="FK22" s="505">
        <f t="shared" si="114"/>
        <v>6</v>
      </c>
      <c r="FL22" s="505">
        <f t="shared" si="115"/>
        <v>6</v>
      </c>
      <c r="FM22" s="505">
        <f t="shared" si="116"/>
        <v>6</v>
      </c>
      <c r="FN22" s="505">
        <f t="shared" si="117"/>
        <v>10</v>
      </c>
      <c r="FO22" s="505">
        <f t="shared" si="118"/>
        <v>10</v>
      </c>
      <c r="FP22" s="571"/>
      <c r="FQ22" s="571"/>
      <c r="FR22" s="571"/>
      <c r="FS22" s="571"/>
      <c r="FT22" s="571"/>
      <c r="FU22" s="571"/>
      <c r="FV22" s="571"/>
      <c r="FW22" s="571"/>
      <c r="FX22" s="571"/>
      <c r="FY22" s="571"/>
      <c r="FZ22" s="571"/>
      <c r="GA22" s="571"/>
      <c r="GB22" s="571"/>
      <c r="GC22" s="571"/>
      <c r="GD22" s="443"/>
      <c r="GE22" s="505">
        <f t="shared" si="119"/>
        <v>6</v>
      </c>
      <c r="GF22" s="505">
        <f t="shared" si="120"/>
        <v>6</v>
      </c>
      <c r="GG22" s="505">
        <f t="shared" si="121"/>
        <v>6</v>
      </c>
      <c r="GH22" s="505">
        <f t="shared" si="122"/>
        <v>6</v>
      </c>
      <c r="GI22" s="505">
        <f t="shared" si="123"/>
        <v>6</v>
      </c>
      <c r="GJ22" s="505">
        <f t="shared" si="124"/>
        <v>8</v>
      </c>
      <c r="GK22" s="505">
        <f t="shared" si="125"/>
        <v>10</v>
      </c>
      <c r="GL22" s="571"/>
      <c r="GM22" s="571"/>
      <c r="GN22" s="571"/>
      <c r="GO22" s="571"/>
      <c r="GP22" s="571"/>
      <c r="GQ22" s="571"/>
      <c r="GR22" s="571"/>
      <c r="GS22" s="571"/>
      <c r="GT22" s="571"/>
      <c r="GU22" s="571"/>
      <c r="GV22" s="571"/>
      <c r="GW22" s="571"/>
      <c r="GX22" s="506"/>
      <c r="GY22" s="507">
        <f t="shared" si="126"/>
        <v>10</v>
      </c>
      <c r="GZ22" s="505">
        <f t="shared" si="127"/>
        <v>10</v>
      </c>
      <c r="HA22" s="505">
        <f t="shared" si="128"/>
        <v>10</v>
      </c>
      <c r="HB22" s="505">
        <f t="shared" si="129"/>
        <v>6</v>
      </c>
      <c r="HC22" s="505">
        <f t="shared" si="130"/>
        <v>6</v>
      </c>
      <c r="HD22" s="505">
        <f t="shared" si="131"/>
        <v>10</v>
      </c>
      <c r="HE22" s="505">
        <f t="shared" si="132"/>
        <v>10</v>
      </c>
      <c r="HF22" s="571"/>
      <c r="HG22" s="571"/>
      <c r="HH22" s="571"/>
      <c r="HI22" s="571"/>
      <c r="HJ22" s="571"/>
      <c r="HK22" s="571"/>
      <c r="HL22" s="571"/>
      <c r="HM22" s="571"/>
      <c r="HN22" s="571"/>
      <c r="HO22" s="571"/>
      <c r="HP22" s="571"/>
      <c r="HQ22" s="571"/>
      <c r="HR22" s="571"/>
      <c r="HS22" s="777"/>
      <c r="HT22" s="508">
        <f t="shared" si="24"/>
        <v>0</v>
      </c>
      <c r="HU22" s="509">
        <f t="shared" si="25"/>
        <v>104</v>
      </c>
      <c r="HV22" s="510">
        <f t="shared" si="26"/>
        <v>1</v>
      </c>
      <c r="HW22" s="543"/>
      <c r="HX22" s="548" t="s">
        <v>241</v>
      </c>
      <c r="HY22" s="548">
        <v>500</v>
      </c>
      <c r="HZ22" s="548">
        <v>400</v>
      </c>
      <c r="IA22" s="546" t="str">
        <f t="shared" si="133"/>
        <v>غ</v>
      </c>
      <c r="IB22" s="547" t="str">
        <f t="shared" si="134"/>
        <v>غ</v>
      </c>
      <c r="IC22" s="554">
        <f t="shared" si="27"/>
        <v>1.5</v>
      </c>
      <c r="ID22" s="545" t="str">
        <f t="shared" si="28"/>
        <v/>
      </c>
      <c r="IE22" s="222">
        <f t="shared" si="29"/>
        <v>0</v>
      </c>
      <c r="IF22" s="230">
        <f t="shared" si="30"/>
        <v>0</v>
      </c>
      <c r="IG22" s="228">
        <f t="shared" si="31"/>
        <v>0</v>
      </c>
      <c r="IH22" s="423">
        <f t="shared" si="32"/>
        <v>0</v>
      </c>
      <c r="II22" s="425">
        <f t="shared" si="33"/>
        <v>0</v>
      </c>
    </row>
    <row r="23" spans="2:244" s="40" customFormat="1" ht="24.75" customHeight="1" x14ac:dyDescent="0.35">
      <c r="B23" s="258"/>
      <c r="C23" s="310">
        <f t="shared" si="34"/>
        <v>10</v>
      </c>
      <c r="D23" s="311" t="str">
        <f>IF(S23=0,0,VLOOKUP(S23,'قائمة الأسعار'!$C$13:$H$45,2,0))</f>
        <v>شريحة النيل 5سم NGS</v>
      </c>
      <c r="E23" s="312">
        <f t="shared" si="35"/>
        <v>0</v>
      </c>
      <c r="F23" s="313">
        <f t="shared" si="36"/>
        <v>104</v>
      </c>
      <c r="G23" s="313">
        <f t="shared" si="37"/>
        <v>165</v>
      </c>
      <c r="H23" s="314">
        <f t="shared" si="38"/>
        <v>33</v>
      </c>
      <c r="I23" s="315">
        <f t="shared" si="39"/>
        <v>1.716</v>
      </c>
      <c r="J23" s="316">
        <f t="shared" si="0"/>
        <v>1</v>
      </c>
      <c r="K23" s="315">
        <f t="shared" si="40"/>
        <v>1.716</v>
      </c>
      <c r="L23" s="317" t="e">
        <f>IF(S23=0,0,IF(T23="لون خاص",VLOOKUP(D23,'قائمة الأسعار'!$D$48:$F$62,3,0),VLOOKUP(D23,'قائمة الأسعار'!$D$13:$F$27,3,0)))</f>
        <v>#N/A</v>
      </c>
      <c r="M23" s="318" t="e">
        <f t="shared" si="1"/>
        <v>#N/A</v>
      </c>
      <c r="N23" s="315">
        <f>IF(S23=0,0,(IF(OR(S23=$CI$17,S23=$CI$18,S23=$CI$22,S23=$CI$23),K23,K23-(VLOOKUP(D23,'قائمة الأسعار'!$D$13:$G$47,4,FALSE)*J23*F23)/10000)))</f>
        <v>1.6639999999999999</v>
      </c>
      <c r="O23" s="612">
        <f>IF(S23=0,0,IF(T23="لون خاص",VLOOKUP(D23,'قائمة الأسعار'!$D$48:$G$62,4,0),VLOOKUP(D23,'قائمة الأسعار'!$D$13:$G$47,4,0)))</f>
        <v>5</v>
      </c>
      <c r="Q23" s="91"/>
      <c r="R23" s="204">
        <v>10</v>
      </c>
      <c r="S23" s="200" t="s">
        <v>420</v>
      </c>
      <c r="T23" s="200"/>
      <c r="U23" s="200"/>
      <c r="V23" s="201">
        <v>100</v>
      </c>
      <c r="W23" s="201">
        <v>150</v>
      </c>
      <c r="X23" s="201" t="s">
        <v>24</v>
      </c>
      <c r="Y23" s="201"/>
      <c r="Z23" s="201" t="b">
        <v>1</v>
      </c>
      <c r="AA23" s="200">
        <v>1</v>
      </c>
      <c r="AB23" s="201"/>
      <c r="AC23" s="219"/>
      <c r="AD23" s="620"/>
      <c r="AE23" s="620"/>
      <c r="AF23" s="621"/>
      <c r="AG23" s="193"/>
      <c r="AH23" s="202" t="str">
        <f t="shared" si="139"/>
        <v>غير مقبول فنياً</v>
      </c>
      <c r="AI23" s="203" t="str">
        <f t="shared" si="2"/>
        <v/>
      </c>
      <c r="AJ23" s="63"/>
      <c r="AK23" s="53"/>
      <c r="AL23" s="37"/>
      <c r="AM23" s="488"/>
      <c r="AN23" s="489">
        <f t="shared" si="41"/>
        <v>165</v>
      </c>
      <c r="AO23" s="490" cm="1">
        <f t="array" ref="AO23">IF(V23&lt;&gt;0,IF($AW$12=$BB$4,IF(X23=$BF$14,V23-1,IF(X23=$BF$13,V23+8.5,V23-7.5)),IF(X23=$BF$14,V23-1,IF(X23=$BF$13,IF(OR(S23=$CI$15:$CI$19,S23=$CI$38,S23=$CI$40),V23+3.6,IF(S23=$CI$39,V23+2.9,V23+4)),IF(OR(S23=$CI$15:$CI$19,S23=$CI$38,S23=$CI$40),V23-12.4,IF(S23=$CI$39,V23-13.1,V23-12))))),0)</f>
        <v>104</v>
      </c>
      <c r="AP23" s="491">
        <f t="shared" si="42"/>
        <v>166.90000000000003</v>
      </c>
      <c r="AQ23" s="491">
        <f t="shared" si="43"/>
        <v>33</v>
      </c>
      <c r="AR23" s="492">
        <f t="shared" si="44"/>
        <v>1.716</v>
      </c>
      <c r="AS23" s="493">
        <f t="shared" si="45"/>
        <v>20</v>
      </c>
      <c r="AT23" s="493">
        <f t="shared" si="46"/>
        <v>116</v>
      </c>
      <c r="AU23" s="493">
        <f t="shared" si="47"/>
        <v>116</v>
      </c>
      <c r="AV23" s="493">
        <f t="shared" si="48"/>
        <v>6</v>
      </c>
      <c r="AW23" s="494">
        <f t="shared" si="49"/>
        <v>4.5</v>
      </c>
      <c r="AX23" s="494">
        <f t="shared" si="50"/>
        <v>153</v>
      </c>
      <c r="AY23" s="494">
        <f t="shared" si="51"/>
        <v>153</v>
      </c>
      <c r="AZ23" s="495" t="str">
        <f t="shared" si="52"/>
        <v>نابضية ك</v>
      </c>
      <c r="BA23" s="495">
        <f t="shared" si="53"/>
        <v>3</v>
      </c>
      <c r="BB23" s="495">
        <f t="shared" si="54"/>
        <v>3</v>
      </c>
      <c r="BC23" s="496" cm="1">
        <f t="array" ref="BC23">IF(OR($AB23=$BF$22:$BF$40),$AB23,0)</f>
        <v>0</v>
      </c>
      <c r="BD23" s="496" cm="1">
        <f t="array" ref="BD23">IF(OR($AB23=$BF$22:$BF$40),IF(AC23=$CH$14,BK23,IF(AC23=$CH$13,BJ23,BI23)),0)</f>
        <v>0</v>
      </c>
      <c r="BE23" s="497" cm="1">
        <f t="array" ref="BE23">IF(OR(AB23=$BF$22:$BF$40),AA23,0)</f>
        <v>0</v>
      </c>
      <c r="BF23" s="511" t="s">
        <v>232</v>
      </c>
      <c r="BG23" s="485"/>
      <c r="BH23" s="499">
        <f t="shared" si="55"/>
        <v>8.58</v>
      </c>
      <c r="BI23" s="498">
        <f t="shared" si="56"/>
        <v>0</v>
      </c>
      <c r="BJ23" s="498">
        <f t="shared" si="57"/>
        <v>0</v>
      </c>
      <c r="BK23" s="498">
        <f t="shared" si="58"/>
        <v>0</v>
      </c>
      <c r="BL23" s="500">
        <f t="shared" si="59"/>
        <v>0</v>
      </c>
      <c r="BM23" s="500">
        <f t="shared" si="3"/>
        <v>0</v>
      </c>
      <c r="BN23" s="500">
        <f t="shared" si="4"/>
        <v>0</v>
      </c>
      <c r="BO23" s="500">
        <f t="shared" si="5"/>
        <v>0</v>
      </c>
      <c r="BP23" s="500">
        <f t="shared" si="6"/>
        <v>0</v>
      </c>
      <c r="BQ23" s="500">
        <f t="shared" si="7"/>
        <v>0</v>
      </c>
      <c r="BR23" s="500">
        <f t="shared" si="8"/>
        <v>0</v>
      </c>
      <c r="BS23" s="500">
        <f t="shared" si="9"/>
        <v>0</v>
      </c>
      <c r="BT23" s="496">
        <f t="shared" si="10"/>
        <v>0</v>
      </c>
      <c r="BU23" s="496">
        <f t="shared" si="11"/>
        <v>0</v>
      </c>
      <c r="BV23" s="496">
        <f t="shared" si="12"/>
        <v>0</v>
      </c>
      <c r="BW23" s="496">
        <f t="shared" si="13"/>
        <v>0</v>
      </c>
      <c r="BX23" s="496">
        <f t="shared" si="14"/>
        <v>0</v>
      </c>
      <c r="BY23" s="496">
        <f t="shared" si="15"/>
        <v>0</v>
      </c>
      <c r="BZ23" s="496">
        <f t="shared" si="60"/>
        <v>0</v>
      </c>
      <c r="CA23" s="496">
        <f t="shared" si="16"/>
        <v>0</v>
      </c>
      <c r="CB23" s="496">
        <f t="shared" si="17"/>
        <v>0</v>
      </c>
      <c r="CC23" s="496">
        <f t="shared" si="18"/>
        <v>0</v>
      </c>
      <c r="CD23" s="496">
        <f t="shared" si="19"/>
        <v>0</v>
      </c>
      <c r="CE23" s="501">
        <f t="shared" si="61"/>
        <v>0</v>
      </c>
      <c r="CF23" s="501">
        <f t="shared" si="62"/>
        <v>0</v>
      </c>
      <c r="CG23" s="502">
        <f t="shared" si="63"/>
        <v>0</v>
      </c>
      <c r="CH23" s="485" t="s">
        <v>414</v>
      </c>
      <c r="CI23" s="498" t="s">
        <v>241</v>
      </c>
      <c r="CJ23" s="498">
        <v>15</v>
      </c>
      <c r="CK23" s="598">
        <v>8.5</v>
      </c>
      <c r="CL23" s="777"/>
      <c r="CM23" s="503">
        <f t="shared" si="142"/>
        <v>20</v>
      </c>
      <c r="CN23" s="504">
        <f t="shared" si="65"/>
        <v>20</v>
      </c>
      <c r="CO23" s="504">
        <f t="shared" si="66"/>
        <v>20</v>
      </c>
      <c r="CP23" s="504">
        <f t="shared" si="67"/>
        <v>20</v>
      </c>
      <c r="CQ23" s="504">
        <f t="shared" si="68"/>
        <v>20</v>
      </c>
      <c r="CR23" s="504">
        <f t="shared" si="69"/>
        <v>20</v>
      </c>
      <c r="CS23" s="504">
        <f t="shared" si="70"/>
        <v>20</v>
      </c>
      <c r="CT23" s="504">
        <f t="shared" si="71"/>
        <v>20</v>
      </c>
      <c r="CU23" s="504">
        <f t="shared" si="72"/>
        <v>20</v>
      </c>
      <c r="CV23" s="504">
        <f t="shared" si="73"/>
        <v>20</v>
      </c>
      <c r="CW23" s="504">
        <f t="shared" si="74"/>
        <v>20</v>
      </c>
      <c r="CX23" s="504">
        <f t="shared" si="75"/>
        <v>20</v>
      </c>
      <c r="CY23" s="504">
        <f t="shared" si="76"/>
        <v>20</v>
      </c>
      <c r="CZ23" s="504">
        <f t="shared" si="77"/>
        <v>20</v>
      </c>
      <c r="DA23" s="505">
        <f t="shared" si="78"/>
        <v>20</v>
      </c>
      <c r="DB23" s="571">
        <f t="shared" si="79"/>
        <v>20</v>
      </c>
      <c r="DC23" s="571">
        <f t="shared" si="80"/>
        <v>20</v>
      </c>
      <c r="DD23" s="571">
        <f t="shared" si="81"/>
        <v>0</v>
      </c>
      <c r="DE23" s="571">
        <f t="shared" si="82"/>
        <v>0</v>
      </c>
      <c r="DF23" s="571">
        <f t="shared" si="83"/>
        <v>0</v>
      </c>
      <c r="DG23" s="571">
        <f t="shared" si="84"/>
        <v>0</v>
      </c>
      <c r="DH23" s="571">
        <f t="shared" si="85"/>
        <v>0</v>
      </c>
      <c r="DI23" s="571">
        <f t="shared" si="86"/>
        <v>0</v>
      </c>
      <c r="DJ23" s="571">
        <f t="shared" si="87"/>
        <v>0</v>
      </c>
      <c r="DK23" s="571">
        <f t="shared" si="88"/>
        <v>0</v>
      </c>
      <c r="DL23" s="571">
        <f t="shared" si="89"/>
        <v>0</v>
      </c>
      <c r="DM23" s="571">
        <f t="shared" si="90"/>
        <v>0</v>
      </c>
      <c r="DN23" s="571">
        <f t="shared" si="91"/>
        <v>0</v>
      </c>
      <c r="DO23" s="571">
        <f t="shared" si="92"/>
        <v>0</v>
      </c>
      <c r="DP23" s="571">
        <f t="shared" si="93"/>
        <v>0</v>
      </c>
      <c r="DQ23" s="571">
        <f t="shared" si="20"/>
        <v>0</v>
      </c>
      <c r="DR23" s="571">
        <f t="shared" si="94"/>
        <v>0</v>
      </c>
      <c r="DS23" s="571">
        <f t="shared" si="95"/>
        <v>0</v>
      </c>
      <c r="DT23" s="571"/>
      <c r="DU23" s="571"/>
      <c r="DV23" s="777"/>
      <c r="DW23" s="503">
        <f t="shared" si="135"/>
        <v>6</v>
      </c>
      <c r="DX23" s="503">
        <f t="shared" si="136"/>
        <v>6</v>
      </c>
      <c r="DY23" s="503" cm="1">
        <f t="array" ref="DY23">IF($S23=DY$12,IF(AND(AO23&lt;=250,BH23&lt;=60),6,IF(OR(AO23&lt;=350,BH23&lt;=80),7,IF(OR(AND(AO23&gt;350,AO&lt;=120),BH23&lt;=120),9,12))),DZ23)</f>
        <v>6</v>
      </c>
      <c r="DZ23" s="504">
        <f t="shared" si="96"/>
        <v>6</v>
      </c>
      <c r="EA23" s="504">
        <f t="shared" si="97"/>
        <v>6</v>
      </c>
      <c r="EB23" s="504">
        <f t="shared" si="98"/>
        <v>6</v>
      </c>
      <c r="EC23" s="504">
        <f t="shared" si="99"/>
        <v>6</v>
      </c>
      <c r="ED23" s="504">
        <f t="shared" si="100"/>
        <v>6</v>
      </c>
      <c r="EE23" s="504">
        <f t="shared" si="101"/>
        <v>6</v>
      </c>
      <c r="EF23" s="504">
        <f t="shared" si="102"/>
        <v>6</v>
      </c>
      <c r="EG23" s="504">
        <f t="shared" si="103"/>
        <v>6</v>
      </c>
      <c r="EH23" s="504">
        <f t="shared" si="104"/>
        <v>6</v>
      </c>
      <c r="EI23" s="504">
        <f t="shared" si="105"/>
        <v>6</v>
      </c>
      <c r="EJ23" s="504">
        <f t="shared" si="106"/>
        <v>6</v>
      </c>
      <c r="EK23" s="505">
        <f t="shared" si="107"/>
        <v>6</v>
      </c>
      <c r="EL23" s="571">
        <f t="shared" ref="EL23:ET23" si="153">IF($S23=EL$12,IF(AND($AO23&lt;=320,$BH23&lt;=50),6,7),EM23)</f>
        <v>6</v>
      </c>
      <c r="EM23" s="571">
        <f t="shared" si="153"/>
        <v>6</v>
      </c>
      <c r="EN23" s="571">
        <f t="shared" si="153"/>
        <v>0</v>
      </c>
      <c r="EO23" s="571">
        <f t="shared" si="153"/>
        <v>0</v>
      </c>
      <c r="EP23" s="571">
        <f t="shared" si="153"/>
        <v>0</v>
      </c>
      <c r="EQ23" s="571">
        <f t="shared" si="153"/>
        <v>0</v>
      </c>
      <c r="ER23" s="571">
        <f t="shared" si="153"/>
        <v>0</v>
      </c>
      <c r="ES23" s="571">
        <f t="shared" si="153"/>
        <v>0</v>
      </c>
      <c r="ET23" s="571">
        <f t="shared" si="153"/>
        <v>0</v>
      </c>
      <c r="EU23" s="571">
        <f t="shared" si="109"/>
        <v>0</v>
      </c>
      <c r="EV23" s="571">
        <f t="shared" ref="EV23:FA23" si="154">IF($S23=EV$12,IF(AND($AO23&lt;=320,$BH23&lt;=50),6,7),EW23)</f>
        <v>0</v>
      </c>
      <c r="EW23" s="571">
        <f t="shared" si="154"/>
        <v>0</v>
      </c>
      <c r="EX23" s="571">
        <f t="shared" si="154"/>
        <v>0</v>
      </c>
      <c r="EY23" s="571">
        <f t="shared" si="154"/>
        <v>0</v>
      </c>
      <c r="EZ23" s="571">
        <f t="shared" si="154"/>
        <v>0</v>
      </c>
      <c r="FA23" s="571">
        <f t="shared" si="154"/>
        <v>0</v>
      </c>
      <c r="FB23" s="571">
        <f t="shared" si="23"/>
        <v>0</v>
      </c>
      <c r="FC23" s="571">
        <f t="shared" si="111"/>
        <v>0</v>
      </c>
      <c r="FD23" s="571"/>
      <c r="FE23" s="571"/>
      <c r="FF23" s="571"/>
      <c r="FG23" s="571"/>
      <c r="FH23" s="443"/>
      <c r="FI23" s="505">
        <f t="shared" si="112"/>
        <v>10</v>
      </c>
      <c r="FJ23" s="505">
        <f t="shared" si="113"/>
        <v>10</v>
      </c>
      <c r="FK23" s="505">
        <f t="shared" si="114"/>
        <v>10</v>
      </c>
      <c r="FL23" s="505">
        <f t="shared" si="115"/>
        <v>10</v>
      </c>
      <c r="FM23" s="505">
        <f t="shared" si="116"/>
        <v>10</v>
      </c>
      <c r="FN23" s="505">
        <f t="shared" si="117"/>
        <v>10</v>
      </c>
      <c r="FO23" s="505">
        <f t="shared" si="118"/>
        <v>10</v>
      </c>
      <c r="FP23" s="571"/>
      <c r="FQ23" s="571"/>
      <c r="FR23" s="571"/>
      <c r="FS23" s="571"/>
      <c r="FT23" s="571"/>
      <c r="FU23" s="571"/>
      <c r="FV23" s="571"/>
      <c r="FW23" s="571"/>
      <c r="FX23" s="571"/>
      <c r="FY23" s="571"/>
      <c r="FZ23" s="571"/>
      <c r="GA23" s="571"/>
      <c r="GB23" s="571"/>
      <c r="GC23" s="571"/>
      <c r="GD23" s="443"/>
      <c r="GE23" s="505">
        <f t="shared" si="119"/>
        <v>10</v>
      </c>
      <c r="GF23" s="505">
        <f t="shared" si="120"/>
        <v>10</v>
      </c>
      <c r="GG23" s="505">
        <f t="shared" si="121"/>
        <v>10</v>
      </c>
      <c r="GH23" s="505">
        <f t="shared" si="122"/>
        <v>10</v>
      </c>
      <c r="GI23" s="505">
        <f t="shared" si="123"/>
        <v>10</v>
      </c>
      <c r="GJ23" s="505">
        <f t="shared" si="124"/>
        <v>10</v>
      </c>
      <c r="GK23" s="505">
        <f t="shared" si="125"/>
        <v>10</v>
      </c>
      <c r="GL23" s="571"/>
      <c r="GM23" s="571"/>
      <c r="GN23" s="571"/>
      <c r="GO23" s="571"/>
      <c r="GP23" s="571"/>
      <c r="GQ23" s="571"/>
      <c r="GR23" s="571"/>
      <c r="GS23" s="571"/>
      <c r="GT23" s="571"/>
      <c r="GU23" s="571"/>
      <c r="GV23" s="571"/>
      <c r="GW23" s="571"/>
      <c r="GX23" s="506"/>
      <c r="GY23" s="507">
        <f t="shared" si="126"/>
        <v>10</v>
      </c>
      <c r="GZ23" s="505">
        <f t="shared" si="127"/>
        <v>10</v>
      </c>
      <c r="HA23" s="505">
        <f t="shared" si="128"/>
        <v>10</v>
      </c>
      <c r="HB23" s="505">
        <f t="shared" si="129"/>
        <v>10</v>
      </c>
      <c r="HC23" s="505">
        <f t="shared" si="130"/>
        <v>10</v>
      </c>
      <c r="HD23" s="505">
        <f t="shared" si="131"/>
        <v>10</v>
      </c>
      <c r="HE23" s="505">
        <f t="shared" si="132"/>
        <v>10</v>
      </c>
      <c r="HF23" s="571"/>
      <c r="HG23" s="571"/>
      <c r="HH23" s="571"/>
      <c r="HI23" s="571"/>
      <c r="HJ23" s="571"/>
      <c r="HK23" s="571"/>
      <c r="HL23" s="571"/>
      <c r="HM23" s="571"/>
      <c r="HN23" s="571"/>
      <c r="HO23" s="571"/>
      <c r="HP23" s="571"/>
      <c r="HQ23" s="571"/>
      <c r="HR23" s="571"/>
      <c r="HS23" s="777"/>
      <c r="HT23" s="508">
        <f t="shared" si="24"/>
        <v>0</v>
      </c>
      <c r="HU23" s="509">
        <f t="shared" si="25"/>
        <v>104</v>
      </c>
      <c r="HV23" s="510">
        <f t="shared" si="26"/>
        <v>1</v>
      </c>
      <c r="HW23" s="543"/>
      <c r="HX23" s="549" t="s">
        <v>242</v>
      </c>
      <c r="HY23" s="548">
        <v>315</v>
      </c>
      <c r="HZ23" s="548">
        <v>250</v>
      </c>
      <c r="IA23" s="546" t="str">
        <f t="shared" si="133"/>
        <v>غ</v>
      </c>
      <c r="IB23" s="547" t="str">
        <f t="shared" si="134"/>
        <v>غ</v>
      </c>
      <c r="IC23" s="554">
        <f t="shared" si="27"/>
        <v>1.5</v>
      </c>
      <c r="ID23" s="545" t="str">
        <f t="shared" si="28"/>
        <v/>
      </c>
      <c r="IE23" s="222">
        <f t="shared" si="29"/>
        <v>0</v>
      </c>
      <c r="IF23" s="230">
        <f t="shared" si="30"/>
        <v>0</v>
      </c>
      <c r="IG23" s="228">
        <f t="shared" si="31"/>
        <v>0</v>
      </c>
      <c r="IH23" s="423">
        <f t="shared" si="32"/>
        <v>0</v>
      </c>
      <c r="II23" s="425">
        <f t="shared" si="33"/>
        <v>0</v>
      </c>
    </row>
    <row r="24" spans="2:244" s="40" customFormat="1" ht="24.75" customHeight="1" x14ac:dyDescent="0.35">
      <c r="B24" s="258"/>
      <c r="C24" s="310">
        <f t="shared" ref="C24:C37" si="155">R24</f>
        <v>11</v>
      </c>
      <c r="D24" s="311" t="str">
        <f>IF(S24=0,0,VLOOKUP(S24,'قائمة الأسعار'!$C$13:$H$45,2,0))</f>
        <v>شريحة النيل 5.5 زنكاليوم</v>
      </c>
      <c r="E24" s="312">
        <f t="shared" ref="E24:E33" si="156">T24</f>
        <v>0</v>
      </c>
      <c r="F24" s="313">
        <f t="shared" si="36"/>
        <v>104</v>
      </c>
      <c r="G24" s="313">
        <f t="shared" si="37"/>
        <v>165</v>
      </c>
      <c r="H24" s="314">
        <f t="shared" si="38"/>
        <v>30</v>
      </c>
      <c r="I24" s="315">
        <f t="shared" si="39"/>
        <v>1.716</v>
      </c>
      <c r="J24" s="316">
        <f t="shared" ref="J24:J33" si="157">AA24</f>
        <v>1</v>
      </c>
      <c r="K24" s="315">
        <f t="shared" ref="K24:K33" si="158">J24*I24</f>
        <v>1.716</v>
      </c>
      <c r="L24" s="317" t="e">
        <f>IF(S24=0,0,IF(T24="لون خاص",VLOOKUP(D24,'قائمة الأسعار'!$D$48:$F$62,3,0),VLOOKUP(D24,'قائمة الأسعار'!$D$13:$F$27,3,0)))</f>
        <v>#N/A</v>
      </c>
      <c r="M24" s="318" t="e">
        <f t="shared" ref="M24:M33" si="159">L24*J24*I24</f>
        <v>#N/A</v>
      </c>
      <c r="N24" s="315">
        <f>IF(S24=0,0,(IF(OR(S24=$CI$17,S24=$CI$18,S24=$CI$22,S24=$CI$23),K24,K24-(VLOOKUP(D24,'قائمة الأسعار'!$D$13:$G$47,4,FALSE)*J24*F24)/10000)))</f>
        <v>1.6588000000000001</v>
      </c>
      <c r="O24" s="612">
        <f>IF(S24=0,0,IF(T24="لون خاص",VLOOKUP(D24,'قائمة الأسعار'!$D$48:$G$62,4,0),VLOOKUP(D24,'قائمة الأسعار'!$D$13:$G$47,4,0)))</f>
        <v>5.5</v>
      </c>
      <c r="Q24" s="91"/>
      <c r="R24" s="204">
        <v>11</v>
      </c>
      <c r="S24" s="200" t="s">
        <v>422</v>
      </c>
      <c r="T24" s="200"/>
      <c r="U24" s="200"/>
      <c r="V24" s="201">
        <v>100</v>
      </c>
      <c r="W24" s="201">
        <v>150</v>
      </c>
      <c r="X24" s="201" t="s">
        <v>24</v>
      </c>
      <c r="Y24" s="201"/>
      <c r="Z24" s="201" t="b">
        <v>1</v>
      </c>
      <c r="AA24" s="200">
        <v>1</v>
      </c>
      <c r="AB24" s="201"/>
      <c r="AC24" s="219"/>
      <c r="AD24" s="620"/>
      <c r="AE24" s="620"/>
      <c r="AF24" s="621"/>
      <c r="AG24" s="193"/>
      <c r="AH24" s="202" t="str">
        <f t="shared" si="139"/>
        <v>غير مقبول فنياً</v>
      </c>
      <c r="AI24" s="203" t="str">
        <f t="shared" si="2"/>
        <v/>
      </c>
      <c r="AJ24" s="63"/>
      <c r="AK24" s="53"/>
      <c r="AL24" s="37"/>
      <c r="AM24" s="488"/>
      <c r="AN24" s="489">
        <f t="shared" si="41"/>
        <v>165</v>
      </c>
      <c r="AO24" s="490" cm="1">
        <f t="array" ref="AO24">IF(V24&lt;&gt;0,IF($AW$12=$BB$4,IF(X24=$BF$14,V24-1,IF(X24=$BF$13,V24+8.5,V24-7.5)),IF(X24=$BF$14,V24-1,IF(X24=$BF$13,IF(OR(S24=$CI$15:$CI$19,S24=$CI$38,S24=$CI$40),V24+3.6,IF(S24=$CI$39,V24+2.9,V24+4)),IF(OR(S24=$CI$15:$CI$19,S24=$CI$38,S24=$CI$40),V24-12.4,IF(S24=$CI$39,V24-13.1,V24-12))))),0)</f>
        <v>104</v>
      </c>
      <c r="AP24" s="491">
        <f t="shared" si="42"/>
        <v>166.5</v>
      </c>
      <c r="AQ24" s="491">
        <f t="shared" si="43"/>
        <v>30</v>
      </c>
      <c r="AR24" s="492">
        <f t="shared" si="44"/>
        <v>1.716</v>
      </c>
      <c r="AS24" s="493">
        <f t="shared" si="45"/>
        <v>20</v>
      </c>
      <c r="AT24" s="493">
        <f t="shared" si="46"/>
        <v>116</v>
      </c>
      <c r="AU24" s="493">
        <f t="shared" si="47"/>
        <v>116</v>
      </c>
      <c r="AV24" s="493">
        <f t="shared" si="48"/>
        <v>6</v>
      </c>
      <c r="AW24" s="494">
        <f t="shared" si="49"/>
        <v>5.8</v>
      </c>
      <c r="AX24" s="494">
        <f t="shared" si="50"/>
        <v>153</v>
      </c>
      <c r="AY24" s="494">
        <f t="shared" si="51"/>
        <v>153</v>
      </c>
      <c r="AZ24" s="495">
        <f t="shared" si="52"/>
        <v>6</v>
      </c>
      <c r="BA24" s="495">
        <f t="shared" si="53"/>
        <v>2</v>
      </c>
      <c r="BB24" s="495">
        <f t="shared" si="54"/>
        <v>2</v>
      </c>
      <c r="BC24" s="496" cm="1">
        <f t="array" ref="BC24">IF(OR($AB24=$BF$22:$BF$40),$AB24,0)</f>
        <v>0</v>
      </c>
      <c r="BD24" s="496" cm="1">
        <f t="array" ref="BD24">IF(OR($AB24=$BF$22:$BF$40),IF(AC24=$CH$14,BK24,IF(AC24=$CH$13,BJ24,BI24)),0)</f>
        <v>0</v>
      </c>
      <c r="BE24" s="497" cm="1">
        <f t="array" ref="BE24">IF(OR(AB24=$BF$22:$BF$40),AA24,0)</f>
        <v>0</v>
      </c>
      <c r="BF24" s="513" t="s">
        <v>251</v>
      </c>
      <c r="BG24" s="485"/>
      <c r="BH24" s="499">
        <f t="shared" si="55"/>
        <v>14.757599999999998</v>
      </c>
      <c r="BI24" s="498">
        <f t="shared" si="56"/>
        <v>0</v>
      </c>
      <c r="BJ24" s="498">
        <f t="shared" si="57"/>
        <v>0</v>
      </c>
      <c r="BK24" s="498">
        <f t="shared" si="58"/>
        <v>0</v>
      </c>
      <c r="BL24" s="500">
        <f t="shared" ref="BL24:BL33" si="160">IF(BE24&gt;0,AV24,IF(OR(AB24="محرك من الزبون",AB24="ACM30-1",AB24="ACM30-2"),AV24,0))</f>
        <v>0</v>
      </c>
      <c r="BM24" s="500">
        <f t="shared" si="3"/>
        <v>0</v>
      </c>
      <c r="BN24" s="500">
        <f t="shared" si="4"/>
        <v>0</v>
      </c>
      <c r="BO24" s="500">
        <f t="shared" si="5"/>
        <v>0</v>
      </c>
      <c r="BP24" s="500">
        <f t="shared" si="6"/>
        <v>0</v>
      </c>
      <c r="BQ24" s="500">
        <f t="shared" si="7"/>
        <v>0</v>
      </c>
      <c r="BR24" s="500">
        <f t="shared" si="8"/>
        <v>0</v>
      </c>
      <c r="BS24" s="500">
        <f t="shared" si="9"/>
        <v>0</v>
      </c>
      <c r="BT24" s="496">
        <f t="shared" si="10"/>
        <v>0</v>
      </c>
      <c r="BU24" s="496">
        <f t="shared" si="11"/>
        <v>0</v>
      </c>
      <c r="BV24" s="496">
        <f t="shared" si="12"/>
        <v>0</v>
      </c>
      <c r="BW24" s="496">
        <f t="shared" si="13"/>
        <v>0</v>
      </c>
      <c r="BX24" s="496">
        <f t="shared" si="14"/>
        <v>0</v>
      </c>
      <c r="BY24" s="496">
        <f t="shared" si="15"/>
        <v>0</v>
      </c>
      <c r="BZ24" s="496">
        <f t="shared" si="60"/>
        <v>0</v>
      </c>
      <c r="CA24" s="496">
        <f t="shared" si="16"/>
        <v>0</v>
      </c>
      <c r="CB24" s="496">
        <f t="shared" si="17"/>
        <v>0</v>
      </c>
      <c r="CC24" s="496">
        <f t="shared" si="18"/>
        <v>0</v>
      </c>
      <c r="CD24" s="496">
        <f t="shared" si="19"/>
        <v>0</v>
      </c>
      <c r="CE24" s="501">
        <f t="shared" si="61"/>
        <v>0</v>
      </c>
      <c r="CF24" s="501">
        <f t="shared" si="62"/>
        <v>0</v>
      </c>
      <c r="CG24" s="502">
        <f t="shared" si="63"/>
        <v>0</v>
      </c>
      <c r="CH24" s="514" t="s">
        <v>415</v>
      </c>
      <c r="CI24" s="512" t="s">
        <v>242</v>
      </c>
      <c r="CJ24" s="498">
        <v>15</v>
      </c>
      <c r="CK24" s="598">
        <v>3.32</v>
      </c>
      <c r="CL24" s="777"/>
      <c r="CM24" s="503">
        <f t="shared" si="142"/>
        <v>20</v>
      </c>
      <c r="CN24" s="504">
        <f t="shared" si="65"/>
        <v>20</v>
      </c>
      <c r="CO24" s="504">
        <f t="shared" si="66"/>
        <v>20</v>
      </c>
      <c r="CP24" s="504">
        <f t="shared" si="67"/>
        <v>20</v>
      </c>
      <c r="CQ24" s="504">
        <f t="shared" si="68"/>
        <v>20</v>
      </c>
      <c r="CR24" s="504">
        <f t="shared" si="69"/>
        <v>20</v>
      </c>
      <c r="CS24" s="504">
        <f t="shared" si="70"/>
        <v>20</v>
      </c>
      <c r="CT24" s="504">
        <f t="shared" si="71"/>
        <v>20</v>
      </c>
      <c r="CU24" s="504">
        <f t="shared" si="72"/>
        <v>20</v>
      </c>
      <c r="CV24" s="504">
        <f t="shared" si="73"/>
        <v>20</v>
      </c>
      <c r="CW24" s="504">
        <f t="shared" si="74"/>
        <v>20</v>
      </c>
      <c r="CX24" s="504">
        <f t="shared" si="75"/>
        <v>20</v>
      </c>
      <c r="CY24" s="504">
        <f t="shared" si="76"/>
        <v>20</v>
      </c>
      <c r="CZ24" s="504">
        <f t="shared" si="77"/>
        <v>20</v>
      </c>
      <c r="DA24" s="505">
        <f t="shared" si="78"/>
        <v>20</v>
      </c>
      <c r="DB24" s="571">
        <f t="shared" si="79"/>
        <v>20</v>
      </c>
      <c r="DC24" s="571">
        <f t="shared" si="80"/>
        <v>20</v>
      </c>
      <c r="DD24" s="571">
        <f t="shared" si="81"/>
        <v>20</v>
      </c>
      <c r="DE24" s="571">
        <f t="shared" si="82"/>
        <v>20</v>
      </c>
      <c r="DF24" s="571">
        <f t="shared" si="83"/>
        <v>0</v>
      </c>
      <c r="DG24" s="571">
        <f t="shared" si="84"/>
        <v>0</v>
      </c>
      <c r="DH24" s="571">
        <f t="shared" si="85"/>
        <v>0</v>
      </c>
      <c r="DI24" s="571">
        <f t="shared" si="86"/>
        <v>0</v>
      </c>
      <c r="DJ24" s="571">
        <f t="shared" si="87"/>
        <v>0</v>
      </c>
      <c r="DK24" s="571">
        <f t="shared" si="88"/>
        <v>0</v>
      </c>
      <c r="DL24" s="571">
        <f t="shared" si="89"/>
        <v>0</v>
      </c>
      <c r="DM24" s="571">
        <f t="shared" si="90"/>
        <v>0</v>
      </c>
      <c r="DN24" s="571">
        <f t="shared" si="91"/>
        <v>0</v>
      </c>
      <c r="DO24" s="571">
        <f t="shared" si="92"/>
        <v>0</v>
      </c>
      <c r="DP24" s="571">
        <f t="shared" si="93"/>
        <v>0</v>
      </c>
      <c r="DQ24" s="571">
        <f t="shared" si="20"/>
        <v>0</v>
      </c>
      <c r="DR24" s="571">
        <f t="shared" si="94"/>
        <v>0</v>
      </c>
      <c r="DS24" s="571">
        <f t="shared" si="95"/>
        <v>0</v>
      </c>
      <c r="DT24" s="571"/>
      <c r="DU24" s="571"/>
      <c r="DV24" s="777"/>
      <c r="DW24" s="503">
        <f t="shared" si="135"/>
        <v>6</v>
      </c>
      <c r="DX24" s="503">
        <f t="shared" si="136"/>
        <v>6</v>
      </c>
      <c r="DY24" s="503" cm="1">
        <f t="array" ref="DY24">IF($S24=DY$12,IF(AND(AO24&lt;=250,BH24&lt;=60),6,IF(OR(AO24&lt;=350,BH24&lt;=80),7,IF(OR(AND(AO24&gt;350,AO&lt;=120),BH24&lt;=120),9,12))),DZ24)</f>
        <v>6</v>
      </c>
      <c r="DZ24" s="504">
        <f t="shared" si="96"/>
        <v>6</v>
      </c>
      <c r="EA24" s="504">
        <f t="shared" si="97"/>
        <v>6</v>
      </c>
      <c r="EB24" s="504">
        <f t="shared" si="98"/>
        <v>6</v>
      </c>
      <c r="EC24" s="504">
        <f t="shared" si="99"/>
        <v>6</v>
      </c>
      <c r="ED24" s="504">
        <f t="shared" si="100"/>
        <v>6</v>
      </c>
      <c r="EE24" s="504">
        <f t="shared" si="101"/>
        <v>6</v>
      </c>
      <c r="EF24" s="504">
        <f t="shared" si="102"/>
        <v>6</v>
      </c>
      <c r="EG24" s="504">
        <f t="shared" si="103"/>
        <v>6</v>
      </c>
      <c r="EH24" s="504">
        <f t="shared" si="104"/>
        <v>6</v>
      </c>
      <c r="EI24" s="504">
        <f t="shared" si="105"/>
        <v>6</v>
      </c>
      <c r="EJ24" s="504">
        <f t="shared" si="106"/>
        <v>6</v>
      </c>
      <c r="EK24" s="505">
        <f t="shared" si="107"/>
        <v>6</v>
      </c>
      <c r="EL24" s="571">
        <f t="shared" ref="EL24:ET24" si="161">IF($S24=EL$12,IF(AND($AO24&lt;=320,$BH24&lt;=50),6,7),EM24)</f>
        <v>6</v>
      </c>
      <c r="EM24" s="571">
        <f t="shared" si="161"/>
        <v>6</v>
      </c>
      <c r="EN24" s="571">
        <f t="shared" si="161"/>
        <v>6</v>
      </c>
      <c r="EO24" s="571">
        <f t="shared" si="161"/>
        <v>6</v>
      </c>
      <c r="EP24" s="571">
        <f t="shared" si="161"/>
        <v>0</v>
      </c>
      <c r="EQ24" s="571">
        <f t="shared" si="161"/>
        <v>0</v>
      </c>
      <c r="ER24" s="571">
        <f t="shared" si="161"/>
        <v>0</v>
      </c>
      <c r="ES24" s="571">
        <f t="shared" si="161"/>
        <v>0</v>
      </c>
      <c r="ET24" s="571">
        <f t="shared" si="161"/>
        <v>0</v>
      </c>
      <c r="EU24" s="571">
        <f t="shared" si="109"/>
        <v>0</v>
      </c>
      <c r="EV24" s="571">
        <f t="shared" ref="EV24:FA24" si="162">IF($S24=EV$12,IF(AND($AO24&lt;=320,$BH24&lt;=50),6,7),EW24)</f>
        <v>0</v>
      </c>
      <c r="EW24" s="571">
        <f t="shared" si="162"/>
        <v>0</v>
      </c>
      <c r="EX24" s="571">
        <f t="shared" si="162"/>
        <v>0</v>
      </c>
      <c r="EY24" s="571">
        <f t="shared" si="162"/>
        <v>0</v>
      </c>
      <c r="EZ24" s="571">
        <f t="shared" si="162"/>
        <v>0</v>
      </c>
      <c r="FA24" s="571">
        <f t="shared" si="162"/>
        <v>0</v>
      </c>
      <c r="FB24" s="571">
        <f t="shared" si="23"/>
        <v>0</v>
      </c>
      <c r="FC24" s="571">
        <f t="shared" si="111"/>
        <v>0</v>
      </c>
      <c r="FD24" s="571"/>
      <c r="FE24" s="571"/>
      <c r="FF24" s="571"/>
      <c r="FG24" s="571"/>
      <c r="FH24" s="443"/>
      <c r="FI24" s="505">
        <f t="shared" si="112"/>
        <v>15</v>
      </c>
      <c r="FJ24" s="505">
        <f t="shared" si="113"/>
        <v>15</v>
      </c>
      <c r="FK24" s="505">
        <f t="shared" si="114"/>
        <v>15</v>
      </c>
      <c r="FL24" s="505">
        <f t="shared" si="115"/>
        <v>15</v>
      </c>
      <c r="FM24" s="505">
        <f t="shared" si="116"/>
        <v>15</v>
      </c>
      <c r="FN24" s="505">
        <f t="shared" si="117"/>
        <v>20</v>
      </c>
      <c r="FO24" s="505" t="str">
        <f t="shared" si="118"/>
        <v>error</v>
      </c>
      <c r="FP24" s="571"/>
      <c r="FQ24" s="571"/>
      <c r="FR24" s="571"/>
      <c r="FS24" s="571"/>
      <c r="FT24" s="571"/>
      <c r="FU24" s="571"/>
      <c r="FV24" s="571"/>
      <c r="FW24" s="571"/>
      <c r="FX24" s="571"/>
      <c r="FY24" s="571"/>
      <c r="FZ24" s="571"/>
      <c r="GA24" s="571"/>
      <c r="GB24" s="571"/>
      <c r="GC24" s="571"/>
      <c r="GD24" s="443"/>
      <c r="GE24" s="505">
        <f t="shared" si="119"/>
        <v>15</v>
      </c>
      <c r="GF24" s="505">
        <f t="shared" si="120"/>
        <v>20</v>
      </c>
      <c r="GG24" s="505">
        <f t="shared" si="121"/>
        <v>20</v>
      </c>
      <c r="GH24" s="505">
        <f t="shared" si="122"/>
        <v>15</v>
      </c>
      <c r="GI24" s="505">
        <f t="shared" si="123"/>
        <v>15</v>
      </c>
      <c r="GJ24" s="505">
        <f t="shared" si="124"/>
        <v>20</v>
      </c>
      <c r="GK24" s="505">
        <f t="shared" si="125"/>
        <v>15</v>
      </c>
      <c r="GL24" s="571"/>
      <c r="GM24" s="571"/>
      <c r="GN24" s="571"/>
      <c r="GO24" s="571"/>
      <c r="GP24" s="571"/>
      <c r="GQ24" s="571"/>
      <c r="GR24" s="571"/>
      <c r="GS24" s="571"/>
      <c r="GT24" s="571"/>
      <c r="GU24" s="571"/>
      <c r="GV24" s="571"/>
      <c r="GW24" s="571"/>
      <c r="GX24" s="506"/>
      <c r="GY24" s="507">
        <f t="shared" si="126"/>
        <v>15</v>
      </c>
      <c r="GZ24" s="505">
        <f t="shared" si="127"/>
        <v>20</v>
      </c>
      <c r="HA24" s="505">
        <f t="shared" si="128"/>
        <v>20</v>
      </c>
      <c r="HB24" s="505">
        <f t="shared" si="129"/>
        <v>15</v>
      </c>
      <c r="HC24" s="505">
        <f t="shared" si="130"/>
        <v>15</v>
      </c>
      <c r="HD24" s="505">
        <f t="shared" si="131"/>
        <v>15</v>
      </c>
      <c r="HE24" s="505">
        <f t="shared" si="132"/>
        <v>15</v>
      </c>
      <c r="HF24" s="571"/>
      <c r="HG24" s="571"/>
      <c r="HH24" s="571"/>
      <c r="HI24" s="571"/>
      <c r="HJ24" s="571"/>
      <c r="HK24" s="571"/>
      <c r="HL24" s="571"/>
      <c r="HM24" s="571"/>
      <c r="HN24" s="571"/>
      <c r="HO24" s="571"/>
      <c r="HP24" s="571"/>
      <c r="HQ24" s="571"/>
      <c r="HR24" s="571"/>
      <c r="HS24" s="777"/>
      <c r="HT24" s="508">
        <f t="shared" si="24"/>
        <v>0</v>
      </c>
      <c r="HU24" s="509">
        <f t="shared" si="25"/>
        <v>0</v>
      </c>
      <c r="HV24" s="510">
        <f t="shared" si="26"/>
        <v>1</v>
      </c>
      <c r="HW24" s="543"/>
      <c r="HX24" s="549" t="s">
        <v>243</v>
      </c>
      <c r="HY24" s="548">
        <v>400</v>
      </c>
      <c r="HZ24" s="548">
        <v>320</v>
      </c>
      <c r="IA24" s="546" t="str">
        <f t="shared" si="133"/>
        <v>غ</v>
      </c>
      <c r="IB24" s="547" t="str">
        <f t="shared" si="134"/>
        <v>غ</v>
      </c>
      <c r="IC24" s="554">
        <f t="shared" si="27"/>
        <v>1.5</v>
      </c>
      <c r="ID24" s="545" t="str">
        <f t="shared" si="28"/>
        <v/>
      </c>
      <c r="IE24" s="222">
        <f t="shared" si="29"/>
        <v>0</v>
      </c>
      <c r="IF24" s="230">
        <f t="shared" si="30"/>
        <v>0</v>
      </c>
      <c r="IG24" s="228">
        <f t="shared" si="31"/>
        <v>0</v>
      </c>
      <c r="IH24" s="423">
        <f t="shared" si="32"/>
        <v>0</v>
      </c>
      <c r="II24" s="425">
        <f t="shared" si="33"/>
        <v>0</v>
      </c>
    </row>
    <row r="25" spans="2:244" s="40" customFormat="1" ht="24.75" customHeight="1" x14ac:dyDescent="0.35">
      <c r="B25" s="258"/>
      <c r="C25" s="310">
        <f t="shared" si="155"/>
        <v>12</v>
      </c>
      <c r="D25" s="311" t="str">
        <f>IF(S25=0,0,VLOOKUP(S25,'قائمة الأسعار'!$C$13:$H$45,2,0))</f>
        <v>شريحة النيل 5.8 تيرا</v>
      </c>
      <c r="E25" s="312">
        <f t="shared" si="156"/>
        <v>0</v>
      </c>
      <c r="F25" s="313">
        <f t="shared" si="36"/>
        <v>104</v>
      </c>
      <c r="G25" s="313">
        <f t="shared" si="37"/>
        <v>168.2</v>
      </c>
      <c r="H25" s="314">
        <f t="shared" si="38"/>
        <v>29</v>
      </c>
      <c r="I25" s="315">
        <f t="shared" si="39"/>
        <v>1.7492799999999999</v>
      </c>
      <c r="J25" s="316">
        <f t="shared" si="157"/>
        <v>1</v>
      </c>
      <c r="K25" s="315">
        <f t="shared" si="158"/>
        <v>1.7492799999999999</v>
      </c>
      <c r="L25" s="317" t="e">
        <f>IF(S25=0,0,IF(T25="لون خاص",VLOOKUP(D25,'قائمة الأسعار'!$D$48:$F$62,3,0),VLOOKUP(D25,'قائمة الأسعار'!$D$13:$F$27,3,0)))</f>
        <v>#N/A</v>
      </c>
      <c r="M25" s="318" t="e">
        <f t="shared" si="159"/>
        <v>#N/A</v>
      </c>
      <c r="N25" s="315">
        <f>IF(S25=0,0,(IF(OR(S25=$CI$17,S25=$CI$18,S25=$CI$22,S25=$CI$23),K25,K25-(VLOOKUP(D25,'قائمة الأسعار'!$D$13:$G$47,4,FALSE)*J25*F25)/10000)))</f>
        <v>1.68896</v>
      </c>
      <c r="O25" s="612">
        <f>IF(S25=0,0,IF(T25="لون خاص",VLOOKUP(D25,'قائمة الأسعار'!$D$48:$G$62,4,0),VLOOKUP(D25,'قائمة الأسعار'!$D$13:$G$47,4,0)))</f>
        <v>5.8</v>
      </c>
      <c r="Q25" s="91"/>
      <c r="R25" s="204">
        <v>12</v>
      </c>
      <c r="S25" s="200" t="s">
        <v>423</v>
      </c>
      <c r="T25" s="200"/>
      <c r="U25" s="200"/>
      <c r="V25" s="201">
        <v>100</v>
      </c>
      <c r="W25" s="201">
        <v>150</v>
      </c>
      <c r="X25" s="201" t="s">
        <v>24</v>
      </c>
      <c r="Y25" s="201"/>
      <c r="Z25" s="201" t="b">
        <v>1</v>
      </c>
      <c r="AA25" s="200">
        <v>1</v>
      </c>
      <c r="AB25" s="201"/>
      <c r="AC25" s="219"/>
      <c r="AD25" s="620"/>
      <c r="AE25" s="620"/>
      <c r="AF25" s="621"/>
      <c r="AG25" s="193"/>
      <c r="AH25" s="202" t="str">
        <f t="shared" si="139"/>
        <v>غير مقبول فنياً</v>
      </c>
      <c r="AI25" s="203" t="str">
        <f t="shared" si="2"/>
        <v/>
      </c>
      <c r="AJ25" s="63"/>
      <c r="AK25" s="53"/>
      <c r="AL25" s="37"/>
      <c r="AM25" s="488"/>
      <c r="AN25" s="489">
        <f t="shared" si="41"/>
        <v>168.2</v>
      </c>
      <c r="AO25" s="490" cm="1">
        <f t="array" ref="AO25">IF(V25&lt;&gt;0,IF($AW$12=$BB$4,IF(X25=$BF$14,V25-1,IF(X25=$BF$13,V25+8.5,V25-7.5)),IF(X25=$BF$14,V25-1,IF(X25=$BF$13,IF(OR(S25=$CI$15:$CI$19,S25=$CI$38,S25=$CI$40),V25+3.6,IF(S25=$CI$39,V25+2.9,V25+4)),IF(OR(S25=$CI$15:$CI$19,S25=$CI$38,S25=$CI$40),V25-12.4,IF(S25=$CI$39,V25-13.1,V25-12))))),0)</f>
        <v>104</v>
      </c>
      <c r="AP25" s="491">
        <f t="shared" si="42"/>
        <v>166.5</v>
      </c>
      <c r="AQ25" s="491">
        <f t="shared" si="43"/>
        <v>29</v>
      </c>
      <c r="AR25" s="492">
        <f t="shared" si="44"/>
        <v>1.7492799999999999</v>
      </c>
      <c r="AS25" s="493">
        <f t="shared" si="45"/>
        <v>18</v>
      </c>
      <c r="AT25" s="493">
        <f t="shared" si="46"/>
        <v>116</v>
      </c>
      <c r="AU25" s="493">
        <f t="shared" si="47"/>
        <v>116</v>
      </c>
      <c r="AV25" s="493">
        <f t="shared" si="48"/>
        <v>6</v>
      </c>
      <c r="AW25" s="494">
        <f t="shared" si="49"/>
        <v>5.8</v>
      </c>
      <c r="AX25" s="494">
        <f t="shared" si="50"/>
        <v>153</v>
      </c>
      <c r="AY25" s="494">
        <f t="shared" si="51"/>
        <v>153</v>
      </c>
      <c r="AZ25" s="495" t="str">
        <f t="shared" si="52"/>
        <v>نابضية ك</v>
      </c>
      <c r="BA25" s="495">
        <f t="shared" si="53"/>
        <v>3</v>
      </c>
      <c r="BB25" s="495">
        <f t="shared" si="54"/>
        <v>3</v>
      </c>
      <c r="BC25" s="496" cm="1">
        <f t="array" ref="BC25">IF(OR($AB25=$BF$22:$BF$40),$AB25,0)</f>
        <v>0</v>
      </c>
      <c r="BD25" s="496" cm="1">
        <f t="array" ref="BD25">IF(OR($AB25=$BF$22:$BF$40),IF(AC25=$CH$14,BK25,IF(AC25=$CH$13,BJ25,BI25)),0)</f>
        <v>0</v>
      </c>
      <c r="BE25" s="497" cm="1">
        <f t="array" ref="BE25">IF(OR(AB25=$BF$22:$BF$40),AA25,0)</f>
        <v>0</v>
      </c>
      <c r="BF25" s="513" t="s">
        <v>252</v>
      </c>
      <c r="BG25" s="485"/>
      <c r="BH25" s="499">
        <f t="shared" si="55"/>
        <v>5.2478400000000001</v>
      </c>
      <c r="BI25" s="498">
        <f t="shared" si="56"/>
        <v>0</v>
      </c>
      <c r="BJ25" s="498">
        <f t="shared" si="57"/>
        <v>0</v>
      </c>
      <c r="BK25" s="498">
        <f t="shared" si="58"/>
        <v>0</v>
      </c>
      <c r="BL25" s="500">
        <f t="shared" si="160"/>
        <v>0</v>
      </c>
      <c r="BM25" s="500">
        <f t="shared" si="3"/>
        <v>0</v>
      </c>
      <c r="BN25" s="500">
        <f t="shared" si="4"/>
        <v>0</v>
      </c>
      <c r="BO25" s="500">
        <f t="shared" si="5"/>
        <v>0</v>
      </c>
      <c r="BP25" s="500">
        <f t="shared" si="6"/>
        <v>0</v>
      </c>
      <c r="BQ25" s="500">
        <f t="shared" si="7"/>
        <v>0</v>
      </c>
      <c r="BR25" s="500">
        <f t="shared" si="8"/>
        <v>0</v>
      </c>
      <c r="BS25" s="500">
        <f t="shared" si="9"/>
        <v>0</v>
      </c>
      <c r="BT25" s="496">
        <f t="shared" si="10"/>
        <v>0</v>
      </c>
      <c r="BU25" s="496">
        <f t="shared" si="11"/>
        <v>0</v>
      </c>
      <c r="BV25" s="496">
        <f t="shared" si="12"/>
        <v>0</v>
      </c>
      <c r="BW25" s="496">
        <f t="shared" si="13"/>
        <v>0</v>
      </c>
      <c r="BX25" s="496">
        <f t="shared" si="14"/>
        <v>0</v>
      </c>
      <c r="BY25" s="496">
        <f t="shared" si="15"/>
        <v>0</v>
      </c>
      <c r="BZ25" s="496">
        <f t="shared" si="60"/>
        <v>0</v>
      </c>
      <c r="CA25" s="496">
        <f t="shared" si="16"/>
        <v>0</v>
      </c>
      <c r="CB25" s="496">
        <f t="shared" si="17"/>
        <v>0</v>
      </c>
      <c r="CC25" s="496">
        <f t="shared" si="18"/>
        <v>0</v>
      </c>
      <c r="CD25" s="496">
        <f t="shared" si="19"/>
        <v>0</v>
      </c>
      <c r="CE25" s="501">
        <f t="shared" si="61"/>
        <v>0</v>
      </c>
      <c r="CF25" s="501">
        <f t="shared" si="62"/>
        <v>0</v>
      </c>
      <c r="CG25" s="502">
        <f t="shared" si="63"/>
        <v>0</v>
      </c>
      <c r="CH25" s="498">
        <v>1015</v>
      </c>
      <c r="CI25" s="512" t="s">
        <v>243</v>
      </c>
      <c r="CJ25" s="498">
        <v>15</v>
      </c>
      <c r="CK25" s="598">
        <v>3.75</v>
      </c>
      <c r="CL25" s="777"/>
      <c r="CM25" s="503">
        <f t="shared" si="142"/>
        <v>18</v>
      </c>
      <c r="CN25" s="504">
        <f t="shared" si="65"/>
        <v>18</v>
      </c>
      <c r="CO25" s="504">
        <f t="shared" si="66"/>
        <v>18</v>
      </c>
      <c r="CP25" s="504">
        <f t="shared" si="67"/>
        <v>18</v>
      </c>
      <c r="CQ25" s="504">
        <f t="shared" si="68"/>
        <v>18</v>
      </c>
      <c r="CR25" s="504">
        <f t="shared" si="69"/>
        <v>18</v>
      </c>
      <c r="CS25" s="504">
        <f t="shared" si="70"/>
        <v>18</v>
      </c>
      <c r="CT25" s="504">
        <f t="shared" si="71"/>
        <v>18</v>
      </c>
      <c r="CU25" s="504">
        <f t="shared" si="72"/>
        <v>18</v>
      </c>
      <c r="CV25" s="504">
        <f t="shared" si="73"/>
        <v>18</v>
      </c>
      <c r="CW25" s="504">
        <f t="shared" si="74"/>
        <v>18</v>
      </c>
      <c r="CX25" s="504">
        <f t="shared" si="75"/>
        <v>18</v>
      </c>
      <c r="CY25" s="504">
        <f t="shared" si="76"/>
        <v>18</v>
      </c>
      <c r="CZ25" s="504">
        <f t="shared" si="77"/>
        <v>18</v>
      </c>
      <c r="DA25" s="505">
        <f t="shared" si="78"/>
        <v>18</v>
      </c>
      <c r="DB25" s="571">
        <f t="shared" si="79"/>
        <v>18</v>
      </c>
      <c r="DC25" s="571">
        <f t="shared" si="80"/>
        <v>18</v>
      </c>
      <c r="DD25" s="571">
        <f t="shared" si="81"/>
        <v>18</v>
      </c>
      <c r="DE25" s="571">
        <f t="shared" si="82"/>
        <v>18</v>
      </c>
      <c r="DF25" s="571">
        <f t="shared" si="83"/>
        <v>18</v>
      </c>
      <c r="DG25" s="571">
        <f t="shared" si="84"/>
        <v>0</v>
      </c>
      <c r="DH25" s="571">
        <f t="shared" si="85"/>
        <v>0</v>
      </c>
      <c r="DI25" s="571">
        <f t="shared" si="86"/>
        <v>0</v>
      </c>
      <c r="DJ25" s="571">
        <f t="shared" si="87"/>
        <v>0</v>
      </c>
      <c r="DK25" s="571">
        <f t="shared" si="88"/>
        <v>0</v>
      </c>
      <c r="DL25" s="571">
        <f t="shared" si="89"/>
        <v>0</v>
      </c>
      <c r="DM25" s="571">
        <f t="shared" si="90"/>
        <v>0</v>
      </c>
      <c r="DN25" s="571">
        <f t="shared" si="91"/>
        <v>0</v>
      </c>
      <c r="DO25" s="571">
        <f t="shared" si="92"/>
        <v>0</v>
      </c>
      <c r="DP25" s="571">
        <f t="shared" si="93"/>
        <v>0</v>
      </c>
      <c r="DQ25" s="571">
        <f t="shared" si="20"/>
        <v>0</v>
      </c>
      <c r="DR25" s="571">
        <f t="shared" si="94"/>
        <v>0</v>
      </c>
      <c r="DS25" s="571">
        <f t="shared" si="95"/>
        <v>0</v>
      </c>
      <c r="DT25" s="571"/>
      <c r="DU25" s="571"/>
      <c r="DV25" s="777"/>
      <c r="DW25" s="503">
        <f t="shared" si="135"/>
        <v>6</v>
      </c>
      <c r="DX25" s="503">
        <f t="shared" si="136"/>
        <v>6</v>
      </c>
      <c r="DY25" s="503" cm="1">
        <f t="array" ref="DY25">IF($S25=DY$12,IF(AND(AO25&lt;=250,BH25&lt;=60),6,IF(OR(AO25&lt;=350,BH25&lt;=80),7,IF(OR(AND(AO25&gt;350,AO&lt;=120),BH25&lt;=120),9,12))),DZ25)</f>
        <v>6</v>
      </c>
      <c r="DZ25" s="504">
        <f t="shared" si="96"/>
        <v>6</v>
      </c>
      <c r="EA25" s="504">
        <f t="shared" si="97"/>
        <v>6</v>
      </c>
      <c r="EB25" s="504">
        <f t="shared" si="98"/>
        <v>6</v>
      </c>
      <c r="EC25" s="504">
        <f t="shared" si="99"/>
        <v>6</v>
      </c>
      <c r="ED25" s="504">
        <f t="shared" si="100"/>
        <v>6</v>
      </c>
      <c r="EE25" s="504">
        <f t="shared" si="101"/>
        <v>6</v>
      </c>
      <c r="EF25" s="504">
        <f t="shared" si="102"/>
        <v>6</v>
      </c>
      <c r="EG25" s="504">
        <f t="shared" si="103"/>
        <v>6</v>
      </c>
      <c r="EH25" s="504">
        <f t="shared" si="104"/>
        <v>6</v>
      </c>
      <c r="EI25" s="504">
        <f t="shared" si="105"/>
        <v>6</v>
      </c>
      <c r="EJ25" s="504">
        <f t="shared" si="106"/>
        <v>6</v>
      </c>
      <c r="EK25" s="505">
        <f t="shared" si="107"/>
        <v>6</v>
      </c>
      <c r="EL25" s="571">
        <f t="shared" ref="EL25:ET25" si="163">IF($S25=EL$12,IF(AND($AO25&lt;=320,$BH25&lt;=50),6,7),EM25)</f>
        <v>6</v>
      </c>
      <c r="EM25" s="571">
        <f t="shared" si="163"/>
        <v>6</v>
      </c>
      <c r="EN25" s="571">
        <f t="shared" si="163"/>
        <v>6</v>
      </c>
      <c r="EO25" s="571">
        <f t="shared" si="163"/>
        <v>6</v>
      </c>
      <c r="EP25" s="571">
        <f t="shared" si="163"/>
        <v>6</v>
      </c>
      <c r="EQ25" s="571">
        <f t="shared" si="163"/>
        <v>0</v>
      </c>
      <c r="ER25" s="571">
        <f t="shared" si="163"/>
        <v>0</v>
      </c>
      <c r="ES25" s="571">
        <f t="shared" si="163"/>
        <v>0</v>
      </c>
      <c r="ET25" s="571">
        <f t="shared" si="163"/>
        <v>0</v>
      </c>
      <c r="EU25" s="571">
        <f t="shared" si="109"/>
        <v>0</v>
      </c>
      <c r="EV25" s="571">
        <f t="shared" ref="EV25:FA25" si="164">IF($S25=EV$12,IF(AND($AO25&lt;=320,$BH25&lt;=50),6,7),EW25)</f>
        <v>0</v>
      </c>
      <c r="EW25" s="571">
        <f t="shared" si="164"/>
        <v>0</v>
      </c>
      <c r="EX25" s="571">
        <f t="shared" si="164"/>
        <v>0</v>
      </c>
      <c r="EY25" s="571">
        <f t="shared" si="164"/>
        <v>0</v>
      </c>
      <c r="EZ25" s="571">
        <f t="shared" si="164"/>
        <v>0</v>
      </c>
      <c r="FA25" s="571">
        <f t="shared" si="164"/>
        <v>0</v>
      </c>
      <c r="FB25" s="571">
        <f t="shared" si="23"/>
        <v>0</v>
      </c>
      <c r="FC25" s="571">
        <f t="shared" si="111"/>
        <v>0</v>
      </c>
      <c r="FD25" s="571"/>
      <c r="FE25" s="571"/>
      <c r="FF25" s="571"/>
      <c r="FG25" s="571"/>
      <c r="FH25" s="443"/>
      <c r="FI25" s="505">
        <f t="shared" si="112"/>
        <v>8</v>
      </c>
      <c r="FJ25" s="505">
        <f t="shared" si="113"/>
        <v>6</v>
      </c>
      <c r="FK25" s="505">
        <f t="shared" si="114"/>
        <v>6</v>
      </c>
      <c r="FL25" s="505">
        <f t="shared" si="115"/>
        <v>6</v>
      </c>
      <c r="FM25" s="505">
        <f t="shared" si="116"/>
        <v>6</v>
      </c>
      <c r="FN25" s="505">
        <f t="shared" si="117"/>
        <v>10</v>
      </c>
      <c r="FO25" s="505">
        <f t="shared" si="118"/>
        <v>10</v>
      </c>
      <c r="FP25" s="571"/>
      <c r="FQ25" s="571"/>
      <c r="FR25" s="571"/>
      <c r="FS25" s="571"/>
      <c r="FT25" s="571"/>
      <c r="FU25" s="571"/>
      <c r="FV25" s="571"/>
      <c r="FW25" s="571"/>
      <c r="FX25" s="571"/>
      <c r="FY25" s="571"/>
      <c r="FZ25" s="571"/>
      <c r="GA25" s="571"/>
      <c r="GB25" s="571"/>
      <c r="GC25" s="571"/>
      <c r="GD25" s="443"/>
      <c r="GE25" s="505">
        <f t="shared" si="119"/>
        <v>6</v>
      </c>
      <c r="GF25" s="505">
        <f t="shared" si="120"/>
        <v>6</v>
      </c>
      <c r="GG25" s="505">
        <f t="shared" si="121"/>
        <v>6</v>
      </c>
      <c r="GH25" s="505">
        <f t="shared" si="122"/>
        <v>6</v>
      </c>
      <c r="GI25" s="505">
        <f t="shared" si="123"/>
        <v>6</v>
      </c>
      <c r="GJ25" s="505">
        <f t="shared" si="124"/>
        <v>8</v>
      </c>
      <c r="GK25" s="505">
        <f t="shared" si="125"/>
        <v>10</v>
      </c>
      <c r="GL25" s="571"/>
      <c r="GM25" s="571"/>
      <c r="GN25" s="571"/>
      <c r="GO25" s="571"/>
      <c r="GP25" s="571"/>
      <c r="GQ25" s="571"/>
      <c r="GR25" s="571"/>
      <c r="GS25" s="571"/>
      <c r="GT25" s="571"/>
      <c r="GU25" s="571"/>
      <c r="GV25" s="571"/>
      <c r="GW25" s="571"/>
      <c r="GX25" s="506"/>
      <c r="GY25" s="507">
        <f t="shared" si="126"/>
        <v>10</v>
      </c>
      <c r="GZ25" s="505">
        <f t="shared" si="127"/>
        <v>10</v>
      </c>
      <c r="HA25" s="505">
        <f t="shared" si="128"/>
        <v>10</v>
      </c>
      <c r="HB25" s="505">
        <f t="shared" si="129"/>
        <v>6</v>
      </c>
      <c r="HC25" s="505">
        <f t="shared" si="130"/>
        <v>6</v>
      </c>
      <c r="HD25" s="505">
        <f t="shared" si="131"/>
        <v>10</v>
      </c>
      <c r="HE25" s="505">
        <f t="shared" si="132"/>
        <v>10</v>
      </c>
      <c r="HF25" s="571"/>
      <c r="HG25" s="571"/>
      <c r="HH25" s="571"/>
      <c r="HI25" s="571"/>
      <c r="HJ25" s="571"/>
      <c r="HK25" s="571"/>
      <c r="HL25" s="571"/>
      <c r="HM25" s="571"/>
      <c r="HN25" s="571"/>
      <c r="HO25" s="571"/>
      <c r="HP25" s="571"/>
      <c r="HQ25" s="571"/>
      <c r="HR25" s="571"/>
      <c r="HS25" s="777"/>
      <c r="HT25" s="508">
        <f t="shared" si="24"/>
        <v>0</v>
      </c>
      <c r="HU25" s="509">
        <f t="shared" si="25"/>
        <v>0</v>
      </c>
      <c r="HV25" s="510">
        <f t="shared" si="26"/>
        <v>1</v>
      </c>
      <c r="HW25" s="543"/>
      <c r="HX25" s="549" t="s">
        <v>244</v>
      </c>
      <c r="HY25" s="548">
        <v>315</v>
      </c>
      <c r="HZ25" s="548">
        <v>250</v>
      </c>
      <c r="IA25" s="546" t="str">
        <f t="shared" si="133"/>
        <v>غ</v>
      </c>
      <c r="IB25" s="547" t="str">
        <f t="shared" si="134"/>
        <v>غ</v>
      </c>
      <c r="IC25" s="554">
        <f t="shared" si="27"/>
        <v>1.5</v>
      </c>
      <c r="ID25" s="545" t="str">
        <f t="shared" si="28"/>
        <v/>
      </c>
      <c r="IE25" s="222">
        <f t="shared" si="29"/>
        <v>0</v>
      </c>
      <c r="IF25" s="230">
        <f t="shared" si="30"/>
        <v>0</v>
      </c>
      <c r="IG25" s="228">
        <f t="shared" si="31"/>
        <v>0</v>
      </c>
      <c r="IH25" s="423">
        <f t="shared" si="32"/>
        <v>0</v>
      </c>
      <c r="II25" s="425">
        <f t="shared" si="33"/>
        <v>0</v>
      </c>
    </row>
    <row r="26" spans="2:244" s="40" customFormat="1" ht="24.75" customHeight="1" x14ac:dyDescent="0.35">
      <c r="B26" s="258"/>
      <c r="C26" s="310">
        <f t="shared" si="155"/>
        <v>13</v>
      </c>
      <c r="D26" s="311" t="str">
        <f>IF(S26=0,0,VLOOKUP(S26,'قائمة الأسعار'!$C$13:$H$45,2,0))</f>
        <v>شريحة نيل هاردفوم 5.8</v>
      </c>
      <c r="E26" s="312">
        <f t="shared" si="156"/>
        <v>0</v>
      </c>
      <c r="F26" s="313">
        <f t="shared" si="36"/>
        <v>104</v>
      </c>
      <c r="G26" s="313">
        <f t="shared" si="37"/>
        <v>168.2</v>
      </c>
      <c r="H26" s="314">
        <f t="shared" si="38"/>
        <v>29</v>
      </c>
      <c r="I26" s="315">
        <f t="shared" si="39"/>
        <v>1.7492799999999999</v>
      </c>
      <c r="J26" s="316">
        <f t="shared" si="157"/>
        <v>1</v>
      </c>
      <c r="K26" s="315">
        <f t="shared" si="158"/>
        <v>1.7492799999999999</v>
      </c>
      <c r="L26" s="317" t="e">
        <f>IF(S26=0,0,IF(T26="لون خاص",VLOOKUP(D26,'قائمة الأسعار'!$D$48:$F$62,3,0),VLOOKUP(D26,'قائمة الأسعار'!$D$13:$F$27,3,0)))</f>
        <v>#N/A</v>
      </c>
      <c r="M26" s="318" t="e">
        <f t="shared" si="159"/>
        <v>#N/A</v>
      </c>
      <c r="N26" s="315">
        <f>IF(S26=0,0,(IF(OR(S26=$CI$17,S26=$CI$18,S26=$CI$22,S26=$CI$23),K26,K26-(VLOOKUP(D26,'قائمة الأسعار'!$D$13:$G$47,4,FALSE)*J26*F26)/10000)))</f>
        <v>1.68896</v>
      </c>
      <c r="O26" s="612">
        <f>IF(S26=0,0,IF(T26="لون خاص",VLOOKUP(D26,'قائمة الأسعار'!$D$48:$G$62,4,0),VLOOKUP(D26,'قائمة الأسعار'!$D$13:$G$47,4,0)))</f>
        <v>5.8</v>
      </c>
      <c r="Q26" s="91"/>
      <c r="R26" s="204">
        <v>13</v>
      </c>
      <c r="S26" s="200" t="s">
        <v>424</v>
      </c>
      <c r="T26" s="200"/>
      <c r="U26" s="200"/>
      <c r="V26" s="201">
        <v>100</v>
      </c>
      <c r="W26" s="201">
        <v>150</v>
      </c>
      <c r="X26" s="201" t="s">
        <v>24</v>
      </c>
      <c r="Y26" s="201"/>
      <c r="Z26" s="201" t="b">
        <v>1</v>
      </c>
      <c r="AA26" s="200">
        <v>1</v>
      </c>
      <c r="AB26" s="201"/>
      <c r="AC26" s="219"/>
      <c r="AD26" s="620"/>
      <c r="AE26" s="620"/>
      <c r="AF26" s="621"/>
      <c r="AG26" s="193"/>
      <c r="AH26" s="202" t="str">
        <f t="shared" si="139"/>
        <v>غير مقبول فنياً</v>
      </c>
      <c r="AI26" s="203" t="str">
        <f t="shared" si="2"/>
        <v/>
      </c>
      <c r="AJ26" s="63"/>
      <c r="AK26" s="53"/>
      <c r="AL26" s="37"/>
      <c r="AM26" s="488"/>
      <c r="AN26" s="489">
        <f t="shared" si="41"/>
        <v>168.2</v>
      </c>
      <c r="AO26" s="490" cm="1">
        <f t="array" ref="AO26">IF(V26&lt;&gt;0,IF($AW$12=$BB$4,IF(X26=$BF$14,V26-1,IF(X26=$BF$13,V26+8.5,V26-7.5)),IF(X26=$BF$14,V26-1,IF(X26=$BF$13,IF(OR(S26=$CI$15:$CI$19,S26=$CI$38,S26=$CI$40),V26+3.6,IF(S26=$CI$39,V26+2.9,V26+4)),IF(OR(S26=$CI$15:$CI$19,S26=$CI$38,S26=$CI$40),V26-12.4,IF(S26=$CI$39,V26-13.1,V26-12))))),0)</f>
        <v>104</v>
      </c>
      <c r="AP26" s="491">
        <f t="shared" si="42"/>
        <v>166.5</v>
      </c>
      <c r="AQ26" s="491">
        <f t="shared" si="43"/>
        <v>29</v>
      </c>
      <c r="AR26" s="492">
        <f t="shared" si="44"/>
        <v>1.7492799999999999</v>
      </c>
      <c r="AS26" s="493">
        <f t="shared" si="45"/>
        <v>18</v>
      </c>
      <c r="AT26" s="493">
        <f t="shared" si="46"/>
        <v>116</v>
      </c>
      <c r="AU26" s="493">
        <f t="shared" si="47"/>
        <v>116</v>
      </c>
      <c r="AV26" s="493">
        <f t="shared" si="48"/>
        <v>6</v>
      </c>
      <c r="AW26" s="494">
        <f t="shared" si="49"/>
        <v>5.8</v>
      </c>
      <c r="AX26" s="494">
        <f t="shared" si="50"/>
        <v>153</v>
      </c>
      <c r="AY26" s="494">
        <f t="shared" si="51"/>
        <v>153</v>
      </c>
      <c r="AZ26" s="495" t="str">
        <f t="shared" si="52"/>
        <v>نابضية ك</v>
      </c>
      <c r="BA26" s="495">
        <f t="shared" si="53"/>
        <v>3</v>
      </c>
      <c r="BB26" s="495">
        <f t="shared" si="54"/>
        <v>3</v>
      </c>
      <c r="BC26" s="496" cm="1">
        <f t="array" ref="BC26">IF(OR($AB26=$BF$22:$BF$40),$AB26,0)</f>
        <v>0</v>
      </c>
      <c r="BD26" s="496" cm="1">
        <f t="array" ref="BD26">IF(OR($AB26=$BF$22:$BF$40),IF(AC26=$CH$14,BK26,IF(AC26=$CH$13,BJ26,BI26)),0)</f>
        <v>0</v>
      </c>
      <c r="BE26" s="497" cm="1">
        <f t="array" ref="BE26">IF(OR(AB26=$BF$22:$BF$40),AA26,0)</f>
        <v>0</v>
      </c>
      <c r="BF26" s="513" t="s">
        <v>253</v>
      </c>
      <c r="BG26" s="485"/>
      <c r="BH26" s="499">
        <f t="shared" si="55"/>
        <v>7.3469759999999997</v>
      </c>
      <c r="BI26" s="498">
        <f t="shared" si="56"/>
        <v>0</v>
      </c>
      <c r="BJ26" s="498">
        <f t="shared" si="57"/>
        <v>0</v>
      </c>
      <c r="BK26" s="498">
        <f t="shared" si="58"/>
        <v>0</v>
      </c>
      <c r="BL26" s="500">
        <f t="shared" si="160"/>
        <v>0</v>
      </c>
      <c r="BM26" s="500">
        <f t="shared" si="3"/>
        <v>0</v>
      </c>
      <c r="BN26" s="500">
        <f t="shared" si="4"/>
        <v>0</v>
      </c>
      <c r="BO26" s="500">
        <f t="shared" si="5"/>
        <v>0</v>
      </c>
      <c r="BP26" s="500">
        <f t="shared" si="6"/>
        <v>0</v>
      </c>
      <c r="BQ26" s="500">
        <f t="shared" si="7"/>
        <v>0</v>
      </c>
      <c r="BR26" s="500">
        <f t="shared" si="8"/>
        <v>0</v>
      </c>
      <c r="BS26" s="500">
        <f t="shared" si="9"/>
        <v>0</v>
      </c>
      <c r="BT26" s="496">
        <f t="shared" si="10"/>
        <v>0</v>
      </c>
      <c r="BU26" s="496">
        <f t="shared" si="11"/>
        <v>0</v>
      </c>
      <c r="BV26" s="496">
        <f t="shared" si="12"/>
        <v>0</v>
      </c>
      <c r="BW26" s="496">
        <f t="shared" si="13"/>
        <v>0</v>
      </c>
      <c r="BX26" s="496">
        <f t="shared" si="14"/>
        <v>0</v>
      </c>
      <c r="BY26" s="496">
        <f t="shared" si="15"/>
        <v>0</v>
      </c>
      <c r="BZ26" s="496">
        <f t="shared" si="60"/>
        <v>0</v>
      </c>
      <c r="CA26" s="496">
        <f t="shared" si="16"/>
        <v>0</v>
      </c>
      <c r="CB26" s="496">
        <f t="shared" si="17"/>
        <v>0</v>
      </c>
      <c r="CC26" s="496">
        <f t="shared" si="18"/>
        <v>0</v>
      </c>
      <c r="CD26" s="496">
        <f t="shared" si="19"/>
        <v>0</v>
      </c>
      <c r="CE26" s="501">
        <f t="shared" si="61"/>
        <v>0</v>
      </c>
      <c r="CF26" s="501">
        <f t="shared" si="62"/>
        <v>0</v>
      </c>
      <c r="CG26" s="502">
        <f t="shared" si="63"/>
        <v>0</v>
      </c>
      <c r="CH26" s="498" t="s">
        <v>108</v>
      </c>
      <c r="CI26" s="512" t="s">
        <v>244</v>
      </c>
      <c r="CJ26" s="498">
        <v>15</v>
      </c>
      <c r="CK26" s="598">
        <v>3</v>
      </c>
      <c r="CL26" s="777"/>
      <c r="CM26" s="503">
        <f t="shared" si="142"/>
        <v>18</v>
      </c>
      <c r="CN26" s="504">
        <f t="shared" si="65"/>
        <v>18</v>
      </c>
      <c r="CO26" s="504">
        <f t="shared" si="66"/>
        <v>18</v>
      </c>
      <c r="CP26" s="504">
        <f t="shared" si="67"/>
        <v>18</v>
      </c>
      <c r="CQ26" s="504">
        <f t="shared" si="68"/>
        <v>18</v>
      </c>
      <c r="CR26" s="504">
        <f t="shared" si="69"/>
        <v>18</v>
      </c>
      <c r="CS26" s="504">
        <f t="shared" si="70"/>
        <v>18</v>
      </c>
      <c r="CT26" s="504">
        <f t="shared" si="71"/>
        <v>18</v>
      </c>
      <c r="CU26" s="504">
        <f t="shared" si="72"/>
        <v>18</v>
      </c>
      <c r="CV26" s="504">
        <f t="shared" si="73"/>
        <v>18</v>
      </c>
      <c r="CW26" s="504">
        <f t="shared" si="74"/>
        <v>18</v>
      </c>
      <c r="CX26" s="504">
        <f t="shared" si="75"/>
        <v>18</v>
      </c>
      <c r="CY26" s="504">
        <f t="shared" si="76"/>
        <v>18</v>
      </c>
      <c r="CZ26" s="504">
        <f t="shared" si="77"/>
        <v>18</v>
      </c>
      <c r="DA26" s="505">
        <f t="shared" si="78"/>
        <v>18</v>
      </c>
      <c r="DB26" s="571">
        <f t="shared" si="79"/>
        <v>18</v>
      </c>
      <c r="DC26" s="571">
        <f t="shared" si="80"/>
        <v>18</v>
      </c>
      <c r="DD26" s="571">
        <f t="shared" si="81"/>
        <v>18</v>
      </c>
      <c r="DE26" s="571">
        <f t="shared" si="82"/>
        <v>18</v>
      </c>
      <c r="DF26" s="571">
        <f t="shared" si="83"/>
        <v>18</v>
      </c>
      <c r="DG26" s="571">
        <f t="shared" si="84"/>
        <v>18</v>
      </c>
      <c r="DH26" s="571">
        <f t="shared" si="85"/>
        <v>0</v>
      </c>
      <c r="DI26" s="571">
        <f t="shared" si="86"/>
        <v>0</v>
      </c>
      <c r="DJ26" s="571">
        <f t="shared" si="87"/>
        <v>0</v>
      </c>
      <c r="DK26" s="571">
        <f t="shared" si="88"/>
        <v>0</v>
      </c>
      <c r="DL26" s="571">
        <f t="shared" si="89"/>
        <v>0</v>
      </c>
      <c r="DM26" s="571">
        <f t="shared" si="90"/>
        <v>0</v>
      </c>
      <c r="DN26" s="571">
        <f t="shared" si="91"/>
        <v>0</v>
      </c>
      <c r="DO26" s="571">
        <f t="shared" si="92"/>
        <v>0</v>
      </c>
      <c r="DP26" s="571">
        <f t="shared" si="93"/>
        <v>0</v>
      </c>
      <c r="DQ26" s="571">
        <f t="shared" si="20"/>
        <v>0</v>
      </c>
      <c r="DR26" s="571">
        <f t="shared" si="94"/>
        <v>0</v>
      </c>
      <c r="DS26" s="571">
        <f t="shared" si="95"/>
        <v>0</v>
      </c>
      <c r="DT26" s="571"/>
      <c r="DU26" s="571"/>
      <c r="DV26" s="777"/>
      <c r="DW26" s="503">
        <f t="shared" si="135"/>
        <v>6</v>
      </c>
      <c r="DX26" s="503">
        <f t="shared" si="136"/>
        <v>6</v>
      </c>
      <c r="DY26" s="503" cm="1">
        <f t="array" ref="DY26">IF($S26=DY$12,IF(AND(AO26&lt;=250,BH26&lt;=60),6,IF(OR(AO26&lt;=350,BH26&lt;=80),7,IF(OR(AND(AO26&gt;350,AO&lt;=120),BH26&lt;=120),9,12))),DZ26)</f>
        <v>6</v>
      </c>
      <c r="DZ26" s="504">
        <f t="shared" si="96"/>
        <v>6</v>
      </c>
      <c r="EA26" s="504">
        <f t="shared" si="97"/>
        <v>6</v>
      </c>
      <c r="EB26" s="504">
        <f t="shared" si="98"/>
        <v>6</v>
      </c>
      <c r="EC26" s="504">
        <f t="shared" si="99"/>
        <v>6</v>
      </c>
      <c r="ED26" s="504">
        <f t="shared" si="100"/>
        <v>6</v>
      </c>
      <c r="EE26" s="504">
        <f t="shared" si="101"/>
        <v>6</v>
      </c>
      <c r="EF26" s="504">
        <f t="shared" si="102"/>
        <v>6</v>
      </c>
      <c r="EG26" s="504">
        <f t="shared" si="103"/>
        <v>6</v>
      </c>
      <c r="EH26" s="504">
        <f t="shared" si="104"/>
        <v>6</v>
      </c>
      <c r="EI26" s="504">
        <f t="shared" si="105"/>
        <v>6</v>
      </c>
      <c r="EJ26" s="504">
        <f t="shared" si="106"/>
        <v>6</v>
      </c>
      <c r="EK26" s="505">
        <f t="shared" si="107"/>
        <v>6</v>
      </c>
      <c r="EL26" s="571">
        <f t="shared" ref="EL26:ET26" si="165">IF($S26=EL$12,IF(AND($AO26&lt;=320,$BH26&lt;=50),6,7),EM26)</f>
        <v>6</v>
      </c>
      <c r="EM26" s="571">
        <f t="shared" si="165"/>
        <v>6</v>
      </c>
      <c r="EN26" s="571">
        <f t="shared" si="165"/>
        <v>6</v>
      </c>
      <c r="EO26" s="571">
        <f t="shared" si="165"/>
        <v>6</v>
      </c>
      <c r="EP26" s="571">
        <f t="shared" si="165"/>
        <v>6</v>
      </c>
      <c r="EQ26" s="571">
        <f t="shared" si="165"/>
        <v>6</v>
      </c>
      <c r="ER26" s="571">
        <f t="shared" si="165"/>
        <v>0</v>
      </c>
      <c r="ES26" s="571">
        <f t="shared" si="165"/>
        <v>0</v>
      </c>
      <c r="ET26" s="571">
        <f t="shared" si="165"/>
        <v>0</v>
      </c>
      <c r="EU26" s="571">
        <f t="shared" si="109"/>
        <v>0</v>
      </c>
      <c r="EV26" s="571">
        <f t="shared" ref="EV26:FA26" si="166">IF($S26=EV$12,IF(AND($AO26&lt;=320,$BH26&lt;=50),6,7),EW26)</f>
        <v>0</v>
      </c>
      <c r="EW26" s="571">
        <f t="shared" si="166"/>
        <v>0</v>
      </c>
      <c r="EX26" s="571">
        <f t="shared" si="166"/>
        <v>0</v>
      </c>
      <c r="EY26" s="571">
        <f t="shared" si="166"/>
        <v>0</v>
      </c>
      <c r="EZ26" s="571">
        <f t="shared" si="166"/>
        <v>0</v>
      </c>
      <c r="FA26" s="571">
        <f t="shared" si="166"/>
        <v>0</v>
      </c>
      <c r="FB26" s="571">
        <f t="shared" si="23"/>
        <v>0</v>
      </c>
      <c r="FC26" s="571">
        <f t="shared" si="111"/>
        <v>0</v>
      </c>
      <c r="FD26" s="571"/>
      <c r="FE26" s="571"/>
      <c r="FF26" s="571"/>
      <c r="FG26" s="571"/>
      <c r="FH26" s="443"/>
      <c r="FI26" s="505">
        <f t="shared" si="112"/>
        <v>8</v>
      </c>
      <c r="FJ26" s="505">
        <f t="shared" si="113"/>
        <v>10</v>
      </c>
      <c r="FK26" s="505">
        <f t="shared" si="114"/>
        <v>10</v>
      </c>
      <c r="FL26" s="505">
        <f t="shared" si="115"/>
        <v>10</v>
      </c>
      <c r="FM26" s="505">
        <f t="shared" si="116"/>
        <v>10</v>
      </c>
      <c r="FN26" s="505">
        <f t="shared" si="117"/>
        <v>10</v>
      </c>
      <c r="FO26" s="505">
        <f t="shared" si="118"/>
        <v>10</v>
      </c>
      <c r="FP26" s="571"/>
      <c r="FQ26" s="571"/>
      <c r="FR26" s="571"/>
      <c r="FS26" s="571"/>
      <c r="FT26" s="571"/>
      <c r="FU26" s="571"/>
      <c r="FV26" s="571"/>
      <c r="FW26" s="571"/>
      <c r="FX26" s="571"/>
      <c r="FY26" s="571"/>
      <c r="FZ26" s="571"/>
      <c r="GA26" s="571"/>
      <c r="GB26" s="571"/>
      <c r="GC26" s="571"/>
      <c r="GD26" s="443"/>
      <c r="GE26" s="505">
        <f t="shared" si="119"/>
        <v>10</v>
      </c>
      <c r="GF26" s="505">
        <f t="shared" si="120"/>
        <v>10</v>
      </c>
      <c r="GG26" s="505">
        <f t="shared" si="121"/>
        <v>10</v>
      </c>
      <c r="GH26" s="505">
        <f t="shared" si="122"/>
        <v>10</v>
      </c>
      <c r="GI26" s="505">
        <f t="shared" si="123"/>
        <v>10</v>
      </c>
      <c r="GJ26" s="505">
        <f t="shared" si="124"/>
        <v>8</v>
      </c>
      <c r="GK26" s="505">
        <f t="shared" si="125"/>
        <v>10</v>
      </c>
      <c r="GL26" s="571"/>
      <c r="GM26" s="571"/>
      <c r="GN26" s="571"/>
      <c r="GO26" s="571"/>
      <c r="GP26" s="571"/>
      <c r="GQ26" s="571"/>
      <c r="GR26" s="571"/>
      <c r="GS26" s="571"/>
      <c r="GT26" s="571"/>
      <c r="GU26" s="571"/>
      <c r="GV26" s="571"/>
      <c r="GW26" s="571"/>
      <c r="GX26" s="506"/>
      <c r="GY26" s="507">
        <f t="shared" si="126"/>
        <v>10</v>
      </c>
      <c r="GZ26" s="505">
        <f t="shared" si="127"/>
        <v>10</v>
      </c>
      <c r="HA26" s="505">
        <f t="shared" si="128"/>
        <v>10</v>
      </c>
      <c r="HB26" s="505">
        <f t="shared" si="129"/>
        <v>10</v>
      </c>
      <c r="HC26" s="505">
        <f t="shared" si="130"/>
        <v>10</v>
      </c>
      <c r="HD26" s="505">
        <f t="shared" si="131"/>
        <v>10</v>
      </c>
      <c r="HE26" s="505">
        <f t="shared" si="132"/>
        <v>10</v>
      </c>
      <c r="HF26" s="571"/>
      <c r="HG26" s="571"/>
      <c r="HH26" s="571"/>
      <c r="HI26" s="571"/>
      <c r="HJ26" s="571"/>
      <c r="HK26" s="571"/>
      <c r="HL26" s="571"/>
      <c r="HM26" s="571"/>
      <c r="HN26" s="571"/>
      <c r="HO26" s="571"/>
      <c r="HP26" s="571"/>
      <c r="HQ26" s="571"/>
      <c r="HR26" s="571"/>
      <c r="HS26" s="777"/>
      <c r="HT26" s="508">
        <f t="shared" si="24"/>
        <v>0</v>
      </c>
      <c r="HU26" s="509">
        <f t="shared" si="25"/>
        <v>0</v>
      </c>
      <c r="HV26" s="510">
        <f t="shared" si="26"/>
        <v>1</v>
      </c>
      <c r="HW26" s="543"/>
      <c r="HX26" s="549" t="s">
        <v>245</v>
      </c>
      <c r="HY26" s="543">
        <v>400</v>
      </c>
      <c r="HZ26" s="543">
        <v>320</v>
      </c>
      <c r="IA26" s="546" t="str">
        <f t="shared" si="133"/>
        <v>غ</v>
      </c>
      <c r="IB26" s="547" t="str">
        <f t="shared" si="134"/>
        <v>غ</v>
      </c>
      <c r="IC26" s="554">
        <f t="shared" si="27"/>
        <v>1.5</v>
      </c>
      <c r="ID26" s="545" t="str">
        <f t="shared" si="28"/>
        <v/>
      </c>
      <c r="IE26" s="222">
        <f t="shared" si="29"/>
        <v>0</v>
      </c>
      <c r="IF26" s="230">
        <f t="shared" si="30"/>
        <v>0</v>
      </c>
      <c r="IG26" s="228">
        <f t="shared" si="31"/>
        <v>0</v>
      </c>
      <c r="IH26" s="423">
        <f t="shared" si="32"/>
        <v>0</v>
      </c>
      <c r="II26" s="425">
        <f t="shared" si="33"/>
        <v>0</v>
      </c>
    </row>
    <row r="27" spans="2:244" s="40" customFormat="1" ht="24.75" customHeight="1" x14ac:dyDescent="0.35">
      <c r="B27" s="258"/>
      <c r="C27" s="310">
        <f t="shared" si="155"/>
        <v>14</v>
      </c>
      <c r="D27" s="311">
        <f>IF(S27=0,0,VLOOKUP(S27,'قائمة الأسعار'!$C$13:$H$45,2,0))</f>
        <v>0</v>
      </c>
      <c r="E27" s="312">
        <f t="shared" si="156"/>
        <v>0</v>
      </c>
      <c r="F27" s="313">
        <f t="shared" si="36"/>
        <v>0</v>
      </c>
      <c r="G27" s="313" t="e">
        <f t="shared" si="37"/>
        <v>#DIV/0!</v>
      </c>
      <c r="H27" s="314">
        <f t="shared" si="38"/>
        <v>0</v>
      </c>
      <c r="I27" s="315">
        <f t="shared" si="39"/>
        <v>0</v>
      </c>
      <c r="J27" s="316">
        <f t="shared" si="157"/>
        <v>0</v>
      </c>
      <c r="K27" s="315">
        <f t="shared" si="158"/>
        <v>0</v>
      </c>
      <c r="L27" s="317">
        <f>IF(S27=0,0,IF(T27="لون خاص",VLOOKUP(D27,'قائمة الأسعار'!$D$48:$F$62,3,0),VLOOKUP(D27,'قائمة الأسعار'!$D$13:$F$27,3,0)))</f>
        <v>0</v>
      </c>
      <c r="M27" s="318">
        <f t="shared" si="159"/>
        <v>0</v>
      </c>
      <c r="N27" s="315">
        <f>IF(S27=0,0,(IF(OR(S27=$CI$17,S27=$CI$18,S27=$CI$22,S27=$CI$23),K27,K27-(VLOOKUP(D27,'قائمة الأسعار'!$D$13:$G$47,4,FALSE)*J27*F27)/10000)))</f>
        <v>0</v>
      </c>
      <c r="O27" s="612">
        <f>IF(S27=0,0,IF(T27="لون خاص",VLOOKUP(D27,'قائمة الأسعار'!$D$48:$G$62,4,0),VLOOKUP(D27,'قائمة الأسعار'!$D$13:$G$47,4,0)))</f>
        <v>0</v>
      </c>
      <c r="Q27" s="91"/>
      <c r="R27" s="204">
        <v>14</v>
      </c>
      <c r="S27" s="200"/>
      <c r="T27" s="200"/>
      <c r="U27" s="200"/>
      <c r="V27" s="201"/>
      <c r="W27" s="201"/>
      <c r="X27" s="201"/>
      <c r="Y27" s="201"/>
      <c r="Z27" s="201" t="b">
        <v>1</v>
      </c>
      <c r="AA27" s="200"/>
      <c r="AB27" s="201"/>
      <c r="AC27" s="219"/>
      <c r="AD27" s="620"/>
      <c r="AE27" s="620"/>
      <c r="AF27" s="621"/>
      <c r="AG27" s="193"/>
      <c r="AH27" s="202">
        <f t="shared" si="139"/>
        <v>0</v>
      </c>
      <c r="AI27" s="203" t="str">
        <f t="shared" si="2"/>
        <v/>
      </c>
      <c r="AJ27" s="63"/>
      <c r="AK27" s="53"/>
      <c r="AL27" s="37"/>
      <c r="AM27" s="488"/>
      <c r="AN27" s="489" t="e">
        <f t="shared" si="41"/>
        <v>#DIV/0!</v>
      </c>
      <c r="AO27" s="490" cm="1">
        <f t="array" ref="AO27">IF(V27&lt;&gt;0,IF($AW$12=$BB$4,IF(X27=$BF$14,V27-1,IF(X27=$BF$13,V27+8.5,V27-7.5)),IF(X27=$BF$14,V27-1,IF(X27=$BF$13,IF(OR(S27=$CI$15:$CI$19,S27=$CI$38,S27=$CI$40),V27+3.6,IF(S27=$CI$39,V27+2.9,V27+4)),IF(OR(S27=$CI$15:$CI$19,S27=$CI$38,S27=$CI$40),V27-12.4,IF(S27=$CI$39,V27-13.1,V27-12))))),0)</f>
        <v>0</v>
      </c>
      <c r="AP27" s="491">
        <f t="shared" si="42"/>
        <v>0</v>
      </c>
      <c r="AQ27" s="491">
        <f t="shared" si="43"/>
        <v>0</v>
      </c>
      <c r="AR27" s="492">
        <f t="shared" si="44"/>
        <v>0</v>
      </c>
      <c r="AS27" s="493">
        <f t="shared" si="45"/>
        <v>0</v>
      </c>
      <c r="AT27" s="493">
        <f t="shared" si="46"/>
        <v>0</v>
      </c>
      <c r="AU27" s="493">
        <f t="shared" si="47"/>
        <v>0</v>
      </c>
      <c r="AV27" s="493">
        <f t="shared" si="48"/>
        <v>0</v>
      </c>
      <c r="AW27" s="494">
        <f t="shared" si="49"/>
        <v>0</v>
      </c>
      <c r="AX27" s="494">
        <f t="shared" si="50"/>
        <v>0</v>
      </c>
      <c r="AY27" s="494">
        <f t="shared" si="51"/>
        <v>0</v>
      </c>
      <c r="AZ27" s="495">
        <f t="shared" si="52"/>
        <v>0</v>
      </c>
      <c r="BA27" s="495">
        <f t="shared" si="53"/>
        <v>2</v>
      </c>
      <c r="BB27" s="495">
        <f t="shared" si="54"/>
        <v>0</v>
      </c>
      <c r="BC27" s="496" cm="1">
        <f t="array" ref="BC27">IF(OR($AB27=$BF$22:$BF$40),$AB27,0)</f>
        <v>0</v>
      </c>
      <c r="BD27" s="496" cm="1">
        <f t="array" ref="BD27">IF(OR($AB27=$BF$22:$BF$40),IF(AC27=$CH$14,BK27,IF(AC27=$CH$13,BJ27,BI27)),0)</f>
        <v>0</v>
      </c>
      <c r="BE27" s="497" cm="1">
        <f t="array" ref="BE27">IF(OR(AB27=$BF$22:$BF$40),AA27,0)</f>
        <v>0</v>
      </c>
      <c r="BF27" s="513" t="s">
        <v>405</v>
      </c>
      <c r="BG27" s="485"/>
      <c r="BH27" s="499" t="e">
        <f t="shared" si="55"/>
        <v>#N/A</v>
      </c>
      <c r="BI27" s="498">
        <f t="shared" si="56"/>
        <v>0</v>
      </c>
      <c r="BJ27" s="498">
        <f t="shared" si="57"/>
        <v>0</v>
      </c>
      <c r="BK27" s="498">
        <f t="shared" si="58"/>
        <v>0</v>
      </c>
      <c r="BL27" s="500">
        <f t="shared" si="160"/>
        <v>0</v>
      </c>
      <c r="BM27" s="500">
        <f t="shared" si="3"/>
        <v>0</v>
      </c>
      <c r="BN27" s="500">
        <f t="shared" si="4"/>
        <v>0</v>
      </c>
      <c r="BO27" s="500">
        <f t="shared" si="5"/>
        <v>0</v>
      </c>
      <c r="BP27" s="500">
        <f t="shared" si="6"/>
        <v>0</v>
      </c>
      <c r="BQ27" s="500">
        <f t="shared" si="7"/>
        <v>0</v>
      </c>
      <c r="BR27" s="500">
        <f t="shared" si="8"/>
        <v>0</v>
      </c>
      <c r="BS27" s="500">
        <f t="shared" si="9"/>
        <v>0</v>
      </c>
      <c r="BT27" s="496">
        <f t="shared" si="10"/>
        <v>0</v>
      </c>
      <c r="BU27" s="496">
        <f t="shared" si="11"/>
        <v>0</v>
      </c>
      <c r="BV27" s="496">
        <f t="shared" si="12"/>
        <v>0</v>
      </c>
      <c r="BW27" s="496">
        <f t="shared" si="13"/>
        <v>0</v>
      </c>
      <c r="BX27" s="496">
        <f t="shared" si="14"/>
        <v>0</v>
      </c>
      <c r="BY27" s="496">
        <f t="shared" si="15"/>
        <v>0</v>
      </c>
      <c r="BZ27" s="496">
        <f t="shared" si="60"/>
        <v>0</v>
      </c>
      <c r="CA27" s="496">
        <f t="shared" si="16"/>
        <v>0</v>
      </c>
      <c r="CB27" s="496">
        <f t="shared" si="17"/>
        <v>0</v>
      </c>
      <c r="CC27" s="496">
        <f t="shared" si="18"/>
        <v>0</v>
      </c>
      <c r="CD27" s="496">
        <f t="shared" si="19"/>
        <v>0</v>
      </c>
      <c r="CE27" s="501">
        <f t="shared" si="61"/>
        <v>0</v>
      </c>
      <c r="CF27" s="501">
        <f t="shared" si="62"/>
        <v>0</v>
      </c>
      <c r="CG27" s="502">
        <f t="shared" si="63"/>
        <v>0</v>
      </c>
      <c r="CH27" s="498" t="s">
        <v>457</v>
      </c>
      <c r="CI27" s="512" t="s">
        <v>245</v>
      </c>
      <c r="CJ27" s="498">
        <v>15</v>
      </c>
      <c r="CK27" s="598">
        <v>3.5</v>
      </c>
      <c r="CL27" s="777"/>
      <c r="CM27" s="503">
        <f t="shared" si="142"/>
        <v>0</v>
      </c>
      <c r="CN27" s="504">
        <f t="shared" si="65"/>
        <v>0</v>
      </c>
      <c r="CO27" s="504">
        <f t="shared" si="66"/>
        <v>0</v>
      </c>
      <c r="CP27" s="504">
        <f t="shared" si="67"/>
        <v>0</v>
      </c>
      <c r="CQ27" s="504">
        <f t="shared" si="68"/>
        <v>0</v>
      </c>
      <c r="CR27" s="504">
        <f t="shared" si="69"/>
        <v>0</v>
      </c>
      <c r="CS27" s="504">
        <f t="shared" si="70"/>
        <v>0</v>
      </c>
      <c r="CT27" s="504">
        <f t="shared" si="71"/>
        <v>0</v>
      </c>
      <c r="CU27" s="504">
        <f t="shared" si="72"/>
        <v>0</v>
      </c>
      <c r="CV27" s="504">
        <f t="shared" si="73"/>
        <v>0</v>
      </c>
      <c r="CW27" s="504">
        <f t="shared" si="74"/>
        <v>0</v>
      </c>
      <c r="CX27" s="504">
        <f t="shared" si="75"/>
        <v>0</v>
      </c>
      <c r="CY27" s="504">
        <f t="shared" si="76"/>
        <v>0</v>
      </c>
      <c r="CZ27" s="504">
        <f t="shared" si="77"/>
        <v>0</v>
      </c>
      <c r="DA27" s="505">
        <f t="shared" si="78"/>
        <v>0</v>
      </c>
      <c r="DB27" s="571">
        <f t="shared" si="79"/>
        <v>0</v>
      </c>
      <c r="DC27" s="571">
        <f t="shared" si="80"/>
        <v>0</v>
      </c>
      <c r="DD27" s="571">
        <f t="shared" si="81"/>
        <v>0</v>
      </c>
      <c r="DE27" s="571">
        <f t="shared" si="82"/>
        <v>0</v>
      </c>
      <c r="DF27" s="571">
        <f t="shared" si="83"/>
        <v>0</v>
      </c>
      <c r="DG27" s="571">
        <f t="shared" si="84"/>
        <v>0</v>
      </c>
      <c r="DH27" s="571">
        <f t="shared" si="85"/>
        <v>0</v>
      </c>
      <c r="DI27" s="571">
        <f t="shared" si="86"/>
        <v>0</v>
      </c>
      <c r="DJ27" s="571">
        <f t="shared" si="87"/>
        <v>0</v>
      </c>
      <c r="DK27" s="571">
        <f t="shared" si="88"/>
        <v>0</v>
      </c>
      <c r="DL27" s="571">
        <f t="shared" si="89"/>
        <v>0</v>
      </c>
      <c r="DM27" s="571">
        <f t="shared" si="90"/>
        <v>0</v>
      </c>
      <c r="DN27" s="571">
        <f t="shared" si="91"/>
        <v>0</v>
      </c>
      <c r="DO27" s="571">
        <f t="shared" si="92"/>
        <v>0</v>
      </c>
      <c r="DP27" s="571">
        <f t="shared" si="93"/>
        <v>0</v>
      </c>
      <c r="DQ27" s="571">
        <f t="shared" si="20"/>
        <v>0</v>
      </c>
      <c r="DR27" s="571">
        <f t="shared" si="94"/>
        <v>0</v>
      </c>
      <c r="DS27" s="571">
        <f t="shared" si="95"/>
        <v>0</v>
      </c>
      <c r="DT27" s="571"/>
      <c r="DU27" s="571"/>
      <c r="DV27" s="777"/>
      <c r="DW27" s="503">
        <f t="shared" si="135"/>
        <v>0</v>
      </c>
      <c r="DX27" s="503">
        <f t="shared" si="136"/>
        <v>0</v>
      </c>
      <c r="DY27" s="503" cm="1">
        <f t="array" ref="DY27">IF($S27=DY$12,IF(AND(AO27&lt;=250,BH27&lt;=60),6,IF(OR(AO27&lt;=350,BH27&lt;=80),7,IF(OR(AND(AO27&gt;350,AO&lt;=120),BH27&lt;=120),9,12))),DZ27)</f>
        <v>0</v>
      </c>
      <c r="DZ27" s="504">
        <f t="shared" si="96"/>
        <v>0</v>
      </c>
      <c r="EA27" s="504">
        <f t="shared" si="97"/>
        <v>0</v>
      </c>
      <c r="EB27" s="504">
        <f t="shared" si="98"/>
        <v>0</v>
      </c>
      <c r="EC27" s="504">
        <f t="shared" si="99"/>
        <v>0</v>
      </c>
      <c r="ED27" s="504">
        <f t="shared" si="100"/>
        <v>0</v>
      </c>
      <c r="EE27" s="504">
        <f t="shared" si="101"/>
        <v>0</v>
      </c>
      <c r="EF27" s="504">
        <f t="shared" si="102"/>
        <v>0</v>
      </c>
      <c r="EG27" s="504">
        <f t="shared" si="103"/>
        <v>0</v>
      </c>
      <c r="EH27" s="504">
        <f t="shared" si="104"/>
        <v>0</v>
      </c>
      <c r="EI27" s="504">
        <f t="shared" si="105"/>
        <v>0</v>
      </c>
      <c r="EJ27" s="504">
        <f t="shared" si="106"/>
        <v>0</v>
      </c>
      <c r="EK27" s="505">
        <f t="shared" si="107"/>
        <v>0</v>
      </c>
      <c r="EL27" s="571">
        <f t="shared" ref="EL27:ET27" si="167">IF($S27=EL$12,IF(AND($AO27&lt;=320,$BH27&lt;=50),6,7),EM27)</f>
        <v>0</v>
      </c>
      <c r="EM27" s="571">
        <f t="shared" si="167"/>
        <v>0</v>
      </c>
      <c r="EN27" s="571">
        <f t="shared" si="167"/>
        <v>0</v>
      </c>
      <c r="EO27" s="571">
        <f t="shared" si="167"/>
        <v>0</v>
      </c>
      <c r="EP27" s="571">
        <f t="shared" si="167"/>
        <v>0</v>
      </c>
      <c r="EQ27" s="571">
        <f t="shared" si="167"/>
        <v>0</v>
      </c>
      <c r="ER27" s="571">
        <f t="shared" si="167"/>
        <v>0</v>
      </c>
      <c r="ES27" s="571">
        <f t="shared" si="167"/>
        <v>0</v>
      </c>
      <c r="ET27" s="571">
        <f t="shared" si="167"/>
        <v>0</v>
      </c>
      <c r="EU27" s="571">
        <f t="shared" si="109"/>
        <v>0</v>
      </c>
      <c r="EV27" s="571">
        <f t="shared" ref="EV27:FA27" si="168">IF($S27=EV$12,IF(AND($AO27&lt;=320,$BH27&lt;=50),6,7),EW27)</f>
        <v>0</v>
      </c>
      <c r="EW27" s="571">
        <f t="shared" si="168"/>
        <v>0</v>
      </c>
      <c r="EX27" s="571">
        <f t="shared" si="168"/>
        <v>0</v>
      </c>
      <c r="EY27" s="571">
        <f t="shared" si="168"/>
        <v>0</v>
      </c>
      <c r="EZ27" s="571">
        <f t="shared" si="168"/>
        <v>0</v>
      </c>
      <c r="FA27" s="571">
        <f t="shared" si="168"/>
        <v>0</v>
      </c>
      <c r="FB27" s="571">
        <f t="shared" si="23"/>
        <v>0</v>
      </c>
      <c r="FC27" s="571">
        <f t="shared" si="111"/>
        <v>0</v>
      </c>
      <c r="FD27" s="571"/>
      <c r="FE27" s="571"/>
      <c r="FF27" s="571"/>
      <c r="FG27" s="571"/>
      <c r="FH27" s="443"/>
      <c r="FI27" s="505" t="e">
        <f t="shared" si="112"/>
        <v>#N/A</v>
      </c>
      <c r="FJ27" s="505" t="e">
        <f t="shared" si="113"/>
        <v>#N/A</v>
      </c>
      <c r="FK27" s="505" t="e">
        <f t="shared" si="114"/>
        <v>#N/A</v>
      </c>
      <c r="FL27" s="505" t="e">
        <f t="shared" si="115"/>
        <v>#N/A</v>
      </c>
      <c r="FM27" s="505" t="e">
        <f t="shared" si="116"/>
        <v>#N/A</v>
      </c>
      <c r="FN27" s="505" t="e">
        <f t="shared" si="117"/>
        <v>#N/A</v>
      </c>
      <c r="FO27" s="505" t="e">
        <f t="shared" si="118"/>
        <v>#N/A</v>
      </c>
      <c r="FP27" s="571"/>
      <c r="FQ27" s="571"/>
      <c r="FR27" s="571"/>
      <c r="FS27" s="571"/>
      <c r="FT27" s="571"/>
      <c r="FU27" s="571"/>
      <c r="FV27" s="571"/>
      <c r="FW27" s="571"/>
      <c r="FX27" s="571"/>
      <c r="FY27" s="571"/>
      <c r="FZ27" s="571"/>
      <c r="GA27" s="571"/>
      <c r="GB27" s="571"/>
      <c r="GC27" s="571"/>
      <c r="GD27" s="443"/>
      <c r="GE27" s="505" t="e">
        <f t="shared" si="119"/>
        <v>#N/A</v>
      </c>
      <c r="GF27" s="505" t="e">
        <f t="shared" si="120"/>
        <v>#N/A</v>
      </c>
      <c r="GG27" s="505" t="e">
        <f t="shared" si="121"/>
        <v>#N/A</v>
      </c>
      <c r="GH27" s="505" t="e">
        <f t="shared" si="122"/>
        <v>#N/A</v>
      </c>
      <c r="GI27" s="505" t="e">
        <f t="shared" si="123"/>
        <v>#N/A</v>
      </c>
      <c r="GJ27" s="505" t="e">
        <f t="shared" si="124"/>
        <v>#N/A</v>
      </c>
      <c r="GK27" s="505" t="e">
        <f t="shared" si="125"/>
        <v>#N/A</v>
      </c>
      <c r="GL27" s="571"/>
      <c r="GM27" s="571"/>
      <c r="GN27" s="571"/>
      <c r="GO27" s="571"/>
      <c r="GP27" s="571"/>
      <c r="GQ27" s="571"/>
      <c r="GR27" s="571"/>
      <c r="GS27" s="571"/>
      <c r="GT27" s="571"/>
      <c r="GU27" s="571"/>
      <c r="GV27" s="571"/>
      <c r="GW27" s="571"/>
      <c r="GX27" s="506"/>
      <c r="GY27" s="507" t="e">
        <f t="shared" si="126"/>
        <v>#N/A</v>
      </c>
      <c r="GZ27" s="505" t="e">
        <f t="shared" si="127"/>
        <v>#N/A</v>
      </c>
      <c r="HA27" s="505" t="e">
        <f t="shared" si="128"/>
        <v>#N/A</v>
      </c>
      <c r="HB27" s="505" t="e">
        <f t="shared" si="129"/>
        <v>#N/A</v>
      </c>
      <c r="HC27" s="505" t="e">
        <f t="shared" si="130"/>
        <v>#N/A</v>
      </c>
      <c r="HD27" s="505" t="e">
        <f t="shared" si="131"/>
        <v>#N/A</v>
      </c>
      <c r="HE27" s="505" t="e">
        <f t="shared" si="132"/>
        <v>#N/A</v>
      </c>
      <c r="HF27" s="571"/>
      <c r="HG27" s="571"/>
      <c r="HH27" s="571"/>
      <c r="HI27" s="571"/>
      <c r="HJ27" s="571"/>
      <c r="HK27" s="571"/>
      <c r="HL27" s="571"/>
      <c r="HM27" s="571"/>
      <c r="HN27" s="571"/>
      <c r="HO27" s="571"/>
      <c r="HP27" s="571"/>
      <c r="HQ27" s="571"/>
      <c r="HR27" s="571"/>
      <c r="HS27" s="777"/>
      <c r="HT27" s="508">
        <f t="shared" si="24"/>
        <v>0</v>
      </c>
      <c r="HU27" s="509">
        <f t="shared" si="25"/>
        <v>0</v>
      </c>
      <c r="HV27" s="510">
        <f t="shared" si="26"/>
        <v>0</v>
      </c>
      <c r="HW27" s="543"/>
      <c r="HX27" s="549" t="s">
        <v>246</v>
      </c>
      <c r="HY27" s="543">
        <v>315</v>
      </c>
      <c r="HZ27" s="543">
        <v>250</v>
      </c>
      <c r="IA27" s="546" t="e">
        <f t="shared" si="133"/>
        <v>#N/A</v>
      </c>
      <c r="IB27" s="547" t="e">
        <f t="shared" si="134"/>
        <v>#N/A</v>
      </c>
      <c r="IC27" s="554">
        <f t="shared" si="27"/>
        <v>0</v>
      </c>
      <c r="ID27" s="545" t="str">
        <f t="shared" si="28"/>
        <v/>
      </c>
      <c r="IE27" s="222">
        <f t="shared" si="29"/>
        <v>0</v>
      </c>
      <c r="IF27" s="230">
        <f t="shared" si="30"/>
        <v>0</v>
      </c>
      <c r="IG27" s="228">
        <f t="shared" si="31"/>
        <v>0</v>
      </c>
      <c r="IH27" s="423">
        <f t="shared" si="32"/>
        <v>0</v>
      </c>
      <c r="II27" s="425">
        <f t="shared" si="33"/>
        <v>0</v>
      </c>
    </row>
    <row r="28" spans="2:244" s="40" customFormat="1" ht="24.75" customHeight="1" x14ac:dyDescent="0.35">
      <c r="B28" s="258"/>
      <c r="C28" s="310">
        <f t="shared" si="155"/>
        <v>15</v>
      </c>
      <c r="D28" s="311">
        <f>IF(S28=0,0,VLOOKUP(S28,'قائمة الأسعار'!$C$13:$H$45,2,0))</f>
        <v>0</v>
      </c>
      <c r="E28" s="312">
        <f t="shared" si="156"/>
        <v>0</v>
      </c>
      <c r="F28" s="313">
        <f t="shared" si="36"/>
        <v>0</v>
      </c>
      <c r="G28" s="313" t="e">
        <f t="shared" si="37"/>
        <v>#DIV/0!</v>
      </c>
      <c r="H28" s="314">
        <f t="shared" si="38"/>
        <v>0</v>
      </c>
      <c r="I28" s="315">
        <f t="shared" si="39"/>
        <v>0</v>
      </c>
      <c r="J28" s="316">
        <f t="shared" si="157"/>
        <v>0</v>
      </c>
      <c r="K28" s="315">
        <f t="shared" si="158"/>
        <v>0</v>
      </c>
      <c r="L28" s="317">
        <f>IF(S28=0,0,IF(T28="لون خاص",VLOOKUP(D28,'قائمة الأسعار'!$D$48:$F$62,3,0),VLOOKUP(D28,'قائمة الأسعار'!$D$13:$F$27,3,0)))</f>
        <v>0</v>
      </c>
      <c r="M28" s="318">
        <f t="shared" si="159"/>
        <v>0</v>
      </c>
      <c r="N28" s="315">
        <f>IF(S28=0,0,(IF(OR(S28=$CI$17,S28=$CI$18,S28=$CI$22,S28=$CI$23),K28,K28-(VLOOKUP(D28,'قائمة الأسعار'!$D$13:$G$47,4,FALSE)*J28*F28)/10000)))</f>
        <v>0</v>
      </c>
      <c r="O28" s="612">
        <f>IF(S28=0,0,IF(T28="لون خاص",VLOOKUP(D28,'قائمة الأسعار'!$D$48:$G$62,4,0),VLOOKUP(D28,'قائمة الأسعار'!$D$13:$G$47,4,0)))</f>
        <v>0</v>
      </c>
      <c r="Q28" s="91"/>
      <c r="R28" s="204">
        <v>15</v>
      </c>
      <c r="S28" s="200"/>
      <c r="T28" s="200"/>
      <c r="U28" s="200"/>
      <c r="V28" s="201"/>
      <c r="W28" s="201"/>
      <c r="X28" s="201"/>
      <c r="Y28" s="201"/>
      <c r="Z28" s="201" t="b">
        <v>1</v>
      </c>
      <c r="AA28" s="200"/>
      <c r="AB28" s="201"/>
      <c r="AC28" s="219"/>
      <c r="AD28" s="620"/>
      <c r="AE28" s="620"/>
      <c r="AF28" s="621"/>
      <c r="AG28" s="193"/>
      <c r="AH28" s="202">
        <f t="shared" si="139"/>
        <v>0</v>
      </c>
      <c r="AI28" s="203" t="str">
        <f t="shared" si="2"/>
        <v/>
      </c>
      <c r="AJ28" s="63"/>
      <c r="AK28" s="53"/>
      <c r="AL28" s="37"/>
      <c r="AM28" s="488"/>
      <c r="AN28" s="489" t="e">
        <f t="shared" si="41"/>
        <v>#DIV/0!</v>
      </c>
      <c r="AO28" s="490" cm="1">
        <f t="array" ref="AO28">IF(V28&lt;&gt;0,IF($AW$12=$BB$4,IF(X28=$BF$14,V28-1,IF(X28=$BF$13,V28+8.5,V28-7.5)),IF(X28=$BF$14,V28-1,IF(X28=$BF$13,IF(OR(S28=$CI$15:$CI$19,S28=$CI$38,S28=$CI$40),V28+3.6,IF(S28=$CI$39,V28+2.9,V28+4)),IF(OR(S28=$CI$15:$CI$19,S28=$CI$38,S28=$CI$40),V28-12.4,IF(S28=$CI$39,V28-13.1,V28-12))))),0)</f>
        <v>0</v>
      </c>
      <c r="AP28" s="491">
        <f t="shared" si="42"/>
        <v>0</v>
      </c>
      <c r="AQ28" s="491">
        <f t="shared" si="43"/>
        <v>0</v>
      </c>
      <c r="AR28" s="492">
        <f t="shared" si="44"/>
        <v>0</v>
      </c>
      <c r="AS28" s="493">
        <f t="shared" si="45"/>
        <v>0</v>
      </c>
      <c r="AT28" s="493">
        <f t="shared" si="46"/>
        <v>0</v>
      </c>
      <c r="AU28" s="493">
        <f t="shared" si="47"/>
        <v>0</v>
      </c>
      <c r="AV28" s="493">
        <f t="shared" si="48"/>
        <v>0</v>
      </c>
      <c r="AW28" s="494">
        <f t="shared" si="49"/>
        <v>0</v>
      </c>
      <c r="AX28" s="494">
        <f t="shared" si="50"/>
        <v>0</v>
      </c>
      <c r="AY28" s="494">
        <f t="shared" si="51"/>
        <v>0</v>
      </c>
      <c r="AZ28" s="495">
        <f t="shared" si="52"/>
        <v>0</v>
      </c>
      <c r="BA28" s="495">
        <f t="shared" si="53"/>
        <v>2</v>
      </c>
      <c r="BB28" s="495">
        <f t="shared" si="54"/>
        <v>0</v>
      </c>
      <c r="BC28" s="496" cm="1">
        <f t="array" ref="BC28">IF(OR($AB28=$BF$22:$BF$40),$AB28,0)</f>
        <v>0</v>
      </c>
      <c r="BD28" s="496" cm="1">
        <f t="array" ref="BD28">IF(OR($AB28=$BF$22:$BF$40),IF(AC28=$CH$14,BK28,IF(AC28=$CH$13,BJ28,BI28)),0)</f>
        <v>0</v>
      </c>
      <c r="BE28" s="497" cm="1">
        <f t="array" ref="BE28">IF(OR(AB28=$BF$22:$BF$40),AA28,0)</f>
        <v>0</v>
      </c>
      <c r="BF28" s="513" t="s">
        <v>406</v>
      </c>
      <c r="BG28" s="485"/>
      <c r="BH28" s="499" t="e">
        <f t="shared" si="55"/>
        <v>#N/A</v>
      </c>
      <c r="BI28" s="498">
        <f t="shared" si="56"/>
        <v>0</v>
      </c>
      <c r="BJ28" s="498">
        <f t="shared" si="57"/>
        <v>0</v>
      </c>
      <c r="BK28" s="498">
        <f t="shared" si="58"/>
        <v>0</v>
      </c>
      <c r="BL28" s="500">
        <f t="shared" si="160"/>
        <v>0</v>
      </c>
      <c r="BM28" s="500">
        <f t="shared" si="3"/>
        <v>0</v>
      </c>
      <c r="BN28" s="500">
        <f t="shared" si="4"/>
        <v>0</v>
      </c>
      <c r="BO28" s="500">
        <f t="shared" si="5"/>
        <v>0</v>
      </c>
      <c r="BP28" s="500">
        <f t="shared" si="6"/>
        <v>0</v>
      </c>
      <c r="BQ28" s="500">
        <f t="shared" si="7"/>
        <v>0</v>
      </c>
      <c r="BR28" s="500">
        <f t="shared" si="8"/>
        <v>0</v>
      </c>
      <c r="BS28" s="500">
        <f t="shared" si="9"/>
        <v>0</v>
      </c>
      <c r="BT28" s="496">
        <f t="shared" si="10"/>
        <v>0</v>
      </c>
      <c r="BU28" s="496">
        <f t="shared" si="11"/>
        <v>0</v>
      </c>
      <c r="BV28" s="496">
        <f t="shared" si="12"/>
        <v>0</v>
      </c>
      <c r="BW28" s="496">
        <f t="shared" si="13"/>
        <v>0</v>
      </c>
      <c r="BX28" s="496">
        <f t="shared" si="14"/>
        <v>0</v>
      </c>
      <c r="BY28" s="496">
        <f t="shared" si="15"/>
        <v>0</v>
      </c>
      <c r="BZ28" s="496">
        <f t="shared" si="60"/>
        <v>0</v>
      </c>
      <c r="CA28" s="496">
        <f t="shared" si="16"/>
        <v>0</v>
      </c>
      <c r="CB28" s="496">
        <f t="shared" si="17"/>
        <v>0</v>
      </c>
      <c r="CC28" s="496">
        <f t="shared" si="18"/>
        <v>0</v>
      </c>
      <c r="CD28" s="496">
        <f t="shared" si="19"/>
        <v>0</v>
      </c>
      <c r="CE28" s="501">
        <f t="shared" si="61"/>
        <v>0</v>
      </c>
      <c r="CF28" s="501">
        <f t="shared" si="62"/>
        <v>0</v>
      </c>
      <c r="CG28" s="502">
        <f t="shared" si="63"/>
        <v>0</v>
      </c>
      <c r="CH28" s="514" t="s">
        <v>458</v>
      </c>
      <c r="CI28" s="512" t="s">
        <v>246</v>
      </c>
      <c r="CJ28" s="498">
        <v>15</v>
      </c>
      <c r="CK28" s="598">
        <v>5</v>
      </c>
      <c r="CL28" s="777"/>
      <c r="CM28" s="503">
        <f t="shared" si="142"/>
        <v>0</v>
      </c>
      <c r="CN28" s="504">
        <f t="shared" si="65"/>
        <v>0</v>
      </c>
      <c r="CO28" s="504">
        <f t="shared" si="66"/>
        <v>0</v>
      </c>
      <c r="CP28" s="504">
        <f t="shared" si="67"/>
        <v>0</v>
      </c>
      <c r="CQ28" s="504">
        <f t="shared" si="68"/>
        <v>0</v>
      </c>
      <c r="CR28" s="504">
        <f t="shared" si="69"/>
        <v>0</v>
      </c>
      <c r="CS28" s="504">
        <f t="shared" si="70"/>
        <v>0</v>
      </c>
      <c r="CT28" s="504">
        <f t="shared" si="71"/>
        <v>0</v>
      </c>
      <c r="CU28" s="504">
        <f t="shared" si="72"/>
        <v>0</v>
      </c>
      <c r="CV28" s="504">
        <f t="shared" si="73"/>
        <v>0</v>
      </c>
      <c r="CW28" s="504">
        <f t="shared" si="74"/>
        <v>0</v>
      </c>
      <c r="CX28" s="504">
        <f t="shared" si="75"/>
        <v>0</v>
      </c>
      <c r="CY28" s="504">
        <f t="shared" si="76"/>
        <v>0</v>
      </c>
      <c r="CZ28" s="504">
        <f t="shared" si="77"/>
        <v>0</v>
      </c>
      <c r="DA28" s="505">
        <f t="shared" si="78"/>
        <v>0</v>
      </c>
      <c r="DB28" s="571">
        <f t="shared" si="79"/>
        <v>0</v>
      </c>
      <c r="DC28" s="571">
        <f t="shared" si="80"/>
        <v>0</v>
      </c>
      <c r="DD28" s="571">
        <f t="shared" si="81"/>
        <v>0</v>
      </c>
      <c r="DE28" s="571">
        <f t="shared" si="82"/>
        <v>0</v>
      </c>
      <c r="DF28" s="571">
        <f t="shared" si="83"/>
        <v>0</v>
      </c>
      <c r="DG28" s="571">
        <f t="shared" si="84"/>
        <v>0</v>
      </c>
      <c r="DH28" s="571">
        <f t="shared" si="85"/>
        <v>0</v>
      </c>
      <c r="DI28" s="571">
        <f t="shared" si="86"/>
        <v>0</v>
      </c>
      <c r="DJ28" s="571">
        <f t="shared" si="87"/>
        <v>0</v>
      </c>
      <c r="DK28" s="571">
        <f t="shared" si="88"/>
        <v>0</v>
      </c>
      <c r="DL28" s="571">
        <f t="shared" si="89"/>
        <v>0</v>
      </c>
      <c r="DM28" s="571">
        <f t="shared" si="90"/>
        <v>0</v>
      </c>
      <c r="DN28" s="571">
        <f t="shared" si="91"/>
        <v>0</v>
      </c>
      <c r="DO28" s="571">
        <f t="shared" si="92"/>
        <v>0</v>
      </c>
      <c r="DP28" s="571">
        <f t="shared" si="93"/>
        <v>0</v>
      </c>
      <c r="DQ28" s="571">
        <f t="shared" si="20"/>
        <v>0</v>
      </c>
      <c r="DR28" s="571">
        <f t="shared" si="94"/>
        <v>0</v>
      </c>
      <c r="DS28" s="571">
        <f t="shared" si="95"/>
        <v>0</v>
      </c>
      <c r="DT28" s="571"/>
      <c r="DU28" s="571"/>
      <c r="DV28" s="777"/>
      <c r="DW28" s="503">
        <f t="shared" si="135"/>
        <v>0</v>
      </c>
      <c r="DX28" s="503">
        <f t="shared" si="136"/>
        <v>0</v>
      </c>
      <c r="DY28" s="503" cm="1">
        <f t="array" ref="DY28">IF($S28=DY$12,IF(AND(AO28&lt;=250,BH28&lt;=60),6,IF(OR(AO28&lt;=350,BH28&lt;=80),7,IF(OR(AND(AO28&gt;350,AO&lt;=120),BH28&lt;=120),9,12))),DZ28)</f>
        <v>0</v>
      </c>
      <c r="DZ28" s="504">
        <f t="shared" si="96"/>
        <v>0</v>
      </c>
      <c r="EA28" s="504">
        <f t="shared" si="97"/>
        <v>0</v>
      </c>
      <c r="EB28" s="504">
        <f t="shared" si="98"/>
        <v>0</v>
      </c>
      <c r="EC28" s="504">
        <f t="shared" si="99"/>
        <v>0</v>
      </c>
      <c r="ED28" s="504">
        <f t="shared" si="100"/>
        <v>0</v>
      </c>
      <c r="EE28" s="504">
        <f t="shared" si="101"/>
        <v>0</v>
      </c>
      <c r="EF28" s="504">
        <f t="shared" si="102"/>
        <v>0</v>
      </c>
      <c r="EG28" s="504">
        <f t="shared" si="103"/>
        <v>0</v>
      </c>
      <c r="EH28" s="504">
        <f t="shared" si="104"/>
        <v>0</v>
      </c>
      <c r="EI28" s="504">
        <f t="shared" si="105"/>
        <v>0</v>
      </c>
      <c r="EJ28" s="504">
        <f t="shared" si="106"/>
        <v>0</v>
      </c>
      <c r="EK28" s="505">
        <f t="shared" si="107"/>
        <v>0</v>
      </c>
      <c r="EL28" s="571">
        <f t="shared" ref="EL28:ET28" si="169">IF($S28=EL$12,IF(AND($AO28&lt;=320,$BH28&lt;=50),6,7),EM28)</f>
        <v>0</v>
      </c>
      <c r="EM28" s="571">
        <f t="shared" si="169"/>
        <v>0</v>
      </c>
      <c r="EN28" s="571">
        <f t="shared" si="169"/>
        <v>0</v>
      </c>
      <c r="EO28" s="571">
        <f t="shared" si="169"/>
        <v>0</v>
      </c>
      <c r="EP28" s="571">
        <f t="shared" si="169"/>
        <v>0</v>
      </c>
      <c r="EQ28" s="571">
        <f t="shared" si="169"/>
        <v>0</v>
      </c>
      <c r="ER28" s="571">
        <f t="shared" si="169"/>
        <v>0</v>
      </c>
      <c r="ES28" s="571">
        <f t="shared" si="169"/>
        <v>0</v>
      </c>
      <c r="ET28" s="571">
        <f t="shared" si="169"/>
        <v>0</v>
      </c>
      <c r="EU28" s="571">
        <f t="shared" si="109"/>
        <v>0</v>
      </c>
      <c r="EV28" s="571">
        <f t="shared" ref="EV28:FA28" si="170">IF($S28=EV$12,IF(AND($AO28&lt;=320,$BH28&lt;=50),6,7),EW28)</f>
        <v>0</v>
      </c>
      <c r="EW28" s="571">
        <f t="shared" si="170"/>
        <v>0</v>
      </c>
      <c r="EX28" s="571">
        <f t="shared" si="170"/>
        <v>0</v>
      </c>
      <c r="EY28" s="571">
        <f t="shared" si="170"/>
        <v>0</v>
      </c>
      <c r="EZ28" s="571">
        <f t="shared" si="170"/>
        <v>0</v>
      </c>
      <c r="FA28" s="571">
        <f t="shared" si="170"/>
        <v>0</v>
      </c>
      <c r="FB28" s="571">
        <f t="shared" si="23"/>
        <v>0</v>
      </c>
      <c r="FC28" s="571">
        <f t="shared" si="111"/>
        <v>0</v>
      </c>
      <c r="FD28" s="571"/>
      <c r="FE28" s="571"/>
      <c r="FF28" s="571"/>
      <c r="FG28" s="571"/>
      <c r="FH28" s="443"/>
      <c r="FI28" s="505" t="e">
        <f t="shared" si="112"/>
        <v>#N/A</v>
      </c>
      <c r="FJ28" s="505" t="e">
        <f t="shared" si="113"/>
        <v>#N/A</v>
      </c>
      <c r="FK28" s="505" t="e">
        <f t="shared" si="114"/>
        <v>#N/A</v>
      </c>
      <c r="FL28" s="505" t="e">
        <f t="shared" si="115"/>
        <v>#N/A</v>
      </c>
      <c r="FM28" s="505" t="e">
        <f t="shared" si="116"/>
        <v>#N/A</v>
      </c>
      <c r="FN28" s="505" t="e">
        <f t="shared" si="117"/>
        <v>#N/A</v>
      </c>
      <c r="FO28" s="505" t="e">
        <f t="shared" si="118"/>
        <v>#N/A</v>
      </c>
      <c r="FP28" s="571"/>
      <c r="FQ28" s="571"/>
      <c r="FR28" s="571"/>
      <c r="FS28" s="571"/>
      <c r="FT28" s="571"/>
      <c r="FU28" s="571"/>
      <c r="FV28" s="571"/>
      <c r="FW28" s="571"/>
      <c r="FX28" s="571"/>
      <c r="FY28" s="571"/>
      <c r="FZ28" s="571"/>
      <c r="GA28" s="571"/>
      <c r="GB28" s="571"/>
      <c r="GC28" s="571"/>
      <c r="GD28" s="443"/>
      <c r="GE28" s="505" t="e">
        <f t="shared" si="119"/>
        <v>#N/A</v>
      </c>
      <c r="GF28" s="505" t="e">
        <f t="shared" si="120"/>
        <v>#N/A</v>
      </c>
      <c r="GG28" s="505" t="e">
        <f t="shared" si="121"/>
        <v>#N/A</v>
      </c>
      <c r="GH28" s="505" t="e">
        <f t="shared" si="122"/>
        <v>#N/A</v>
      </c>
      <c r="GI28" s="505" t="e">
        <f t="shared" si="123"/>
        <v>#N/A</v>
      </c>
      <c r="GJ28" s="505" t="e">
        <f t="shared" si="124"/>
        <v>#N/A</v>
      </c>
      <c r="GK28" s="505" t="e">
        <f t="shared" si="125"/>
        <v>#N/A</v>
      </c>
      <c r="GL28" s="571"/>
      <c r="GM28" s="571"/>
      <c r="GN28" s="571"/>
      <c r="GO28" s="571"/>
      <c r="GP28" s="571"/>
      <c r="GQ28" s="571"/>
      <c r="GR28" s="571"/>
      <c r="GS28" s="571"/>
      <c r="GT28" s="571"/>
      <c r="GU28" s="571"/>
      <c r="GV28" s="571"/>
      <c r="GW28" s="571"/>
      <c r="GX28" s="506"/>
      <c r="GY28" s="507" t="e">
        <f t="shared" si="126"/>
        <v>#N/A</v>
      </c>
      <c r="GZ28" s="505" t="e">
        <f t="shared" si="127"/>
        <v>#N/A</v>
      </c>
      <c r="HA28" s="505" t="e">
        <f t="shared" si="128"/>
        <v>#N/A</v>
      </c>
      <c r="HB28" s="505" t="e">
        <f t="shared" si="129"/>
        <v>#N/A</v>
      </c>
      <c r="HC28" s="505" t="e">
        <f t="shared" si="130"/>
        <v>#N/A</v>
      </c>
      <c r="HD28" s="505" t="e">
        <f t="shared" si="131"/>
        <v>#N/A</v>
      </c>
      <c r="HE28" s="505" t="e">
        <f t="shared" si="132"/>
        <v>#N/A</v>
      </c>
      <c r="HF28" s="571"/>
      <c r="HG28" s="571"/>
      <c r="HH28" s="571"/>
      <c r="HI28" s="571"/>
      <c r="HJ28" s="571"/>
      <c r="HK28" s="571"/>
      <c r="HL28" s="571"/>
      <c r="HM28" s="571"/>
      <c r="HN28" s="571"/>
      <c r="HO28" s="571"/>
      <c r="HP28" s="571"/>
      <c r="HQ28" s="571"/>
      <c r="HR28" s="571"/>
      <c r="HS28" s="777"/>
      <c r="HT28" s="508">
        <f t="shared" si="24"/>
        <v>0</v>
      </c>
      <c r="HU28" s="509">
        <f t="shared" si="25"/>
        <v>0</v>
      </c>
      <c r="HV28" s="510">
        <f t="shared" si="26"/>
        <v>0</v>
      </c>
      <c r="HW28" s="543"/>
      <c r="HX28" s="549" t="s">
        <v>247</v>
      </c>
      <c r="HY28" s="543">
        <v>400</v>
      </c>
      <c r="HZ28" s="543">
        <v>320</v>
      </c>
      <c r="IA28" s="546" t="e">
        <f t="shared" si="133"/>
        <v>#N/A</v>
      </c>
      <c r="IB28" s="547" t="e">
        <f t="shared" si="134"/>
        <v>#N/A</v>
      </c>
      <c r="IC28" s="554">
        <f t="shared" si="27"/>
        <v>0</v>
      </c>
      <c r="ID28" s="545" t="str">
        <f t="shared" si="28"/>
        <v/>
      </c>
      <c r="IE28" s="222">
        <f t="shared" si="29"/>
        <v>0</v>
      </c>
      <c r="IF28" s="230">
        <f t="shared" si="30"/>
        <v>0</v>
      </c>
      <c r="IG28" s="228">
        <f t="shared" si="31"/>
        <v>0</v>
      </c>
      <c r="IH28" s="423">
        <f t="shared" si="32"/>
        <v>0</v>
      </c>
      <c r="II28" s="425">
        <f t="shared" si="33"/>
        <v>0</v>
      </c>
    </row>
    <row r="29" spans="2:244" s="40" customFormat="1" ht="24.75" customHeight="1" x14ac:dyDescent="0.35">
      <c r="B29" s="258"/>
      <c r="C29" s="310">
        <f t="shared" si="155"/>
        <v>16</v>
      </c>
      <c r="D29" s="311">
        <f>IF(S29=0,0,VLOOKUP(S29,'قائمة الأسعار'!$C$13:$H$45,2,0))</f>
        <v>0</v>
      </c>
      <c r="E29" s="312">
        <f t="shared" si="156"/>
        <v>0</v>
      </c>
      <c r="F29" s="313">
        <f t="shared" si="36"/>
        <v>0</v>
      </c>
      <c r="G29" s="313" t="e">
        <f t="shared" si="37"/>
        <v>#DIV/0!</v>
      </c>
      <c r="H29" s="314">
        <f t="shared" si="38"/>
        <v>0</v>
      </c>
      <c r="I29" s="315">
        <f t="shared" si="39"/>
        <v>0</v>
      </c>
      <c r="J29" s="316">
        <f t="shared" si="157"/>
        <v>0</v>
      </c>
      <c r="K29" s="315">
        <f t="shared" si="158"/>
        <v>0</v>
      </c>
      <c r="L29" s="317">
        <f>IF(S29=0,0,IF(T29="لون خاص",VLOOKUP(D29,'قائمة الأسعار'!$D$48:$F$62,3,0),VLOOKUP(D29,'قائمة الأسعار'!$D$13:$F$27,3,0)))</f>
        <v>0</v>
      </c>
      <c r="M29" s="318">
        <f t="shared" si="159"/>
        <v>0</v>
      </c>
      <c r="N29" s="315">
        <f>IF(S29=0,0,(IF(OR(S29=$CI$17,S29=$CI$18,S29=$CI$22,S29=$CI$23),K29,K29-(VLOOKUP(D29,'قائمة الأسعار'!$D$13:$G$47,4,FALSE)*J29*F29)/10000)))</f>
        <v>0</v>
      </c>
      <c r="O29" s="612">
        <f>IF(S29=0,0,IF(T29="لون خاص",VLOOKUP(D29,'قائمة الأسعار'!$D$48:$G$62,4,0),VLOOKUP(D29,'قائمة الأسعار'!$D$13:$G$47,4,0)))</f>
        <v>0</v>
      </c>
      <c r="Q29" s="91"/>
      <c r="R29" s="204">
        <v>16</v>
      </c>
      <c r="S29" s="200"/>
      <c r="T29" s="200"/>
      <c r="U29" s="200"/>
      <c r="V29" s="201"/>
      <c r="W29" s="201"/>
      <c r="X29" s="201"/>
      <c r="Y29" s="201"/>
      <c r="Z29" s="201" t="b">
        <v>1</v>
      </c>
      <c r="AA29" s="200"/>
      <c r="AB29" s="201"/>
      <c r="AC29" s="219"/>
      <c r="AD29" s="620"/>
      <c r="AE29" s="620"/>
      <c r="AF29" s="621"/>
      <c r="AG29" s="193"/>
      <c r="AH29" s="202">
        <f t="shared" si="139"/>
        <v>0</v>
      </c>
      <c r="AI29" s="203" t="str">
        <f t="shared" si="2"/>
        <v/>
      </c>
      <c r="AJ29" s="63"/>
      <c r="AK29" s="53"/>
      <c r="AL29" s="37"/>
      <c r="AM29" s="488"/>
      <c r="AN29" s="489" t="e">
        <f t="shared" si="41"/>
        <v>#DIV/0!</v>
      </c>
      <c r="AO29" s="490" cm="1">
        <f t="array" ref="AO29">IF(V29&lt;&gt;0,IF($AW$12=$BB$4,IF(X29=$BF$14,V29-1,IF(X29=$BF$13,V29+8.5,V29-7.5)),IF(X29=$BF$14,V29-1,IF(X29=$BF$13,IF(OR(S29=$CI$15:$CI$19,S29=$CI$38,S29=$CI$40),V29+3.6,IF(S29=$CI$39,V29+2.9,V29+4)),IF(OR(S29=$CI$15:$CI$19,S29=$CI$38,S29=$CI$40),V29-12.4,IF(S29=$CI$39,V29-13.1,V29-12))))),0)</f>
        <v>0</v>
      </c>
      <c r="AP29" s="491">
        <f t="shared" si="42"/>
        <v>0</v>
      </c>
      <c r="AQ29" s="491">
        <f t="shared" si="43"/>
        <v>0</v>
      </c>
      <c r="AR29" s="492">
        <f t="shared" si="44"/>
        <v>0</v>
      </c>
      <c r="AS29" s="493">
        <f t="shared" si="45"/>
        <v>0</v>
      </c>
      <c r="AT29" s="493">
        <f t="shared" si="46"/>
        <v>0</v>
      </c>
      <c r="AU29" s="493">
        <f t="shared" si="47"/>
        <v>0</v>
      </c>
      <c r="AV29" s="493">
        <f t="shared" si="48"/>
        <v>0</v>
      </c>
      <c r="AW29" s="494">
        <f t="shared" si="49"/>
        <v>0</v>
      </c>
      <c r="AX29" s="494">
        <f t="shared" si="50"/>
        <v>0</v>
      </c>
      <c r="AY29" s="494">
        <f t="shared" si="51"/>
        <v>0</v>
      </c>
      <c r="AZ29" s="495">
        <f t="shared" si="52"/>
        <v>0</v>
      </c>
      <c r="BA29" s="495">
        <f t="shared" si="53"/>
        <v>2</v>
      </c>
      <c r="BB29" s="495">
        <f t="shared" si="54"/>
        <v>0</v>
      </c>
      <c r="BC29" s="496" cm="1">
        <f t="array" ref="BC29">IF(OR($AB29=$BF$22:$BF$40),$AB29,0)</f>
        <v>0</v>
      </c>
      <c r="BD29" s="496" cm="1">
        <f t="array" ref="BD29">IF(OR($AB29=$BF$22:$BF$40),IF(AC29=$CH$14,BK29,IF(AC29=$CH$13,BJ29,BI29)),0)</f>
        <v>0</v>
      </c>
      <c r="BE29" s="497" cm="1">
        <f t="array" ref="BE29">IF(OR(AB29=$BF$22:$BF$40),AA29,0)</f>
        <v>0</v>
      </c>
      <c r="BF29" s="604" t="s">
        <v>471</v>
      </c>
      <c r="BG29" s="485"/>
      <c r="BH29" s="499" t="e">
        <f t="shared" si="55"/>
        <v>#N/A</v>
      </c>
      <c r="BI29" s="498">
        <f t="shared" si="56"/>
        <v>0</v>
      </c>
      <c r="BJ29" s="498">
        <f t="shared" si="57"/>
        <v>0</v>
      </c>
      <c r="BK29" s="498">
        <f t="shared" si="58"/>
        <v>0</v>
      </c>
      <c r="BL29" s="500">
        <f t="shared" si="160"/>
        <v>0</v>
      </c>
      <c r="BM29" s="500">
        <f t="shared" si="3"/>
        <v>0</v>
      </c>
      <c r="BN29" s="500">
        <f t="shared" si="4"/>
        <v>0</v>
      </c>
      <c r="BO29" s="500">
        <f t="shared" si="5"/>
        <v>0</v>
      </c>
      <c r="BP29" s="500">
        <f t="shared" si="6"/>
        <v>0</v>
      </c>
      <c r="BQ29" s="500">
        <f t="shared" si="7"/>
        <v>0</v>
      </c>
      <c r="BR29" s="500">
        <f t="shared" si="8"/>
        <v>0</v>
      </c>
      <c r="BS29" s="500">
        <f t="shared" si="9"/>
        <v>0</v>
      </c>
      <c r="BT29" s="496">
        <f t="shared" si="10"/>
        <v>0</v>
      </c>
      <c r="BU29" s="496">
        <f t="shared" si="11"/>
        <v>0</v>
      </c>
      <c r="BV29" s="496">
        <f t="shared" si="12"/>
        <v>0</v>
      </c>
      <c r="BW29" s="496">
        <f t="shared" si="13"/>
        <v>0</v>
      </c>
      <c r="BX29" s="496">
        <f t="shared" si="14"/>
        <v>0</v>
      </c>
      <c r="BY29" s="496">
        <f t="shared" si="15"/>
        <v>0</v>
      </c>
      <c r="BZ29" s="496">
        <f t="shared" si="60"/>
        <v>0</v>
      </c>
      <c r="CA29" s="496">
        <f t="shared" si="16"/>
        <v>0</v>
      </c>
      <c r="CB29" s="496">
        <f t="shared" si="17"/>
        <v>0</v>
      </c>
      <c r="CC29" s="496">
        <f t="shared" si="18"/>
        <v>0</v>
      </c>
      <c r="CD29" s="496">
        <f t="shared" si="19"/>
        <v>0</v>
      </c>
      <c r="CE29" s="501">
        <f t="shared" si="61"/>
        <v>0</v>
      </c>
      <c r="CF29" s="501">
        <f t="shared" si="62"/>
        <v>0</v>
      </c>
      <c r="CG29" s="502">
        <f t="shared" si="63"/>
        <v>0</v>
      </c>
      <c r="CH29" s="514" t="s">
        <v>459</v>
      </c>
      <c r="CI29" s="512" t="s">
        <v>247</v>
      </c>
      <c r="CJ29" s="498">
        <v>15</v>
      </c>
      <c r="CK29" s="598">
        <v>5</v>
      </c>
      <c r="CL29" s="777"/>
      <c r="CM29" s="503">
        <f t="shared" si="142"/>
        <v>0</v>
      </c>
      <c r="CN29" s="504">
        <f t="shared" si="65"/>
        <v>0</v>
      </c>
      <c r="CO29" s="504">
        <f t="shared" si="66"/>
        <v>0</v>
      </c>
      <c r="CP29" s="504">
        <f t="shared" si="67"/>
        <v>0</v>
      </c>
      <c r="CQ29" s="504">
        <f t="shared" si="68"/>
        <v>0</v>
      </c>
      <c r="CR29" s="504">
        <f t="shared" si="69"/>
        <v>0</v>
      </c>
      <c r="CS29" s="504">
        <f t="shared" si="70"/>
        <v>0</v>
      </c>
      <c r="CT29" s="504">
        <f t="shared" si="71"/>
        <v>0</v>
      </c>
      <c r="CU29" s="504">
        <f t="shared" si="72"/>
        <v>0</v>
      </c>
      <c r="CV29" s="504">
        <f t="shared" si="73"/>
        <v>0</v>
      </c>
      <c r="CW29" s="504">
        <f t="shared" si="74"/>
        <v>0</v>
      </c>
      <c r="CX29" s="504">
        <f t="shared" si="75"/>
        <v>0</v>
      </c>
      <c r="CY29" s="504">
        <f t="shared" si="76"/>
        <v>0</v>
      </c>
      <c r="CZ29" s="504">
        <f t="shared" si="77"/>
        <v>0</v>
      </c>
      <c r="DA29" s="505">
        <f t="shared" si="78"/>
        <v>0</v>
      </c>
      <c r="DB29" s="571">
        <f t="shared" si="79"/>
        <v>0</v>
      </c>
      <c r="DC29" s="571">
        <f t="shared" si="80"/>
        <v>0</v>
      </c>
      <c r="DD29" s="571">
        <f t="shared" si="81"/>
        <v>0</v>
      </c>
      <c r="DE29" s="571">
        <f t="shared" si="82"/>
        <v>0</v>
      </c>
      <c r="DF29" s="571">
        <f t="shared" si="83"/>
        <v>0</v>
      </c>
      <c r="DG29" s="571">
        <f t="shared" si="84"/>
        <v>0</v>
      </c>
      <c r="DH29" s="571">
        <f t="shared" si="85"/>
        <v>0</v>
      </c>
      <c r="DI29" s="571">
        <f t="shared" si="86"/>
        <v>0</v>
      </c>
      <c r="DJ29" s="571">
        <f t="shared" si="87"/>
        <v>0</v>
      </c>
      <c r="DK29" s="571">
        <f t="shared" si="88"/>
        <v>0</v>
      </c>
      <c r="DL29" s="571">
        <f t="shared" si="89"/>
        <v>0</v>
      </c>
      <c r="DM29" s="571">
        <f t="shared" si="90"/>
        <v>0</v>
      </c>
      <c r="DN29" s="571">
        <f t="shared" si="91"/>
        <v>0</v>
      </c>
      <c r="DO29" s="571">
        <f t="shared" si="92"/>
        <v>0</v>
      </c>
      <c r="DP29" s="571">
        <f t="shared" si="93"/>
        <v>0</v>
      </c>
      <c r="DQ29" s="571">
        <f t="shared" si="20"/>
        <v>0</v>
      </c>
      <c r="DR29" s="571">
        <f t="shared" si="94"/>
        <v>0</v>
      </c>
      <c r="DS29" s="571">
        <f t="shared" si="95"/>
        <v>0</v>
      </c>
      <c r="DT29" s="571"/>
      <c r="DU29" s="571"/>
      <c r="DV29" s="777"/>
      <c r="DW29" s="503">
        <f t="shared" si="135"/>
        <v>0</v>
      </c>
      <c r="DX29" s="503">
        <f t="shared" si="136"/>
        <v>0</v>
      </c>
      <c r="DY29" s="503" cm="1">
        <f t="array" ref="DY29">IF($S29=DY$12,IF(AND(AO29&lt;=250,BH29&lt;=60),6,IF(OR(AO29&lt;=350,BH29&lt;=80),7,IF(OR(AND(AO29&gt;350,AO&lt;=120),BH29&lt;=120),9,12))),DZ29)</f>
        <v>0</v>
      </c>
      <c r="DZ29" s="504">
        <f t="shared" si="96"/>
        <v>0</v>
      </c>
      <c r="EA29" s="504">
        <f t="shared" si="97"/>
        <v>0</v>
      </c>
      <c r="EB29" s="504">
        <f t="shared" si="98"/>
        <v>0</v>
      </c>
      <c r="EC29" s="504">
        <f t="shared" si="99"/>
        <v>0</v>
      </c>
      <c r="ED29" s="504">
        <f t="shared" si="100"/>
        <v>0</v>
      </c>
      <c r="EE29" s="504">
        <f t="shared" si="101"/>
        <v>0</v>
      </c>
      <c r="EF29" s="504">
        <f t="shared" si="102"/>
        <v>0</v>
      </c>
      <c r="EG29" s="504">
        <f t="shared" si="103"/>
        <v>0</v>
      </c>
      <c r="EH29" s="504">
        <f t="shared" si="104"/>
        <v>0</v>
      </c>
      <c r="EI29" s="504">
        <f t="shared" si="105"/>
        <v>0</v>
      </c>
      <c r="EJ29" s="504">
        <f t="shared" si="106"/>
        <v>0</v>
      </c>
      <c r="EK29" s="505">
        <f t="shared" si="107"/>
        <v>0</v>
      </c>
      <c r="EL29" s="571">
        <f t="shared" ref="EL29:ET29" si="171">IF($S29=EL$12,IF(AND($AO29&lt;=320,$BH29&lt;=50),6,7),EM29)</f>
        <v>0</v>
      </c>
      <c r="EM29" s="571">
        <f t="shared" si="171"/>
        <v>0</v>
      </c>
      <c r="EN29" s="571">
        <f t="shared" si="171"/>
        <v>0</v>
      </c>
      <c r="EO29" s="571">
        <f t="shared" si="171"/>
        <v>0</v>
      </c>
      <c r="EP29" s="571">
        <f t="shared" si="171"/>
        <v>0</v>
      </c>
      <c r="EQ29" s="571">
        <f t="shared" si="171"/>
        <v>0</v>
      </c>
      <c r="ER29" s="571">
        <f t="shared" si="171"/>
        <v>0</v>
      </c>
      <c r="ES29" s="571">
        <f t="shared" si="171"/>
        <v>0</v>
      </c>
      <c r="ET29" s="571">
        <f t="shared" si="171"/>
        <v>0</v>
      </c>
      <c r="EU29" s="571">
        <f t="shared" si="109"/>
        <v>0</v>
      </c>
      <c r="EV29" s="571">
        <f t="shared" ref="EV29:FA29" si="172">IF($S29=EV$12,IF(AND($AO29&lt;=320,$BH29&lt;=50),6,7),EW29)</f>
        <v>0</v>
      </c>
      <c r="EW29" s="571">
        <f t="shared" si="172"/>
        <v>0</v>
      </c>
      <c r="EX29" s="571">
        <f t="shared" si="172"/>
        <v>0</v>
      </c>
      <c r="EY29" s="571">
        <f t="shared" si="172"/>
        <v>0</v>
      </c>
      <c r="EZ29" s="571">
        <f t="shared" si="172"/>
        <v>0</v>
      </c>
      <c r="FA29" s="571">
        <f t="shared" si="172"/>
        <v>0</v>
      </c>
      <c r="FB29" s="571">
        <f t="shared" si="23"/>
        <v>0</v>
      </c>
      <c r="FC29" s="571">
        <f t="shared" si="111"/>
        <v>0</v>
      </c>
      <c r="FD29" s="571"/>
      <c r="FE29" s="571"/>
      <c r="FF29" s="571"/>
      <c r="FG29" s="571"/>
      <c r="FH29" s="443"/>
      <c r="FI29" s="505" t="e">
        <f t="shared" si="112"/>
        <v>#N/A</v>
      </c>
      <c r="FJ29" s="505" t="e">
        <f t="shared" si="113"/>
        <v>#N/A</v>
      </c>
      <c r="FK29" s="505" t="e">
        <f t="shared" si="114"/>
        <v>#N/A</v>
      </c>
      <c r="FL29" s="505" t="e">
        <f t="shared" si="115"/>
        <v>#N/A</v>
      </c>
      <c r="FM29" s="505" t="e">
        <f t="shared" si="116"/>
        <v>#N/A</v>
      </c>
      <c r="FN29" s="505" t="e">
        <f t="shared" si="117"/>
        <v>#N/A</v>
      </c>
      <c r="FO29" s="505" t="e">
        <f t="shared" si="118"/>
        <v>#N/A</v>
      </c>
      <c r="FP29" s="571"/>
      <c r="FQ29" s="571"/>
      <c r="FR29" s="571"/>
      <c r="FS29" s="571"/>
      <c r="FT29" s="571"/>
      <c r="FU29" s="571"/>
      <c r="FV29" s="571"/>
      <c r="FW29" s="571"/>
      <c r="FX29" s="571"/>
      <c r="FY29" s="571"/>
      <c r="FZ29" s="571"/>
      <c r="GA29" s="571"/>
      <c r="GB29" s="571"/>
      <c r="GC29" s="571"/>
      <c r="GD29" s="443"/>
      <c r="GE29" s="505" t="e">
        <f t="shared" si="119"/>
        <v>#N/A</v>
      </c>
      <c r="GF29" s="505" t="e">
        <f t="shared" si="120"/>
        <v>#N/A</v>
      </c>
      <c r="GG29" s="505" t="e">
        <f t="shared" si="121"/>
        <v>#N/A</v>
      </c>
      <c r="GH29" s="505" t="e">
        <f t="shared" si="122"/>
        <v>#N/A</v>
      </c>
      <c r="GI29" s="505" t="e">
        <f t="shared" si="123"/>
        <v>#N/A</v>
      </c>
      <c r="GJ29" s="505" t="e">
        <f t="shared" si="124"/>
        <v>#N/A</v>
      </c>
      <c r="GK29" s="505" t="e">
        <f t="shared" si="125"/>
        <v>#N/A</v>
      </c>
      <c r="GL29" s="571"/>
      <c r="GM29" s="571"/>
      <c r="GN29" s="571"/>
      <c r="GO29" s="571"/>
      <c r="GP29" s="571"/>
      <c r="GQ29" s="571"/>
      <c r="GR29" s="571"/>
      <c r="GS29" s="571"/>
      <c r="GT29" s="571"/>
      <c r="GU29" s="571"/>
      <c r="GV29" s="571"/>
      <c r="GW29" s="571"/>
      <c r="GX29" s="506"/>
      <c r="GY29" s="507" t="e">
        <f t="shared" si="126"/>
        <v>#N/A</v>
      </c>
      <c r="GZ29" s="505" t="e">
        <f t="shared" si="127"/>
        <v>#N/A</v>
      </c>
      <c r="HA29" s="505" t="e">
        <f t="shared" si="128"/>
        <v>#N/A</v>
      </c>
      <c r="HB29" s="505" t="e">
        <f t="shared" si="129"/>
        <v>#N/A</v>
      </c>
      <c r="HC29" s="505" t="e">
        <f t="shared" si="130"/>
        <v>#N/A</v>
      </c>
      <c r="HD29" s="505" t="e">
        <f t="shared" si="131"/>
        <v>#N/A</v>
      </c>
      <c r="HE29" s="505" t="e">
        <f t="shared" si="132"/>
        <v>#N/A</v>
      </c>
      <c r="HF29" s="571"/>
      <c r="HG29" s="571"/>
      <c r="HH29" s="571"/>
      <c r="HI29" s="571"/>
      <c r="HJ29" s="571"/>
      <c r="HK29" s="571"/>
      <c r="HL29" s="571"/>
      <c r="HM29" s="571"/>
      <c r="HN29" s="571"/>
      <c r="HO29" s="571"/>
      <c r="HP29" s="571"/>
      <c r="HQ29" s="571"/>
      <c r="HR29" s="571"/>
      <c r="HS29" s="777"/>
      <c r="HT29" s="508">
        <f t="shared" si="24"/>
        <v>0</v>
      </c>
      <c r="HU29" s="509">
        <f t="shared" si="25"/>
        <v>0</v>
      </c>
      <c r="HV29" s="510">
        <f t="shared" si="26"/>
        <v>0</v>
      </c>
      <c r="HW29" s="543"/>
      <c r="HX29" s="543" t="s">
        <v>419</v>
      </c>
      <c r="HY29" s="543"/>
      <c r="HZ29" s="543"/>
      <c r="IA29" s="546" t="e">
        <f t="shared" si="133"/>
        <v>#N/A</v>
      </c>
      <c r="IB29" s="547" t="e">
        <f t="shared" si="134"/>
        <v>#N/A</v>
      </c>
      <c r="IC29" s="554">
        <f t="shared" si="27"/>
        <v>0</v>
      </c>
      <c r="ID29" s="545" t="str">
        <f t="shared" si="28"/>
        <v/>
      </c>
      <c r="IE29" s="222">
        <f t="shared" si="29"/>
        <v>0</v>
      </c>
      <c r="IF29" s="230">
        <f t="shared" si="30"/>
        <v>0</v>
      </c>
      <c r="IG29" s="228">
        <f t="shared" si="31"/>
        <v>0</v>
      </c>
      <c r="IH29" s="423">
        <f t="shared" si="32"/>
        <v>0</v>
      </c>
      <c r="II29" s="425">
        <f t="shared" si="33"/>
        <v>0</v>
      </c>
    </row>
    <row r="30" spans="2:244" s="40" customFormat="1" ht="24.75" customHeight="1" x14ac:dyDescent="0.35">
      <c r="B30" s="258"/>
      <c r="C30" s="310">
        <f t="shared" si="155"/>
        <v>17</v>
      </c>
      <c r="D30" s="311">
        <f>IF(S30=0,0,VLOOKUP(S30,'قائمة الأسعار'!$C$13:$H$45,2,0))</f>
        <v>0</v>
      </c>
      <c r="E30" s="312">
        <f t="shared" si="156"/>
        <v>0</v>
      </c>
      <c r="F30" s="313">
        <f t="shared" si="36"/>
        <v>0</v>
      </c>
      <c r="G30" s="313" t="e">
        <f t="shared" si="37"/>
        <v>#DIV/0!</v>
      </c>
      <c r="H30" s="314">
        <f t="shared" si="38"/>
        <v>0</v>
      </c>
      <c r="I30" s="315">
        <f t="shared" si="39"/>
        <v>0</v>
      </c>
      <c r="J30" s="316">
        <f t="shared" si="157"/>
        <v>0</v>
      </c>
      <c r="K30" s="315">
        <f t="shared" si="158"/>
        <v>0</v>
      </c>
      <c r="L30" s="317">
        <f>IF(S30=0,0,IF(T30="لون خاص",VLOOKUP(D30,'قائمة الأسعار'!$D$48:$F$62,3,0),VLOOKUP(D30,'قائمة الأسعار'!$D$13:$F$27,3,0)))</f>
        <v>0</v>
      </c>
      <c r="M30" s="318">
        <f t="shared" si="159"/>
        <v>0</v>
      </c>
      <c r="N30" s="315">
        <f>IF(S30=0,0,(IF(OR(S30=$CI$17,S30=$CI$18,S30=$CI$22,S30=$CI$23),K30,K30-(VLOOKUP(D30,'قائمة الأسعار'!$D$13:$G$47,4,FALSE)*J30*F30)/10000)))</f>
        <v>0</v>
      </c>
      <c r="O30" s="612">
        <f>IF(S30=0,0,IF(T30="لون خاص",VLOOKUP(D30,'قائمة الأسعار'!$D$48:$G$62,4,0),VLOOKUP(D30,'قائمة الأسعار'!$D$13:$G$47,4,0)))</f>
        <v>0</v>
      </c>
      <c r="Q30" s="91"/>
      <c r="R30" s="204">
        <v>17</v>
      </c>
      <c r="S30" s="200"/>
      <c r="T30" s="200"/>
      <c r="U30" s="200"/>
      <c r="V30" s="201"/>
      <c r="W30" s="201"/>
      <c r="X30" s="201"/>
      <c r="Y30" s="201"/>
      <c r="Z30" s="201" t="b">
        <v>1</v>
      </c>
      <c r="AA30" s="200"/>
      <c r="AB30" s="201"/>
      <c r="AC30" s="219"/>
      <c r="AD30" s="620"/>
      <c r="AE30" s="620"/>
      <c r="AF30" s="621"/>
      <c r="AG30" s="193"/>
      <c r="AH30" s="202">
        <f t="shared" si="139"/>
        <v>0</v>
      </c>
      <c r="AI30" s="203" t="str">
        <f t="shared" si="2"/>
        <v/>
      </c>
      <c r="AJ30" s="63"/>
      <c r="AK30" s="53"/>
      <c r="AL30" s="37"/>
      <c r="AM30" s="488"/>
      <c r="AN30" s="489" t="e">
        <f t="shared" si="41"/>
        <v>#DIV/0!</v>
      </c>
      <c r="AO30" s="490" cm="1">
        <f t="array" ref="AO30">IF(V30&lt;&gt;0,IF($AW$12=$BB$4,IF(X30=$BF$14,V30-1,IF(X30=$BF$13,V30+8.5,V30-7.5)),IF(X30=$BF$14,V30-1,IF(X30=$BF$13,IF(OR(S30=$CI$15:$CI$19,S30=$CI$38,S30=$CI$40),V30+3.6,IF(S30=$CI$39,V30+2.9,V30+4)),IF(OR(S30=$CI$15:$CI$19,S30=$CI$38,S30=$CI$40),V30-12.4,IF(S30=$CI$39,V30-13.1,V30-12))))),0)</f>
        <v>0</v>
      </c>
      <c r="AP30" s="491">
        <f t="shared" si="42"/>
        <v>0</v>
      </c>
      <c r="AQ30" s="491">
        <f t="shared" si="43"/>
        <v>0</v>
      </c>
      <c r="AR30" s="492">
        <f t="shared" si="44"/>
        <v>0</v>
      </c>
      <c r="AS30" s="493">
        <f t="shared" si="45"/>
        <v>0</v>
      </c>
      <c r="AT30" s="493">
        <f t="shared" si="46"/>
        <v>0</v>
      </c>
      <c r="AU30" s="493">
        <f t="shared" si="47"/>
        <v>0</v>
      </c>
      <c r="AV30" s="493">
        <f t="shared" si="48"/>
        <v>0</v>
      </c>
      <c r="AW30" s="494">
        <f t="shared" si="49"/>
        <v>0</v>
      </c>
      <c r="AX30" s="494">
        <f t="shared" si="50"/>
        <v>0</v>
      </c>
      <c r="AY30" s="494">
        <f t="shared" si="51"/>
        <v>0</v>
      </c>
      <c r="AZ30" s="495">
        <f t="shared" si="52"/>
        <v>0</v>
      </c>
      <c r="BA30" s="495">
        <f t="shared" si="53"/>
        <v>2</v>
      </c>
      <c r="BB30" s="495">
        <f t="shared" si="54"/>
        <v>0</v>
      </c>
      <c r="BC30" s="496" cm="1">
        <f t="array" ref="BC30">IF(OR($AB30=$BF$22:$BF$40),$AB30,0)</f>
        <v>0</v>
      </c>
      <c r="BD30" s="496" cm="1">
        <f t="array" ref="BD30">IF(OR($AB30=$BF$22:$BF$40),IF(AC30=$CH$14,BK30,IF(AC30=$CH$13,BJ30,BI30)),0)</f>
        <v>0</v>
      </c>
      <c r="BE30" s="497" cm="1">
        <f t="array" ref="BE30">IF(OR(AB30=$BF$22:$BF$40),AA30,0)</f>
        <v>0</v>
      </c>
      <c r="BF30" s="604" t="s">
        <v>472</v>
      </c>
      <c r="BG30" s="485"/>
      <c r="BH30" s="499" t="e">
        <f t="shared" si="55"/>
        <v>#N/A</v>
      </c>
      <c r="BI30" s="498">
        <f t="shared" si="56"/>
        <v>0</v>
      </c>
      <c r="BJ30" s="498">
        <f t="shared" si="57"/>
        <v>0</v>
      </c>
      <c r="BK30" s="498">
        <f t="shared" si="58"/>
        <v>0</v>
      </c>
      <c r="BL30" s="500">
        <f t="shared" si="160"/>
        <v>0</v>
      </c>
      <c r="BM30" s="500">
        <f t="shared" si="3"/>
        <v>0</v>
      </c>
      <c r="BN30" s="500">
        <f t="shared" si="4"/>
        <v>0</v>
      </c>
      <c r="BO30" s="500">
        <f t="shared" si="5"/>
        <v>0</v>
      </c>
      <c r="BP30" s="500">
        <f t="shared" si="6"/>
        <v>0</v>
      </c>
      <c r="BQ30" s="500">
        <f t="shared" si="7"/>
        <v>0</v>
      </c>
      <c r="BR30" s="500">
        <f t="shared" si="8"/>
        <v>0</v>
      </c>
      <c r="BS30" s="500">
        <f t="shared" si="9"/>
        <v>0</v>
      </c>
      <c r="BT30" s="496">
        <f t="shared" si="10"/>
        <v>0</v>
      </c>
      <c r="BU30" s="496">
        <f t="shared" si="11"/>
        <v>0</v>
      </c>
      <c r="BV30" s="496">
        <f t="shared" si="12"/>
        <v>0</v>
      </c>
      <c r="BW30" s="496">
        <f t="shared" si="13"/>
        <v>0</v>
      </c>
      <c r="BX30" s="496">
        <f t="shared" si="14"/>
        <v>0</v>
      </c>
      <c r="BY30" s="496">
        <f t="shared" si="15"/>
        <v>0</v>
      </c>
      <c r="BZ30" s="496">
        <f t="shared" si="60"/>
        <v>0</v>
      </c>
      <c r="CA30" s="496">
        <f t="shared" si="16"/>
        <v>0</v>
      </c>
      <c r="CB30" s="496">
        <f t="shared" si="17"/>
        <v>0</v>
      </c>
      <c r="CC30" s="496">
        <f t="shared" si="18"/>
        <v>0</v>
      </c>
      <c r="CD30" s="496">
        <f t="shared" si="19"/>
        <v>0</v>
      </c>
      <c r="CE30" s="501">
        <f t="shared" si="61"/>
        <v>0</v>
      </c>
      <c r="CF30" s="501">
        <f t="shared" si="62"/>
        <v>0</v>
      </c>
      <c r="CG30" s="502">
        <f t="shared" si="63"/>
        <v>0</v>
      </c>
      <c r="CH30" s="514" t="s">
        <v>460</v>
      </c>
      <c r="CI30" s="577" t="s">
        <v>419</v>
      </c>
      <c r="CJ30" s="575"/>
      <c r="CK30" s="599">
        <v>2.5</v>
      </c>
      <c r="CL30" s="777"/>
      <c r="CM30" s="503">
        <f t="shared" si="142"/>
        <v>0</v>
      </c>
      <c r="CN30" s="504">
        <f t="shared" si="65"/>
        <v>0</v>
      </c>
      <c r="CO30" s="504">
        <f t="shared" si="66"/>
        <v>0</v>
      </c>
      <c r="CP30" s="504">
        <f t="shared" si="67"/>
        <v>0</v>
      </c>
      <c r="CQ30" s="504">
        <f t="shared" si="68"/>
        <v>0</v>
      </c>
      <c r="CR30" s="504">
        <f t="shared" si="69"/>
        <v>0</v>
      </c>
      <c r="CS30" s="504">
        <f t="shared" si="70"/>
        <v>0</v>
      </c>
      <c r="CT30" s="504">
        <f t="shared" si="71"/>
        <v>0</v>
      </c>
      <c r="CU30" s="504">
        <f t="shared" si="72"/>
        <v>0</v>
      </c>
      <c r="CV30" s="504">
        <f t="shared" si="73"/>
        <v>0</v>
      </c>
      <c r="CW30" s="504">
        <f t="shared" si="74"/>
        <v>0</v>
      </c>
      <c r="CX30" s="504">
        <f t="shared" si="75"/>
        <v>0</v>
      </c>
      <c r="CY30" s="504">
        <f t="shared" si="76"/>
        <v>0</v>
      </c>
      <c r="CZ30" s="504">
        <f t="shared" si="77"/>
        <v>0</v>
      </c>
      <c r="DA30" s="505">
        <f t="shared" si="78"/>
        <v>0</v>
      </c>
      <c r="DB30" s="571">
        <f t="shared" si="79"/>
        <v>0</v>
      </c>
      <c r="DC30" s="571">
        <f t="shared" si="80"/>
        <v>0</v>
      </c>
      <c r="DD30" s="571">
        <f t="shared" si="81"/>
        <v>0</v>
      </c>
      <c r="DE30" s="571">
        <f t="shared" si="82"/>
        <v>0</v>
      </c>
      <c r="DF30" s="571">
        <f t="shared" si="83"/>
        <v>0</v>
      </c>
      <c r="DG30" s="571">
        <f t="shared" si="84"/>
        <v>0</v>
      </c>
      <c r="DH30" s="571">
        <f t="shared" si="85"/>
        <v>0</v>
      </c>
      <c r="DI30" s="571">
        <f t="shared" si="86"/>
        <v>0</v>
      </c>
      <c r="DJ30" s="571">
        <f t="shared" si="87"/>
        <v>0</v>
      </c>
      <c r="DK30" s="571">
        <f t="shared" si="88"/>
        <v>0</v>
      </c>
      <c r="DL30" s="571">
        <f t="shared" si="89"/>
        <v>0</v>
      </c>
      <c r="DM30" s="571">
        <f t="shared" si="90"/>
        <v>0</v>
      </c>
      <c r="DN30" s="571">
        <f t="shared" si="91"/>
        <v>0</v>
      </c>
      <c r="DO30" s="571">
        <f t="shared" si="92"/>
        <v>0</v>
      </c>
      <c r="DP30" s="571">
        <f t="shared" si="93"/>
        <v>0</v>
      </c>
      <c r="DQ30" s="571">
        <f t="shared" ref="DQ30:DQ38" si="173">IF($S30=DQ$12,IF($W30&lt;=115,16.5,IF(AND($W30&gt;115,$W30&lt;123),18,IF(AND($W30&gt;=123,$W30&lt;198),20,IF(AND($W30&gt;=198,$W30&lt;228),22.5,IF(AND($W30&gt;=228,$W30&lt;278),25,30))))),DR30)</f>
        <v>0</v>
      </c>
      <c r="DR30" s="571">
        <f t="shared" si="94"/>
        <v>0</v>
      </c>
      <c r="DS30" s="571">
        <f t="shared" si="95"/>
        <v>0</v>
      </c>
      <c r="DT30" s="571"/>
      <c r="DU30" s="571"/>
      <c r="DV30" s="777"/>
      <c r="DW30" s="503">
        <f t="shared" si="135"/>
        <v>0</v>
      </c>
      <c r="DX30" s="503">
        <f t="shared" si="136"/>
        <v>0</v>
      </c>
      <c r="DY30" s="503" cm="1">
        <f t="array" ref="DY30">IF($S30=DY$12,IF(AND(AO30&lt;=250,BH30&lt;=60),6,IF(OR(AO30&lt;=350,BH30&lt;=80),7,IF(OR(AND(AO30&gt;350,AO&lt;=120),BH30&lt;=120),9,12))),DZ30)</f>
        <v>0</v>
      </c>
      <c r="DZ30" s="504">
        <f t="shared" si="96"/>
        <v>0</v>
      </c>
      <c r="EA30" s="504">
        <f t="shared" si="97"/>
        <v>0</v>
      </c>
      <c r="EB30" s="504">
        <f t="shared" si="98"/>
        <v>0</v>
      </c>
      <c r="EC30" s="504">
        <f t="shared" si="99"/>
        <v>0</v>
      </c>
      <c r="ED30" s="504">
        <f t="shared" si="100"/>
        <v>0</v>
      </c>
      <c r="EE30" s="504">
        <f t="shared" si="101"/>
        <v>0</v>
      </c>
      <c r="EF30" s="504">
        <f t="shared" si="102"/>
        <v>0</v>
      </c>
      <c r="EG30" s="504">
        <f t="shared" si="103"/>
        <v>0</v>
      </c>
      <c r="EH30" s="504">
        <f t="shared" si="104"/>
        <v>0</v>
      </c>
      <c r="EI30" s="504">
        <f t="shared" si="105"/>
        <v>0</v>
      </c>
      <c r="EJ30" s="504">
        <f t="shared" si="106"/>
        <v>0</v>
      </c>
      <c r="EK30" s="505">
        <f t="shared" si="107"/>
        <v>0</v>
      </c>
      <c r="EL30" s="571">
        <f t="shared" ref="EL30:ET30" si="174">IF($S30=EL$12,IF(AND($AO30&lt;=320,$BH30&lt;=50),6,7),EM30)</f>
        <v>0</v>
      </c>
      <c r="EM30" s="571">
        <f t="shared" si="174"/>
        <v>0</v>
      </c>
      <c r="EN30" s="571">
        <f t="shared" si="174"/>
        <v>0</v>
      </c>
      <c r="EO30" s="571">
        <f t="shared" si="174"/>
        <v>0</v>
      </c>
      <c r="EP30" s="571">
        <f t="shared" si="174"/>
        <v>0</v>
      </c>
      <c r="EQ30" s="571">
        <f t="shared" si="174"/>
        <v>0</v>
      </c>
      <c r="ER30" s="571">
        <f t="shared" si="174"/>
        <v>0</v>
      </c>
      <c r="ES30" s="571">
        <f t="shared" si="174"/>
        <v>0</v>
      </c>
      <c r="ET30" s="571">
        <f t="shared" si="174"/>
        <v>0</v>
      </c>
      <c r="EU30" s="571">
        <f t="shared" si="109"/>
        <v>0</v>
      </c>
      <c r="EV30" s="571">
        <f t="shared" ref="EV30:FA30" si="175">IF($S30=EV$12,IF(AND($AO30&lt;=320,$BH30&lt;=50),6,7),EW30)</f>
        <v>0</v>
      </c>
      <c r="EW30" s="571">
        <f t="shared" si="175"/>
        <v>0</v>
      </c>
      <c r="EX30" s="571">
        <f t="shared" si="175"/>
        <v>0</v>
      </c>
      <c r="EY30" s="571">
        <f t="shared" si="175"/>
        <v>0</v>
      </c>
      <c r="EZ30" s="571">
        <f t="shared" si="175"/>
        <v>0</v>
      </c>
      <c r="FA30" s="571">
        <f t="shared" si="175"/>
        <v>0</v>
      </c>
      <c r="FB30" s="571">
        <f t="shared" si="23"/>
        <v>0</v>
      </c>
      <c r="FC30" s="571">
        <f t="shared" si="111"/>
        <v>0</v>
      </c>
      <c r="FD30" s="571"/>
      <c r="FE30" s="571"/>
      <c r="FF30" s="571"/>
      <c r="FG30" s="571"/>
      <c r="FH30" s="443"/>
      <c r="FI30" s="505" t="e">
        <f t="shared" si="112"/>
        <v>#N/A</v>
      </c>
      <c r="FJ30" s="505" t="e">
        <f t="shared" si="113"/>
        <v>#N/A</v>
      </c>
      <c r="FK30" s="505" t="e">
        <f t="shared" si="114"/>
        <v>#N/A</v>
      </c>
      <c r="FL30" s="505" t="e">
        <f t="shared" si="115"/>
        <v>#N/A</v>
      </c>
      <c r="FM30" s="505" t="e">
        <f t="shared" si="116"/>
        <v>#N/A</v>
      </c>
      <c r="FN30" s="505" t="e">
        <f t="shared" si="117"/>
        <v>#N/A</v>
      </c>
      <c r="FO30" s="505" t="e">
        <f t="shared" si="118"/>
        <v>#N/A</v>
      </c>
      <c r="FP30" s="571"/>
      <c r="FQ30" s="571"/>
      <c r="FR30" s="571"/>
      <c r="FS30" s="571"/>
      <c r="FT30" s="571"/>
      <c r="FU30" s="571"/>
      <c r="FV30" s="571"/>
      <c r="FW30" s="571"/>
      <c r="FX30" s="571"/>
      <c r="FY30" s="571"/>
      <c r="FZ30" s="571"/>
      <c r="GA30" s="571"/>
      <c r="GB30" s="571"/>
      <c r="GC30" s="571"/>
      <c r="GD30" s="443"/>
      <c r="GE30" s="505" t="e">
        <f t="shared" si="119"/>
        <v>#N/A</v>
      </c>
      <c r="GF30" s="505" t="e">
        <f t="shared" si="120"/>
        <v>#N/A</v>
      </c>
      <c r="GG30" s="505" t="e">
        <f t="shared" si="121"/>
        <v>#N/A</v>
      </c>
      <c r="GH30" s="505" t="e">
        <f t="shared" si="122"/>
        <v>#N/A</v>
      </c>
      <c r="GI30" s="505" t="e">
        <f t="shared" si="123"/>
        <v>#N/A</v>
      </c>
      <c r="GJ30" s="505" t="e">
        <f t="shared" si="124"/>
        <v>#N/A</v>
      </c>
      <c r="GK30" s="505" t="e">
        <f t="shared" si="125"/>
        <v>#N/A</v>
      </c>
      <c r="GL30" s="571"/>
      <c r="GM30" s="571"/>
      <c r="GN30" s="571"/>
      <c r="GO30" s="571"/>
      <c r="GP30" s="571"/>
      <c r="GQ30" s="571"/>
      <c r="GR30" s="571"/>
      <c r="GS30" s="571"/>
      <c r="GT30" s="571"/>
      <c r="GU30" s="571"/>
      <c r="GV30" s="571"/>
      <c r="GW30" s="571"/>
      <c r="GX30" s="506"/>
      <c r="GY30" s="507" t="e">
        <f t="shared" si="126"/>
        <v>#N/A</v>
      </c>
      <c r="GZ30" s="505" t="e">
        <f t="shared" si="127"/>
        <v>#N/A</v>
      </c>
      <c r="HA30" s="505" t="e">
        <f t="shared" si="128"/>
        <v>#N/A</v>
      </c>
      <c r="HB30" s="505" t="e">
        <f t="shared" si="129"/>
        <v>#N/A</v>
      </c>
      <c r="HC30" s="505" t="e">
        <f t="shared" si="130"/>
        <v>#N/A</v>
      </c>
      <c r="HD30" s="505" t="e">
        <f t="shared" si="131"/>
        <v>#N/A</v>
      </c>
      <c r="HE30" s="505" t="e">
        <f t="shared" si="132"/>
        <v>#N/A</v>
      </c>
      <c r="HF30" s="571"/>
      <c r="HG30" s="571"/>
      <c r="HH30" s="571"/>
      <c r="HI30" s="571"/>
      <c r="HJ30" s="571"/>
      <c r="HK30" s="571"/>
      <c r="HL30" s="571"/>
      <c r="HM30" s="571"/>
      <c r="HN30" s="571"/>
      <c r="HO30" s="571"/>
      <c r="HP30" s="571"/>
      <c r="HQ30" s="571"/>
      <c r="HR30" s="571"/>
      <c r="HS30" s="777"/>
      <c r="HT30" s="508">
        <f t="shared" si="24"/>
        <v>0</v>
      </c>
      <c r="HU30" s="509">
        <f t="shared" si="25"/>
        <v>0</v>
      </c>
      <c r="HV30" s="510">
        <f t="shared" si="26"/>
        <v>0</v>
      </c>
      <c r="HW30" s="543"/>
      <c r="HX30" s="543" t="s">
        <v>420</v>
      </c>
      <c r="HY30" s="548"/>
      <c r="HZ30" s="548"/>
      <c r="IA30" s="546" t="e">
        <f t="shared" si="133"/>
        <v>#N/A</v>
      </c>
      <c r="IB30" s="547" t="e">
        <f t="shared" si="134"/>
        <v>#N/A</v>
      </c>
      <c r="IC30" s="554">
        <f t="shared" si="27"/>
        <v>0</v>
      </c>
      <c r="ID30" s="545" t="str">
        <f t="shared" si="28"/>
        <v/>
      </c>
      <c r="IE30" s="222">
        <f t="shared" si="29"/>
        <v>0</v>
      </c>
      <c r="IF30" s="230">
        <f t="shared" si="30"/>
        <v>0</v>
      </c>
      <c r="IG30" s="228">
        <f t="shared" si="31"/>
        <v>0</v>
      </c>
      <c r="IH30" s="423">
        <f t="shared" si="32"/>
        <v>0</v>
      </c>
      <c r="II30" s="425">
        <f t="shared" si="33"/>
        <v>0</v>
      </c>
    </row>
    <row r="31" spans="2:244" s="40" customFormat="1" ht="24.75" customHeight="1" x14ac:dyDescent="0.35">
      <c r="B31" s="258"/>
      <c r="C31" s="310">
        <f t="shared" si="155"/>
        <v>18</v>
      </c>
      <c r="D31" s="311">
        <f>IF(S31=0,0,VLOOKUP(S31,'قائمة الأسعار'!$C$13:$H$45,2,0))</f>
        <v>0</v>
      </c>
      <c r="E31" s="312">
        <f t="shared" si="156"/>
        <v>0</v>
      </c>
      <c r="F31" s="313">
        <f t="shared" si="36"/>
        <v>0</v>
      </c>
      <c r="G31" s="313" t="e">
        <f t="shared" si="37"/>
        <v>#DIV/0!</v>
      </c>
      <c r="H31" s="314">
        <f t="shared" si="38"/>
        <v>0</v>
      </c>
      <c r="I31" s="315">
        <f t="shared" si="39"/>
        <v>0</v>
      </c>
      <c r="J31" s="316">
        <f t="shared" si="157"/>
        <v>0</v>
      </c>
      <c r="K31" s="315">
        <f t="shared" si="158"/>
        <v>0</v>
      </c>
      <c r="L31" s="317">
        <f>IF(S31=0,0,IF(T31="لون خاص",VLOOKUP(D31,'قائمة الأسعار'!$D$48:$F$62,3,0),VLOOKUP(D31,'قائمة الأسعار'!$D$13:$F$27,3,0)))</f>
        <v>0</v>
      </c>
      <c r="M31" s="318">
        <f t="shared" si="159"/>
        <v>0</v>
      </c>
      <c r="N31" s="315">
        <f>IF(S31=0,0,(IF(OR(S31=$CI$17,S31=$CI$18,S31=$CI$22,S31=$CI$23),K31,K31-(VLOOKUP(D31,'قائمة الأسعار'!$D$13:$G$47,4,FALSE)*J31*F31)/10000)))</f>
        <v>0</v>
      </c>
      <c r="O31" s="612">
        <f>IF(S31=0,0,IF(T31="لون خاص",VLOOKUP(D31,'قائمة الأسعار'!$D$48:$G$62,4,0),VLOOKUP(D31,'قائمة الأسعار'!$D$13:$G$47,4,0)))</f>
        <v>0</v>
      </c>
      <c r="Q31" s="91"/>
      <c r="R31" s="204">
        <v>18</v>
      </c>
      <c r="S31" s="200"/>
      <c r="T31" s="200"/>
      <c r="U31" s="200"/>
      <c r="V31" s="201"/>
      <c r="W31" s="201"/>
      <c r="X31" s="201"/>
      <c r="Y31" s="201"/>
      <c r="Z31" s="201" t="b">
        <v>1</v>
      </c>
      <c r="AA31" s="200"/>
      <c r="AB31" s="201"/>
      <c r="AC31" s="219"/>
      <c r="AD31" s="620"/>
      <c r="AE31" s="620"/>
      <c r="AF31" s="621"/>
      <c r="AG31" s="193"/>
      <c r="AH31" s="202">
        <f t="shared" si="139"/>
        <v>0</v>
      </c>
      <c r="AI31" s="203" t="str">
        <f t="shared" si="2"/>
        <v/>
      </c>
      <c r="AJ31" s="63"/>
      <c r="AK31" s="53"/>
      <c r="AL31" s="37"/>
      <c r="AM31" s="488"/>
      <c r="AN31" s="489" t="e">
        <f t="shared" si="41"/>
        <v>#DIV/0!</v>
      </c>
      <c r="AO31" s="490" cm="1">
        <f t="array" ref="AO31">IF(V31&lt;&gt;0,IF($AW$12=$BB$4,IF(X31=$BF$14,V31-1,IF(X31=$BF$13,V31+8.5,V31-7.5)),IF(X31=$BF$14,V31-1,IF(X31=$BF$13,IF(OR(S31=$CI$15:$CI$19,S31=$CI$38,S31=$CI$40),V31+3.6,IF(S31=$CI$39,V31+2.9,V31+4)),IF(OR(S31=$CI$15:$CI$19,S31=$CI$38,S31=$CI$40),V31-12.4,IF(S31=$CI$39,V31-13.1,V31-12))))),0)</f>
        <v>0</v>
      </c>
      <c r="AP31" s="491">
        <f t="shared" si="42"/>
        <v>0</v>
      </c>
      <c r="AQ31" s="491">
        <f t="shared" si="43"/>
        <v>0</v>
      </c>
      <c r="AR31" s="492">
        <f t="shared" si="44"/>
        <v>0</v>
      </c>
      <c r="AS31" s="493">
        <f t="shared" si="45"/>
        <v>0</v>
      </c>
      <c r="AT31" s="493">
        <f t="shared" si="46"/>
        <v>0</v>
      </c>
      <c r="AU31" s="493">
        <f t="shared" si="47"/>
        <v>0</v>
      </c>
      <c r="AV31" s="493">
        <f t="shared" si="48"/>
        <v>0</v>
      </c>
      <c r="AW31" s="494">
        <f t="shared" si="49"/>
        <v>0</v>
      </c>
      <c r="AX31" s="494">
        <f t="shared" si="50"/>
        <v>0</v>
      </c>
      <c r="AY31" s="494">
        <f t="shared" si="51"/>
        <v>0</v>
      </c>
      <c r="AZ31" s="495">
        <f t="shared" si="52"/>
        <v>0</v>
      </c>
      <c r="BA31" s="495">
        <f t="shared" si="53"/>
        <v>2</v>
      </c>
      <c r="BB31" s="495">
        <f t="shared" si="54"/>
        <v>0</v>
      </c>
      <c r="BC31" s="496" cm="1">
        <f t="array" ref="BC31">IF(OR($AB31=$BF$22:$BF$40),$AB31,0)</f>
        <v>0</v>
      </c>
      <c r="BD31" s="496" cm="1">
        <f t="array" ref="BD31">IF(OR($AB31=$BF$22:$BF$40),IF(AC31=$CH$14,BK31,IF(AC31=$CH$13,BJ31,BI31)),0)</f>
        <v>0</v>
      </c>
      <c r="BE31" s="497" cm="1">
        <f t="array" ref="BE31">IF(OR(AB31=$BF$22:$BF$40),AA31,0)</f>
        <v>0</v>
      </c>
      <c r="BF31" s="604" t="s">
        <v>473</v>
      </c>
      <c r="BG31" s="485"/>
      <c r="BH31" s="499" t="e">
        <f t="shared" si="55"/>
        <v>#N/A</v>
      </c>
      <c r="BI31" s="498">
        <f t="shared" si="56"/>
        <v>0</v>
      </c>
      <c r="BJ31" s="498">
        <f t="shared" si="57"/>
        <v>0</v>
      </c>
      <c r="BK31" s="498">
        <f t="shared" si="58"/>
        <v>0</v>
      </c>
      <c r="BL31" s="500">
        <f t="shared" si="160"/>
        <v>0</v>
      </c>
      <c r="BM31" s="500">
        <f t="shared" si="3"/>
        <v>0</v>
      </c>
      <c r="BN31" s="500">
        <f t="shared" si="4"/>
        <v>0</v>
      </c>
      <c r="BO31" s="500">
        <f t="shared" si="5"/>
        <v>0</v>
      </c>
      <c r="BP31" s="500">
        <f t="shared" si="6"/>
        <v>0</v>
      </c>
      <c r="BQ31" s="500">
        <f t="shared" si="7"/>
        <v>0</v>
      </c>
      <c r="BR31" s="500">
        <f t="shared" si="8"/>
        <v>0</v>
      </c>
      <c r="BS31" s="500">
        <f t="shared" si="9"/>
        <v>0</v>
      </c>
      <c r="BT31" s="496">
        <f t="shared" si="10"/>
        <v>0</v>
      </c>
      <c r="BU31" s="496">
        <f t="shared" si="11"/>
        <v>0</v>
      </c>
      <c r="BV31" s="496">
        <f t="shared" si="12"/>
        <v>0</v>
      </c>
      <c r="BW31" s="496">
        <f t="shared" si="13"/>
        <v>0</v>
      </c>
      <c r="BX31" s="496">
        <f t="shared" si="14"/>
        <v>0</v>
      </c>
      <c r="BY31" s="496">
        <f t="shared" si="15"/>
        <v>0</v>
      </c>
      <c r="BZ31" s="496">
        <f t="shared" si="60"/>
        <v>0</v>
      </c>
      <c r="CA31" s="496">
        <f t="shared" si="16"/>
        <v>0</v>
      </c>
      <c r="CB31" s="496">
        <f t="shared" si="17"/>
        <v>0</v>
      </c>
      <c r="CC31" s="496">
        <f t="shared" si="18"/>
        <v>0</v>
      </c>
      <c r="CD31" s="496">
        <f t="shared" si="19"/>
        <v>0</v>
      </c>
      <c r="CE31" s="501">
        <f t="shared" si="61"/>
        <v>0</v>
      </c>
      <c r="CF31" s="501">
        <f t="shared" si="62"/>
        <v>0</v>
      </c>
      <c r="CG31" s="502">
        <f t="shared" si="63"/>
        <v>0</v>
      </c>
      <c r="CH31" s="514"/>
      <c r="CI31" s="577" t="s">
        <v>420</v>
      </c>
      <c r="CJ31" s="575"/>
      <c r="CK31" s="599">
        <v>5</v>
      </c>
      <c r="CL31" s="777"/>
      <c r="CM31" s="503">
        <f t="shared" si="142"/>
        <v>0</v>
      </c>
      <c r="CN31" s="504">
        <f t="shared" si="65"/>
        <v>0</v>
      </c>
      <c r="CO31" s="504">
        <f t="shared" si="66"/>
        <v>0</v>
      </c>
      <c r="CP31" s="504">
        <f t="shared" si="67"/>
        <v>0</v>
      </c>
      <c r="CQ31" s="504">
        <f t="shared" si="68"/>
        <v>0</v>
      </c>
      <c r="CR31" s="504">
        <f t="shared" si="69"/>
        <v>0</v>
      </c>
      <c r="CS31" s="504">
        <f t="shared" si="70"/>
        <v>0</v>
      </c>
      <c r="CT31" s="504">
        <f t="shared" si="71"/>
        <v>0</v>
      </c>
      <c r="CU31" s="504">
        <f t="shared" si="72"/>
        <v>0</v>
      </c>
      <c r="CV31" s="504">
        <f t="shared" si="73"/>
        <v>0</v>
      </c>
      <c r="CW31" s="504">
        <f t="shared" si="74"/>
        <v>0</v>
      </c>
      <c r="CX31" s="504">
        <f t="shared" si="75"/>
        <v>0</v>
      </c>
      <c r="CY31" s="504">
        <f t="shared" si="76"/>
        <v>0</v>
      </c>
      <c r="CZ31" s="504">
        <f t="shared" si="77"/>
        <v>0</v>
      </c>
      <c r="DA31" s="505">
        <f t="shared" si="78"/>
        <v>0</v>
      </c>
      <c r="DB31" s="571">
        <f t="shared" si="79"/>
        <v>0</v>
      </c>
      <c r="DC31" s="571">
        <f t="shared" si="80"/>
        <v>0</v>
      </c>
      <c r="DD31" s="571">
        <f t="shared" si="81"/>
        <v>0</v>
      </c>
      <c r="DE31" s="571">
        <f t="shared" si="82"/>
        <v>0</v>
      </c>
      <c r="DF31" s="571">
        <f t="shared" si="83"/>
        <v>0</v>
      </c>
      <c r="DG31" s="571">
        <f t="shared" si="84"/>
        <v>0</v>
      </c>
      <c r="DH31" s="571">
        <f t="shared" si="85"/>
        <v>0</v>
      </c>
      <c r="DI31" s="571">
        <f t="shared" si="86"/>
        <v>0</v>
      </c>
      <c r="DJ31" s="571">
        <f t="shared" si="87"/>
        <v>0</v>
      </c>
      <c r="DK31" s="571">
        <f t="shared" si="88"/>
        <v>0</v>
      </c>
      <c r="DL31" s="571">
        <f t="shared" si="89"/>
        <v>0</v>
      </c>
      <c r="DM31" s="571">
        <f t="shared" si="90"/>
        <v>0</v>
      </c>
      <c r="DN31" s="571">
        <f t="shared" si="91"/>
        <v>0</v>
      </c>
      <c r="DO31" s="571">
        <f t="shared" si="92"/>
        <v>0</v>
      </c>
      <c r="DP31" s="571">
        <f t="shared" si="93"/>
        <v>0</v>
      </c>
      <c r="DQ31" s="571">
        <f t="shared" si="173"/>
        <v>0</v>
      </c>
      <c r="DR31" s="571">
        <f t="shared" si="94"/>
        <v>0</v>
      </c>
      <c r="DS31" s="571">
        <f t="shared" si="95"/>
        <v>0</v>
      </c>
      <c r="DT31" s="571"/>
      <c r="DU31" s="571"/>
      <c r="DV31" s="777"/>
      <c r="DW31" s="503">
        <f t="shared" si="135"/>
        <v>0</v>
      </c>
      <c r="DX31" s="503">
        <f t="shared" si="136"/>
        <v>0</v>
      </c>
      <c r="DY31" s="503" cm="1">
        <f t="array" ref="DY31">IF($S31=DY$12,IF(AND(AO31&lt;=250,BH31&lt;=60),6,IF(OR(AO31&lt;=350,BH31&lt;=80),7,IF(OR(AND(AO31&gt;350,AO&lt;=120),BH31&lt;=120),9,12))),DZ31)</f>
        <v>0</v>
      </c>
      <c r="DZ31" s="504">
        <f t="shared" si="96"/>
        <v>0</v>
      </c>
      <c r="EA31" s="504">
        <f t="shared" si="97"/>
        <v>0</v>
      </c>
      <c r="EB31" s="504">
        <f t="shared" si="98"/>
        <v>0</v>
      </c>
      <c r="EC31" s="504">
        <f t="shared" si="99"/>
        <v>0</v>
      </c>
      <c r="ED31" s="504">
        <f t="shared" si="100"/>
        <v>0</v>
      </c>
      <c r="EE31" s="504">
        <f t="shared" si="101"/>
        <v>0</v>
      </c>
      <c r="EF31" s="504">
        <f t="shared" si="102"/>
        <v>0</v>
      </c>
      <c r="EG31" s="504">
        <f t="shared" si="103"/>
        <v>0</v>
      </c>
      <c r="EH31" s="504">
        <f t="shared" si="104"/>
        <v>0</v>
      </c>
      <c r="EI31" s="504">
        <f t="shared" si="105"/>
        <v>0</v>
      </c>
      <c r="EJ31" s="504">
        <f t="shared" si="106"/>
        <v>0</v>
      </c>
      <c r="EK31" s="505">
        <f t="shared" si="107"/>
        <v>0</v>
      </c>
      <c r="EL31" s="571">
        <f t="shared" ref="EL31:ET31" si="176">IF($S31=EL$12,IF(AND($AO31&lt;=320,$BH31&lt;=50),6,7),EM31)</f>
        <v>0</v>
      </c>
      <c r="EM31" s="571">
        <f t="shared" si="176"/>
        <v>0</v>
      </c>
      <c r="EN31" s="571">
        <f t="shared" si="176"/>
        <v>0</v>
      </c>
      <c r="EO31" s="571">
        <f t="shared" si="176"/>
        <v>0</v>
      </c>
      <c r="EP31" s="571">
        <f t="shared" si="176"/>
        <v>0</v>
      </c>
      <c r="EQ31" s="571">
        <f t="shared" si="176"/>
        <v>0</v>
      </c>
      <c r="ER31" s="571">
        <f t="shared" si="176"/>
        <v>0</v>
      </c>
      <c r="ES31" s="571">
        <f t="shared" si="176"/>
        <v>0</v>
      </c>
      <c r="ET31" s="571">
        <f t="shared" si="176"/>
        <v>0</v>
      </c>
      <c r="EU31" s="571">
        <f t="shared" si="109"/>
        <v>0</v>
      </c>
      <c r="EV31" s="571">
        <f t="shared" ref="EV31:FA31" si="177">IF($S31=EV$12,IF(AND($AO31&lt;=320,$BH31&lt;=50),6,7),EW31)</f>
        <v>0</v>
      </c>
      <c r="EW31" s="571">
        <f t="shared" si="177"/>
        <v>0</v>
      </c>
      <c r="EX31" s="571">
        <f t="shared" si="177"/>
        <v>0</v>
      </c>
      <c r="EY31" s="571">
        <f t="shared" si="177"/>
        <v>0</v>
      </c>
      <c r="EZ31" s="571">
        <f t="shared" si="177"/>
        <v>0</v>
      </c>
      <c r="FA31" s="571">
        <f t="shared" si="177"/>
        <v>0</v>
      </c>
      <c r="FB31" s="571">
        <f t="shared" si="23"/>
        <v>0</v>
      </c>
      <c r="FC31" s="571">
        <f t="shared" si="111"/>
        <v>0</v>
      </c>
      <c r="FD31" s="571"/>
      <c r="FE31" s="571"/>
      <c r="FF31" s="571"/>
      <c r="FG31" s="571"/>
      <c r="FH31" s="443"/>
      <c r="FI31" s="505" t="e">
        <f t="shared" si="112"/>
        <v>#N/A</v>
      </c>
      <c r="FJ31" s="505" t="e">
        <f t="shared" si="113"/>
        <v>#N/A</v>
      </c>
      <c r="FK31" s="505" t="e">
        <f t="shared" si="114"/>
        <v>#N/A</v>
      </c>
      <c r="FL31" s="505" t="e">
        <f t="shared" si="115"/>
        <v>#N/A</v>
      </c>
      <c r="FM31" s="505" t="e">
        <f t="shared" si="116"/>
        <v>#N/A</v>
      </c>
      <c r="FN31" s="505" t="e">
        <f t="shared" si="117"/>
        <v>#N/A</v>
      </c>
      <c r="FO31" s="505" t="e">
        <f t="shared" si="118"/>
        <v>#N/A</v>
      </c>
      <c r="FP31" s="571"/>
      <c r="FQ31" s="571"/>
      <c r="FR31" s="571"/>
      <c r="FS31" s="571"/>
      <c r="FT31" s="571"/>
      <c r="FU31" s="571"/>
      <c r="FV31" s="571"/>
      <c r="FW31" s="571"/>
      <c r="FX31" s="571"/>
      <c r="FY31" s="571"/>
      <c r="FZ31" s="571"/>
      <c r="GA31" s="571"/>
      <c r="GB31" s="571"/>
      <c r="GC31" s="571"/>
      <c r="GD31" s="443"/>
      <c r="GE31" s="505" t="e">
        <f t="shared" si="119"/>
        <v>#N/A</v>
      </c>
      <c r="GF31" s="505" t="e">
        <f t="shared" si="120"/>
        <v>#N/A</v>
      </c>
      <c r="GG31" s="505" t="e">
        <f t="shared" si="121"/>
        <v>#N/A</v>
      </c>
      <c r="GH31" s="505" t="e">
        <f t="shared" si="122"/>
        <v>#N/A</v>
      </c>
      <c r="GI31" s="505" t="e">
        <f t="shared" si="123"/>
        <v>#N/A</v>
      </c>
      <c r="GJ31" s="505" t="e">
        <f t="shared" si="124"/>
        <v>#N/A</v>
      </c>
      <c r="GK31" s="505" t="e">
        <f t="shared" si="125"/>
        <v>#N/A</v>
      </c>
      <c r="GL31" s="571"/>
      <c r="GM31" s="571"/>
      <c r="GN31" s="571"/>
      <c r="GO31" s="571"/>
      <c r="GP31" s="571"/>
      <c r="GQ31" s="571"/>
      <c r="GR31" s="571"/>
      <c r="GS31" s="571"/>
      <c r="GT31" s="571"/>
      <c r="GU31" s="571"/>
      <c r="GV31" s="571"/>
      <c r="GW31" s="571"/>
      <c r="GX31" s="506"/>
      <c r="GY31" s="507" t="e">
        <f t="shared" si="126"/>
        <v>#N/A</v>
      </c>
      <c r="GZ31" s="505" t="e">
        <f t="shared" si="127"/>
        <v>#N/A</v>
      </c>
      <c r="HA31" s="505" t="e">
        <f t="shared" si="128"/>
        <v>#N/A</v>
      </c>
      <c r="HB31" s="505" t="e">
        <f t="shared" si="129"/>
        <v>#N/A</v>
      </c>
      <c r="HC31" s="505" t="e">
        <f t="shared" si="130"/>
        <v>#N/A</v>
      </c>
      <c r="HD31" s="505" t="e">
        <f t="shared" si="131"/>
        <v>#N/A</v>
      </c>
      <c r="HE31" s="505" t="e">
        <f t="shared" si="132"/>
        <v>#N/A</v>
      </c>
      <c r="HF31" s="571"/>
      <c r="HG31" s="571"/>
      <c r="HH31" s="571"/>
      <c r="HI31" s="571"/>
      <c r="HJ31" s="571"/>
      <c r="HK31" s="571"/>
      <c r="HL31" s="571"/>
      <c r="HM31" s="571"/>
      <c r="HN31" s="571"/>
      <c r="HO31" s="571"/>
      <c r="HP31" s="571"/>
      <c r="HQ31" s="571"/>
      <c r="HR31" s="571"/>
      <c r="HS31" s="777"/>
      <c r="HT31" s="508">
        <f t="shared" si="24"/>
        <v>0</v>
      </c>
      <c r="HU31" s="509">
        <f>IF(OR(S31=$CI$18,S31=$CM47),AO31*AA31,0)</f>
        <v>0</v>
      </c>
      <c r="HV31" s="510">
        <f t="shared" si="26"/>
        <v>0</v>
      </c>
      <c r="HW31" s="543"/>
      <c r="HX31" s="543" t="s">
        <v>421</v>
      </c>
      <c r="HY31" s="548"/>
      <c r="HZ31" s="548"/>
      <c r="IA31" s="546" t="e">
        <f t="shared" si="133"/>
        <v>#N/A</v>
      </c>
      <c r="IB31" s="547" t="e">
        <f t="shared" si="134"/>
        <v>#N/A</v>
      </c>
      <c r="IC31" s="554">
        <f t="shared" si="27"/>
        <v>0</v>
      </c>
      <c r="ID31" s="545" t="str">
        <f t="shared" si="28"/>
        <v/>
      </c>
      <c r="IE31" s="222">
        <f t="shared" si="29"/>
        <v>0</v>
      </c>
      <c r="IF31" s="230">
        <f t="shared" si="30"/>
        <v>0</v>
      </c>
      <c r="IG31" s="228">
        <f t="shared" si="31"/>
        <v>0</v>
      </c>
      <c r="IH31" s="423">
        <f t="shared" si="32"/>
        <v>0</v>
      </c>
      <c r="II31" s="425">
        <f t="shared" si="33"/>
        <v>0</v>
      </c>
    </row>
    <row r="32" spans="2:244" s="40" customFormat="1" ht="24.75" customHeight="1" x14ac:dyDescent="0.35">
      <c r="B32" s="258"/>
      <c r="C32" s="310">
        <f t="shared" si="155"/>
        <v>19</v>
      </c>
      <c r="D32" s="311">
        <f>IF(S32=0,0,VLOOKUP(S32,'قائمة الأسعار'!$C$13:$H$45,2,0))</f>
        <v>0</v>
      </c>
      <c r="E32" s="312">
        <f t="shared" si="156"/>
        <v>0</v>
      </c>
      <c r="F32" s="313">
        <f t="shared" si="36"/>
        <v>0</v>
      </c>
      <c r="G32" s="313" t="e">
        <f t="shared" si="37"/>
        <v>#DIV/0!</v>
      </c>
      <c r="H32" s="314">
        <f t="shared" si="38"/>
        <v>0</v>
      </c>
      <c r="I32" s="315">
        <f t="shared" si="39"/>
        <v>0</v>
      </c>
      <c r="J32" s="316">
        <f t="shared" si="157"/>
        <v>0</v>
      </c>
      <c r="K32" s="315">
        <f t="shared" si="158"/>
        <v>0</v>
      </c>
      <c r="L32" s="317">
        <f>IF(S32=0,0,IF(T32="لون خاص",VLOOKUP(D32,'قائمة الأسعار'!$D$48:$F$62,3,0),VLOOKUP(D32,'قائمة الأسعار'!$D$13:$F$27,3,0)))</f>
        <v>0</v>
      </c>
      <c r="M32" s="318">
        <f t="shared" si="159"/>
        <v>0</v>
      </c>
      <c r="N32" s="315">
        <f>IF(S32=0,0,(IF(OR(S32=$CI$17,S32=$CI$18,S32=$CI$22,S32=$CI$23),K32,K32-(VLOOKUP(D32,'قائمة الأسعار'!$D$13:$G$47,4,FALSE)*J32*F32)/10000)))</f>
        <v>0</v>
      </c>
      <c r="O32" s="612">
        <f>IF(S32=0,0,IF(T32="لون خاص",VLOOKUP(D32,'قائمة الأسعار'!$D$48:$G$62,4,0),VLOOKUP(D32,'قائمة الأسعار'!$D$13:$G$47,4,0)))</f>
        <v>0</v>
      </c>
      <c r="Q32" s="91"/>
      <c r="R32" s="204">
        <v>19</v>
      </c>
      <c r="S32" s="200"/>
      <c r="T32" s="200"/>
      <c r="U32" s="200"/>
      <c r="V32" s="201"/>
      <c r="W32" s="201"/>
      <c r="X32" s="201"/>
      <c r="Y32" s="201"/>
      <c r="Z32" s="201" t="b">
        <v>1</v>
      </c>
      <c r="AA32" s="200"/>
      <c r="AB32" s="201"/>
      <c r="AC32" s="219"/>
      <c r="AD32" s="620"/>
      <c r="AE32" s="620"/>
      <c r="AF32" s="621"/>
      <c r="AG32" s="193"/>
      <c r="AH32" s="202">
        <f t="shared" si="139"/>
        <v>0</v>
      </c>
      <c r="AI32" s="203" t="str">
        <f t="shared" si="2"/>
        <v/>
      </c>
      <c r="AJ32" s="63"/>
      <c r="AK32" s="53"/>
      <c r="AL32" s="37"/>
      <c r="AM32" s="488"/>
      <c r="AN32" s="489" t="e">
        <f t="shared" si="41"/>
        <v>#DIV/0!</v>
      </c>
      <c r="AO32" s="490" cm="1">
        <f t="array" ref="AO32">IF(V32&lt;&gt;0,IF($AW$12=$BB$4,IF(X32=$BF$14,V32-1,IF(X32=$BF$13,V32+8.5,V32-7.5)),IF(X32=$BF$14,V32-1,IF(X32=$BF$13,IF(OR(S32=$CI$15:$CI$19,S32=$CI$38,S32=$CI$40),V32+3.6,IF(S32=$CI$39,V32+2.9,V32+4)),IF(OR(S32=$CI$15:$CI$19,S32=$CI$38,S32=$CI$40),V32-12.4,IF(S32=$CI$39,V32-13.1,V32-12))))),0)</f>
        <v>0</v>
      </c>
      <c r="AP32" s="491">
        <f t="shared" si="42"/>
        <v>0</v>
      </c>
      <c r="AQ32" s="491">
        <f t="shared" si="43"/>
        <v>0</v>
      </c>
      <c r="AR32" s="492">
        <f t="shared" si="44"/>
        <v>0</v>
      </c>
      <c r="AS32" s="493">
        <f t="shared" si="45"/>
        <v>0</v>
      </c>
      <c r="AT32" s="493">
        <f t="shared" si="46"/>
        <v>0</v>
      </c>
      <c r="AU32" s="493">
        <f t="shared" si="47"/>
        <v>0</v>
      </c>
      <c r="AV32" s="493">
        <f t="shared" si="48"/>
        <v>0</v>
      </c>
      <c r="AW32" s="494">
        <f t="shared" si="49"/>
        <v>0</v>
      </c>
      <c r="AX32" s="494">
        <f t="shared" si="50"/>
        <v>0</v>
      </c>
      <c r="AY32" s="494">
        <f t="shared" si="51"/>
        <v>0</v>
      </c>
      <c r="AZ32" s="495">
        <f t="shared" si="52"/>
        <v>0</v>
      </c>
      <c r="BA32" s="495">
        <f t="shared" si="53"/>
        <v>2</v>
      </c>
      <c r="BB32" s="495">
        <f t="shared" si="54"/>
        <v>0</v>
      </c>
      <c r="BC32" s="496" cm="1">
        <f t="array" ref="BC32">IF(OR($AB32=$BF$22:$BF$40),$AB32,0)</f>
        <v>0</v>
      </c>
      <c r="BD32" s="496" cm="1">
        <f t="array" ref="BD32">IF(OR($AB32=$BF$22:$BF$40),IF(AC32=$CH$14,BK32,IF(AC32=$CH$13,BJ32,BI32)),0)</f>
        <v>0</v>
      </c>
      <c r="BE32" s="497" cm="1">
        <f t="array" ref="BE32">IF(OR(AB32=$BF$22:$BF$40),AA32,0)</f>
        <v>0</v>
      </c>
      <c r="BF32" s="604" t="s">
        <v>481</v>
      </c>
      <c r="BH32" s="499" t="e">
        <f t="shared" si="55"/>
        <v>#N/A</v>
      </c>
      <c r="BI32" s="498">
        <f t="shared" si="56"/>
        <v>0</v>
      </c>
      <c r="BJ32" s="498">
        <f t="shared" si="57"/>
        <v>0</v>
      </c>
      <c r="BK32" s="498">
        <f t="shared" si="58"/>
        <v>0</v>
      </c>
      <c r="BL32" s="500">
        <f t="shared" si="160"/>
        <v>0</v>
      </c>
      <c r="BM32" s="500">
        <f t="shared" si="3"/>
        <v>0</v>
      </c>
      <c r="BN32" s="500">
        <f t="shared" si="4"/>
        <v>0</v>
      </c>
      <c r="BO32" s="500">
        <f t="shared" si="5"/>
        <v>0</v>
      </c>
      <c r="BP32" s="500">
        <f t="shared" si="6"/>
        <v>0</v>
      </c>
      <c r="BQ32" s="500">
        <f t="shared" si="7"/>
        <v>0</v>
      </c>
      <c r="BR32" s="500">
        <f t="shared" si="8"/>
        <v>0</v>
      </c>
      <c r="BS32" s="500">
        <f t="shared" si="9"/>
        <v>0</v>
      </c>
      <c r="BT32" s="496">
        <f t="shared" si="10"/>
        <v>0</v>
      </c>
      <c r="BU32" s="496">
        <f t="shared" si="11"/>
        <v>0</v>
      </c>
      <c r="BV32" s="496">
        <f t="shared" si="12"/>
        <v>0</v>
      </c>
      <c r="BW32" s="496">
        <f t="shared" si="13"/>
        <v>0</v>
      </c>
      <c r="BX32" s="496">
        <f t="shared" si="14"/>
        <v>0</v>
      </c>
      <c r="BY32" s="496">
        <f t="shared" si="15"/>
        <v>0</v>
      </c>
      <c r="BZ32" s="496">
        <f t="shared" si="60"/>
        <v>0</v>
      </c>
      <c r="CA32" s="496">
        <f t="shared" si="16"/>
        <v>0</v>
      </c>
      <c r="CB32" s="496">
        <f t="shared" si="17"/>
        <v>0</v>
      </c>
      <c r="CC32" s="496">
        <f t="shared" si="18"/>
        <v>0</v>
      </c>
      <c r="CD32" s="496">
        <f t="shared" si="19"/>
        <v>0</v>
      </c>
      <c r="CE32" s="501">
        <f t="shared" si="61"/>
        <v>0</v>
      </c>
      <c r="CF32" s="501">
        <f t="shared" si="62"/>
        <v>0</v>
      </c>
      <c r="CG32" s="502">
        <f t="shared" si="63"/>
        <v>0</v>
      </c>
      <c r="CH32" s="514"/>
      <c r="CI32" s="577" t="s">
        <v>421</v>
      </c>
      <c r="CJ32" s="575"/>
      <c r="CK32" s="599">
        <v>10.8</v>
      </c>
      <c r="CL32" s="777"/>
      <c r="CM32" s="503">
        <f t="shared" si="142"/>
        <v>0</v>
      </c>
      <c r="CN32" s="504">
        <f t="shared" si="65"/>
        <v>0</v>
      </c>
      <c r="CO32" s="504">
        <f t="shared" si="66"/>
        <v>0</v>
      </c>
      <c r="CP32" s="504">
        <f t="shared" si="67"/>
        <v>0</v>
      </c>
      <c r="CQ32" s="504">
        <f t="shared" si="68"/>
        <v>0</v>
      </c>
      <c r="CR32" s="504">
        <f t="shared" si="69"/>
        <v>0</v>
      </c>
      <c r="CS32" s="504">
        <f t="shared" si="70"/>
        <v>0</v>
      </c>
      <c r="CT32" s="504">
        <f t="shared" si="71"/>
        <v>0</v>
      </c>
      <c r="CU32" s="504">
        <f t="shared" si="72"/>
        <v>0</v>
      </c>
      <c r="CV32" s="504">
        <f t="shared" si="73"/>
        <v>0</v>
      </c>
      <c r="CW32" s="504">
        <f t="shared" si="74"/>
        <v>0</v>
      </c>
      <c r="CX32" s="504">
        <f t="shared" si="75"/>
        <v>0</v>
      </c>
      <c r="CY32" s="504">
        <f t="shared" si="76"/>
        <v>0</v>
      </c>
      <c r="CZ32" s="504">
        <f t="shared" si="77"/>
        <v>0</v>
      </c>
      <c r="DA32" s="505">
        <f t="shared" si="78"/>
        <v>0</v>
      </c>
      <c r="DB32" s="571">
        <f t="shared" si="79"/>
        <v>0</v>
      </c>
      <c r="DC32" s="571">
        <f t="shared" si="80"/>
        <v>0</v>
      </c>
      <c r="DD32" s="571">
        <f t="shared" si="81"/>
        <v>0</v>
      </c>
      <c r="DE32" s="571">
        <f t="shared" si="82"/>
        <v>0</v>
      </c>
      <c r="DF32" s="571">
        <f t="shared" si="83"/>
        <v>0</v>
      </c>
      <c r="DG32" s="571">
        <f t="shared" si="84"/>
        <v>0</v>
      </c>
      <c r="DH32" s="571">
        <f t="shared" si="85"/>
        <v>0</v>
      </c>
      <c r="DI32" s="571">
        <f t="shared" si="86"/>
        <v>0</v>
      </c>
      <c r="DJ32" s="571">
        <f t="shared" si="87"/>
        <v>0</v>
      </c>
      <c r="DK32" s="571">
        <f t="shared" si="88"/>
        <v>0</v>
      </c>
      <c r="DL32" s="571">
        <f t="shared" si="89"/>
        <v>0</v>
      </c>
      <c r="DM32" s="571">
        <f t="shared" si="90"/>
        <v>0</v>
      </c>
      <c r="DN32" s="571">
        <f t="shared" si="91"/>
        <v>0</v>
      </c>
      <c r="DO32" s="571">
        <f t="shared" si="92"/>
        <v>0</v>
      </c>
      <c r="DP32" s="571">
        <f t="shared" si="93"/>
        <v>0</v>
      </c>
      <c r="DQ32" s="571">
        <f t="shared" si="173"/>
        <v>0</v>
      </c>
      <c r="DR32" s="571">
        <f t="shared" si="94"/>
        <v>0</v>
      </c>
      <c r="DS32" s="571">
        <f t="shared" si="95"/>
        <v>0</v>
      </c>
      <c r="DT32" s="571"/>
      <c r="DU32" s="571"/>
      <c r="DV32" s="777"/>
      <c r="DW32" s="503">
        <f t="shared" si="135"/>
        <v>0</v>
      </c>
      <c r="DX32" s="503">
        <f t="shared" si="136"/>
        <v>0</v>
      </c>
      <c r="DY32" s="503" cm="1">
        <f t="array" ref="DY32">IF($S32=DY$12,IF(AND(AO32&lt;=250,BH32&lt;=60),6,IF(OR(AO32&lt;=350,BH32&lt;=80),7,IF(OR(AND(AO32&gt;350,AO&lt;=120),BH32&lt;=120),9,12))),DZ32)</f>
        <v>0</v>
      </c>
      <c r="DZ32" s="504">
        <f t="shared" si="96"/>
        <v>0</v>
      </c>
      <c r="EA32" s="504">
        <f t="shared" si="97"/>
        <v>0</v>
      </c>
      <c r="EB32" s="504">
        <f t="shared" si="98"/>
        <v>0</v>
      </c>
      <c r="EC32" s="504">
        <f t="shared" si="99"/>
        <v>0</v>
      </c>
      <c r="ED32" s="504">
        <f t="shared" si="100"/>
        <v>0</v>
      </c>
      <c r="EE32" s="504">
        <f t="shared" si="101"/>
        <v>0</v>
      </c>
      <c r="EF32" s="504">
        <f t="shared" si="102"/>
        <v>0</v>
      </c>
      <c r="EG32" s="504">
        <f t="shared" si="103"/>
        <v>0</v>
      </c>
      <c r="EH32" s="504">
        <f t="shared" si="104"/>
        <v>0</v>
      </c>
      <c r="EI32" s="504">
        <f t="shared" si="105"/>
        <v>0</v>
      </c>
      <c r="EJ32" s="504">
        <f t="shared" si="106"/>
        <v>0</v>
      </c>
      <c r="EK32" s="505">
        <f t="shared" si="107"/>
        <v>0</v>
      </c>
      <c r="EL32" s="571">
        <f t="shared" ref="EL32:ET32" si="178">IF($S32=EL$12,IF(AND($AO32&lt;=320,$BH32&lt;=50),6,7),EM32)</f>
        <v>0</v>
      </c>
      <c r="EM32" s="571">
        <f t="shared" si="178"/>
        <v>0</v>
      </c>
      <c r="EN32" s="571">
        <f t="shared" si="178"/>
        <v>0</v>
      </c>
      <c r="EO32" s="571">
        <f t="shared" si="178"/>
        <v>0</v>
      </c>
      <c r="EP32" s="571">
        <f t="shared" si="178"/>
        <v>0</v>
      </c>
      <c r="EQ32" s="571">
        <f t="shared" si="178"/>
        <v>0</v>
      </c>
      <c r="ER32" s="571">
        <f t="shared" si="178"/>
        <v>0</v>
      </c>
      <c r="ES32" s="571">
        <f t="shared" si="178"/>
        <v>0</v>
      </c>
      <c r="ET32" s="571">
        <f t="shared" si="178"/>
        <v>0</v>
      </c>
      <c r="EU32" s="571">
        <f t="shared" si="109"/>
        <v>0</v>
      </c>
      <c r="EV32" s="571">
        <f t="shared" ref="EV32:FA32" si="179">IF($S32=EV$12,IF(AND($AO32&lt;=320,$BH32&lt;=50),6,7),EW32)</f>
        <v>0</v>
      </c>
      <c r="EW32" s="571">
        <f t="shared" si="179"/>
        <v>0</v>
      </c>
      <c r="EX32" s="571">
        <f t="shared" si="179"/>
        <v>0</v>
      </c>
      <c r="EY32" s="571">
        <f t="shared" si="179"/>
        <v>0</v>
      </c>
      <c r="EZ32" s="571">
        <f t="shared" si="179"/>
        <v>0</v>
      </c>
      <c r="FA32" s="571">
        <f t="shared" si="179"/>
        <v>0</v>
      </c>
      <c r="FB32" s="571">
        <f t="shared" si="23"/>
        <v>0</v>
      </c>
      <c r="FC32" s="571">
        <f t="shared" si="111"/>
        <v>0</v>
      </c>
      <c r="FD32" s="571"/>
      <c r="FE32" s="571"/>
      <c r="FF32" s="571"/>
      <c r="FG32" s="571"/>
      <c r="FH32" s="443"/>
      <c r="FI32" s="505" t="e">
        <f t="shared" si="112"/>
        <v>#N/A</v>
      </c>
      <c r="FJ32" s="505" t="e">
        <f t="shared" si="113"/>
        <v>#N/A</v>
      </c>
      <c r="FK32" s="505" t="e">
        <f t="shared" si="114"/>
        <v>#N/A</v>
      </c>
      <c r="FL32" s="505" t="e">
        <f t="shared" si="115"/>
        <v>#N/A</v>
      </c>
      <c r="FM32" s="505" t="e">
        <f t="shared" si="116"/>
        <v>#N/A</v>
      </c>
      <c r="FN32" s="505" t="e">
        <f t="shared" si="117"/>
        <v>#N/A</v>
      </c>
      <c r="FO32" s="505" t="e">
        <f t="shared" si="118"/>
        <v>#N/A</v>
      </c>
      <c r="FP32" s="571"/>
      <c r="FQ32" s="571"/>
      <c r="FR32" s="571"/>
      <c r="FS32" s="571"/>
      <c r="FT32" s="571"/>
      <c r="FU32" s="571"/>
      <c r="FV32" s="571"/>
      <c r="FW32" s="571"/>
      <c r="FX32" s="571"/>
      <c r="FY32" s="571"/>
      <c r="FZ32" s="571"/>
      <c r="GA32" s="571"/>
      <c r="GB32" s="571"/>
      <c r="GC32" s="571"/>
      <c r="GD32" s="443"/>
      <c r="GE32" s="505" t="e">
        <f t="shared" si="119"/>
        <v>#N/A</v>
      </c>
      <c r="GF32" s="505" t="e">
        <f t="shared" si="120"/>
        <v>#N/A</v>
      </c>
      <c r="GG32" s="505" t="e">
        <f t="shared" si="121"/>
        <v>#N/A</v>
      </c>
      <c r="GH32" s="505" t="e">
        <f t="shared" si="122"/>
        <v>#N/A</v>
      </c>
      <c r="GI32" s="505" t="e">
        <f t="shared" si="123"/>
        <v>#N/A</v>
      </c>
      <c r="GJ32" s="505" t="e">
        <f t="shared" si="124"/>
        <v>#N/A</v>
      </c>
      <c r="GK32" s="505" t="e">
        <f t="shared" si="125"/>
        <v>#N/A</v>
      </c>
      <c r="GL32" s="571"/>
      <c r="GM32" s="571"/>
      <c r="GN32" s="571"/>
      <c r="GO32" s="571"/>
      <c r="GP32" s="571"/>
      <c r="GQ32" s="571"/>
      <c r="GR32" s="571"/>
      <c r="GS32" s="571"/>
      <c r="GT32" s="571"/>
      <c r="GU32" s="571"/>
      <c r="GV32" s="571"/>
      <c r="GW32" s="571"/>
      <c r="GX32" s="506"/>
      <c r="GY32" s="507" t="e">
        <f t="shared" si="126"/>
        <v>#N/A</v>
      </c>
      <c r="GZ32" s="505" t="e">
        <f t="shared" si="127"/>
        <v>#N/A</v>
      </c>
      <c r="HA32" s="505" t="e">
        <f t="shared" si="128"/>
        <v>#N/A</v>
      </c>
      <c r="HB32" s="505" t="e">
        <f t="shared" si="129"/>
        <v>#N/A</v>
      </c>
      <c r="HC32" s="505" t="e">
        <f t="shared" si="130"/>
        <v>#N/A</v>
      </c>
      <c r="HD32" s="505" t="e">
        <f t="shared" si="131"/>
        <v>#N/A</v>
      </c>
      <c r="HE32" s="505" t="e">
        <f t="shared" si="132"/>
        <v>#N/A</v>
      </c>
      <c r="HF32" s="571"/>
      <c r="HG32" s="571"/>
      <c r="HH32" s="571"/>
      <c r="HI32" s="571"/>
      <c r="HJ32" s="571"/>
      <c r="HK32" s="571"/>
      <c r="HL32" s="571"/>
      <c r="HM32" s="571"/>
      <c r="HN32" s="571"/>
      <c r="HO32" s="571"/>
      <c r="HP32" s="571"/>
      <c r="HQ32" s="571"/>
      <c r="HR32" s="571"/>
      <c r="HS32" s="777"/>
      <c r="HT32" s="508">
        <f t="shared" si="24"/>
        <v>0</v>
      </c>
      <c r="HU32" s="509">
        <f t="shared" ref="HU32:HU38" si="180">IF(OR(S32=$CI$18,S32=$CI40),AO32*AA32,0)</f>
        <v>0</v>
      </c>
      <c r="HV32" s="510">
        <f t="shared" si="26"/>
        <v>0</v>
      </c>
      <c r="HW32" s="543"/>
      <c r="HX32" s="544" t="s">
        <v>422</v>
      </c>
      <c r="HY32" s="550"/>
      <c r="HZ32" s="550"/>
      <c r="IA32" s="546" t="e">
        <f t="shared" si="133"/>
        <v>#N/A</v>
      </c>
      <c r="IB32" s="547" t="e">
        <f t="shared" si="134"/>
        <v>#N/A</v>
      </c>
      <c r="IC32" s="554">
        <f t="shared" si="27"/>
        <v>0</v>
      </c>
      <c r="ID32" s="545" t="str">
        <f t="shared" si="28"/>
        <v/>
      </c>
      <c r="IE32" s="222">
        <f t="shared" si="29"/>
        <v>0</v>
      </c>
      <c r="IF32" s="230">
        <f t="shared" si="30"/>
        <v>0</v>
      </c>
      <c r="IG32" s="228">
        <f t="shared" si="31"/>
        <v>0</v>
      </c>
      <c r="IH32" s="423">
        <f t="shared" si="32"/>
        <v>0</v>
      </c>
      <c r="II32" s="425">
        <f t="shared" si="33"/>
        <v>0</v>
      </c>
    </row>
    <row r="33" spans="2:243" s="40" customFormat="1" ht="24.75" customHeight="1" x14ac:dyDescent="0.35">
      <c r="B33" s="258"/>
      <c r="C33" s="310">
        <f t="shared" si="155"/>
        <v>20</v>
      </c>
      <c r="D33" s="311">
        <f>IF(S33=0,0,VLOOKUP(S33,'قائمة الأسعار'!$C$13:$H$45,2,0))</f>
        <v>0</v>
      </c>
      <c r="E33" s="312">
        <f t="shared" si="156"/>
        <v>0</v>
      </c>
      <c r="F33" s="313">
        <f t="shared" si="36"/>
        <v>0</v>
      </c>
      <c r="G33" s="313" t="e">
        <f t="shared" si="37"/>
        <v>#DIV/0!</v>
      </c>
      <c r="H33" s="314">
        <f t="shared" si="38"/>
        <v>0</v>
      </c>
      <c r="I33" s="315">
        <f t="shared" si="39"/>
        <v>0</v>
      </c>
      <c r="J33" s="316">
        <f t="shared" si="157"/>
        <v>0</v>
      </c>
      <c r="K33" s="315">
        <f t="shared" si="158"/>
        <v>0</v>
      </c>
      <c r="L33" s="317">
        <f>IF(S33=0,0,IF(T33="لون خاص",VLOOKUP(D33,'قائمة الأسعار'!$D$48:$F$62,3,0),VLOOKUP(D33,'قائمة الأسعار'!$D$13:$F$27,3,0)))</f>
        <v>0</v>
      </c>
      <c r="M33" s="318">
        <f t="shared" si="159"/>
        <v>0</v>
      </c>
      <c r="N33" s="315">
        <f>IF(S33=0,0,(IF(OR(S33=$CI$17,S33=$CI$18,S33=$CI$22,S33=$CI$23),K33,K33-(VLOOKUP(D33,'قائمة الأسعار'!$D$13:$G$47,4,FALSE)*J33*F33)/10000)))</f>
        <v>0</v>
      </c>
      <c r="O33" s="612">
        <f>IF(S33=0,0,IF(T33="لون خاص",VLOOKUP(D33,'قائمة الأسعار'!$D$48:$G$62,4,0),VLOOKUP(D33,'قائمة الأسعار'!$D$13:$G$47,4,0)))</f>
        <v>0</v>
      </c>
      <c r="Q33" s="91"/>
      <c r="R33" s="204">
        <v>20</v>
      </c>
      <c r="S33" s="200"/>
      <c r="T33" s="200"/>
      <c r="U33" s="200"/>
      <c r="V33" s="201"/>
      <c r="W33" s="201"/>
      <c r="X33" s="201"/>
      <c r="Y33" s="201"/>
      <c r="Z33" s="201" t="b">
        <v>1</v>
      </c>
      <c r="AA33" s="200"/>
      <c r="AB33" s="201"/>
      <c r="AC33" s="219"/>
      <c r="AD33" s="620"/>
      <c r="AE33" s="620"/>
      <c r="AF33" s="621"/>
      <c r="AG33" s="193"/>
      <c r="AH33" s="202">
        <f t="shared" si="139"/>
        <v>0</v>
      </c>
      <c r="AI33" s="203" t="str">
        <f t="shared" si="2"/>
        <v/>
      </c>
      <c r="AJ33" s="63"/>
      <c r="AK33" s="53"/>
      <c r="AL33" s="37"/>
      <c r="AM33" s="488"/>
      <c r="AN33" s="489" t="e">
        <f t="shared" si="41"/>
        <v>#DIV/0!</v>
      </c>
      <c r="AO33" s="490" cm="1">
        <f t="array" ref="AO33">IF(V33&lt;&gt;0,IF($AW$12=$BB$4,IF(X33=$BF$14,V33-1,IF(X33=$BF$13,V33+8.5,V33-7.5)),IF(X33=$BF$14,V33-1,IF(X33=$BF$13,IF(OR(S33=$CI$15:$CI$19,S33=$CI$38,S33=$CI$40),V33+3.6,IF(S33=$CI$39,V33+2.9,V33+4)),IF(OR(S33=$CI$15:$CI$19,S33=$CI$38,S33=$CI$40),V33-12.4,IF(S33=$CI$39,V33-13.1,V33-12))))),0)</f>
        <v>0</v>
      </c>
      <c r="AP33" s="491">
        <f t="shared" si="42"/>
        <v>0</v>
      </c>
      <c r="AQ33" s="491">
        <f t="shared" si="43"/>
        <v>0</v>
      </c>
      <c r="AR33" s="492">
        <f t="shared" si="44"/>
        <v>0</v>
      </c>
      <c r="AS33" s="493">
        <f t="shared" si="45"/>
        <v>0</v>
      </c>
      <c r="AT33" s="493">
        <f t="shared" si="46"/>
        <v>0</v>
      </c>
      <c r="AU33" s="493">
        <f t="shared" si="47"/>
        <v>0</v>
      </c>
      <c r="AV33" s="493">
        <f t="shared" si="48"/>
        <v>0</v>
      </c>
      <c r="AW33" s="494">
        <f t="shared" si="49"/>
        <v>0</v>
      </c>
      <c r="AX33" s="494">
        <f t="shared" si="50"/>
        <v>0</v>
      </c>
      <c r="AY33" s="494">
        <f t="shared" si="51"/>
        <v>0</v>
      </c>
      <c r="AZ33" s="495">
        <f t="shared" si="52"/>
        <v>0</v>
      </c>
      <c r="BA33" s="495">
        <f t="shared" si="53"/>
        <v>2</v>
      </c>
      <c r="BB33" s="495">
        <f t="shared" si="54"/>
        <v>0</v>
      </c>
      <c r="BC33" s="496" cm="1">
        <f t="array" ref="BC33">IF(OR($AB33=$BF$22:$BF$40),$AB33,0)</f>
        <v>0</v>
      </c>
      <c r="BD33" s="496" cm="1">
        <f t="array" ref="BD33">IF(OR($AB33=$BF$22:$BF$40),IF(AC33=$CH$14,BK33,IF(AC33=$CH$13,BJ33,BI33)),0)</f>
        <v>0</v>
      </c>
      <c r="BE33" s="497" cm="1">
        <f t="array" ref="BE33">IF(OR(AB33=$BF$22:$BF$40),AA33,0)</f>
        <v>0</v>
      </c>
      <c r="BF33" s="605" t="s">
        <v>474</v>
      </c>
      <c r="BH33" s="499" t="e">
        <f t="shared" si="55"/>
        <v>#N/A</v>
      </c>
      <c r="BI33" s="498">
        <f t="shared" si="56"/>
        <v>0</v>
      </c>
      <c r="BJ33" s="498">
        <f t="shared" si="57"/>
        <v>0</v>
      </c>
      <c r="BK33" s="498">
        <f t="shared" si="58"/>
        <v>0</v>
      </c>
      <c r="BL33" s="500">
        <f t="shared" si="160"/>
        <v>0</v>
      </c>
      <c r="BM33" s="500">
        <f t="shared" si="3"/>
        <v>0</v>
      </c>
      <c r="BN33" s="500">
        <f t="shared" si="4"/>
        <v>0</v>
      </c>
      <c r="BO33" s="500">
        <f t="shared" si="5"/>
        <v>0</v>
      </c>
      <c r="BP33" s="500">
        <f t="shared" si="6"/>
        <v>0</v>
      </c>
      <c r="BQ33" s="500">
        <f t="shared" si="7"/>
        <v>0</v>
      </c>
      <c r="BR33" s="500">
        <f t="shared" si="8"/>
        <v>0</v>
      </c>
      <c r="BS33" s="500">
        <f t="shared" si="9"/>
        <v>0</v>
      </c>
      <c r="BT33" s="496">
        <f t="shared" si="10"/>
        <v>0</v>
      </c>
      <c r="BU33" s="496">
        <f t="shared" si="11"/>
        <v>0</v>
      </c>
      <c r="BV33" s="496">
        <f t="shared" si="12"/>
        <v>0</v>
      </c>
      <c r="BW33" s="496">
        <f t="shared" si="13"/>
        <v>0</v>
      </c>
      <c r="BX33" s="496">
        <f t="shared" si="14"/>
        <v>0</v>
      </c>
      <c r="BY33" s="496">
        <f t="shared" si="15"/>
        <v>0</v>
      </c>
      <c r="BZ33" s="496">
        <f t="shared" si="60"/>
        <v>0</v>
      </c>
      <c r="CA33" s="496">
        <f t="shared" si="16"/>
        <v>0</v>
      </c>
      <c r="CB33" s="496">
        <f t="shared" si="17"/>
        <v>0</v>
      </c>
      <c r="CC33" s="496">
        <f t="shared" si="18"/>
        <v>0</v>
      </c>
      <c r="CD33" s="496">
        <f t="shared" si="19"/>
        <v>0</v>
      </c>
      <c r="CE33" s="501">
        <f t="shared" si="61"/>
        <v>0</v>
      </c>
      <c r="CF33" s="501">
        <f t="shared" si="62"/>
        <v>0</v>
      </c>
      <c r="CG33" s="502">
        <f t="shared" si="63"/>
        <v>0</v>
      </c>
      <c r="CH33" s="514"/>
      <c r="CI33" s="577" t="s">
        <v>422</v>
      </c>
      <c r="CJ33" s="575"/>
      <c r="CK33" s="599">
        <v>8.6</v>
      </c>
      <c r="CL33" s="777"/>
      <c r="CM33" s="503">
        <f t="shared" si="142"/>
        <v>0</v>
      </c>
      <c r="CN33" s="504">
        <f t="shared" si="65"/>
        <v>0</v>
      </c>
      <c r="CO33" s="504">
        <f t="shared" si="66"/>
        <v>0</v>
      </c>
      <c r="CP33" s="504">
        <f t="shared" si="67"/>
        <v>0</v>
      </c>
      <c r="CQ33" s="504">
        <f t="shared" si="68"/>
        <v>0</v>
      </c>
      <c r="CR33" s="504">
        <f t="shared" si="69"/>
        <v>0</v>
      </c>
      <c r="CS33" s="504">
        <f t="shared" si="70"/>
        <v>0</v>
      </c>
      <c r="CT33" s="504">
        <f t="shared" si="71"/>
        <v>0</v>
      </c>
      <c r="CU33" s="504">
        <f t="shared" si="72"/>
        <v>0</v>
      </c>
      <c r="CV33" s="504">
        <f t="shared" si="73"/>
        <v>0</v>
      </c>
      <c r="CW33" s="504">
        <f t="shared" si="74"/>
        <v>0</v>
      </c>
      <c r="CX33" s="504">
        <f t="shared" si="75"/>
        <v>0</v>
      </c>
      <c r="CY33" s="504">
        <f t="shared" si="76"/>
        <v>0</v>
      </c>
      <c r="CZ33" s="504">
        <f t="shared" si="77"/>
        <v>0</v>
      </c>
      <c r="DA33" s="505">
        <f t="shared" si="78"/>
        <v>0</v>
      </c>
      <c r="DB33" s="571">
        <f t="shared" si="79"/>
        <v>0</v>
      </c>
      <c r="DC33" s="571">
        <f t="shared" si="80"/>
        <v>0</v>
      </c>
      <c r="DD33" s="571">
        <f t="shared" si="81"/>
        <v>0</v>
      </c>
      <c r="DE33" s="571">
        <f t="shared" si="82"/>
        <v>0</v>
      </c>
      <c r="DF33" s="571">
        <f t="shared" si="83"/>
        <v>0</v>
      </c>
      <c r="DG33" s="571">
        <f t="shared" si="84"/>
        <v>0</v>
      </c>
      <c r="DH33" s="571">
        <f t="shared" si="85"/>
        <v>0</v>
      </c>
      <c r="DI33" s="571">
        <f t="shared" si="86"/>
        <v>0</v>
      </c>
      <c r="DJ33" s="571">
        <f t="shared" si="87"/>
        <v>0</v>
      </c>
      <c r="DK33" s="571">
        <f t="shared" si="88"/>
        <v>0</v>
      </c>
      <c r="DL33" s="571">
        <f t="shared" si="89"/>
        <v>0</v>
      </c>
      <c r="DM33" s="571">
        <f t="shared" si="90"/>
        <v>0</v>
      </c>
      <c r="DN33" s="571">
        <f t="shared" si="91"/>
        <v>0</v>
      </c>
      <c r="DO33" s="571">
        <f t="shared" si="92"/>
        <v>0</v>
      </c>
      <c r="DP33" s="571">
        <f t="shared" si="93"/>
        <v>0</v>
      </c>
      <c r="DQ33" s="571">
        <f t="shared" si="173"/>
        <v>0</v>
      </c>
      <c r="DR33" s="571">
        <f t="shared" si="94"/>
        <v>0</v>
      </c>
      <c r="DS33" s="571">
        <f t="shared" si="95"/>
        <v>0</v>
      </c>
      <c r="DT33" s="571"/>
      <c r="DU33" s="571"/>
      <c r="DV33" s="777"/>
      <c r="DW33" s="503">
        <f t="shared" si="135"/>
        <v>0</v>
      </c>
      <c r="DX33" s="503">
        <f t="shared" si="136"/>
        <v>0</v>
      </c>
      <c r="DY33" s="503" cm="1">
        <f t="array" ref="DY33">IF($S33=DY$12,IF(AND(AO33&lt;=250,BH33&lt;=60),6,IF(OR(AO33&lt;=350,BH33&lt;=80),7,IF(OR(AND(AO33&gt;350,AO&lt;=120),BH33&lt;=120),9,12))),DZ33)</f>
        <v>0</v>
      </c>
      <c r="DZ33" s="504">
        <f t="shared" si="96"/>
        <v>0</v>
      </c>
      <c r="EA33" s="504">
        <f t="shared" si="97"/>
        <v>0</v>
      </c>
      <c r="EB33" s="504">
        <f t="shared" si="98"/>
        <v>0</v>
      </c>
      <c r="EC33" s="504">
        <f t="shared" si="99"/>
        <v>0</v>
      </c>
      <c r="ED33" s="504">
        <f t="shared" si="100"/>
        <v>0</v>
      </c>
      <c r="EE33" s="504">
        <f t="shared" si="101"/>
        <v>0</v>
      </c>
      <c r="EF33" s="504">
        <f t="shared" si="102"/>
        <v>0</v>
      </c>
      <c r="EG33" s="504">
        <f t="shared" si="103"/>
        <v>0</v>
      </c>
      <c r="EH33" s="504">
        <f t="shared" si="104"/>
        <v>0</v>
      </c>
      <c r="EI33" s="504">
        <f t="shared" si="105"/>
        <v>0</v>
      </c>
      <c r="EJ33" s="504">
        <f t="shared" si="106"/>
        <v>0</v>
      </c>
      <c r="EK33" s="505">
        <f t="shared" si="107"/>
        <v>0</v>
      </c>
      <c r="EL33" s="571">
        <f t="shared" ref="EL33:ET33" si="181">IF($S33=EL$12,IF(AND($AO33&lt;=320,$BH33&lt;=50),6,7),EM33)</f>
        <v>0</v>
      </c>
      <c r="EM33" s="571">
        <f t="shared" si="181"/>
        <v>0</v>
      </c>
      <c r="EN33" s="571">
        <f t="shared" si="181"/>
        <v>0</v>
      </c>
      <c r="EO33" s="571">
        <f t="shared" si="181"/>
        <v>0</v>
      </c>
      <c r="EP33" s="571">
        <f t="shared" si="181"/>
        <v>0</v>
      </c>
      <c r="EQ33" s="571">
        <f t="shared" si="181"/>
        <v>0</v>
      </c>
      <c r="ER33" s="571">
        <f t="shared" si="181"/>
        <v>0</v>
      </c>
      <c r="ES33" s="571">
        <f t="shared" si="181"/>
        <v>0</v>
      </c>
      <c r="ET33" s="571">
        <f t="shared" si="181"/>
        <v>0</v>
      </c>
      <c r="EU33" s="571">
        <f t="shared" si="109"/>
        <v>0</v>
      </c>
      <c r="EV33" s="571">
        <f t="shared" ref="EV33:FA33" si="182">IF($S33=EV$12,IF(AND($AO33&lt;=320,$BH33&lt;=50),6,7),EW33)</f>
        <v>0</v>
      </c>
      <c r="EW33" s="571">
        <f t="shared" si="182"/>
        <v>0</v>
      </c>
      <c r="EX33" s="571">
        <f t="shared" si="182"/>
        <v>0</v>
      </c>
      <c r="EY33" s="571">
        <f t="shared" si="182"/>
        <v>0</v>
      </c>
      <c r="EZ33" s="571">
        <f t="shared" si="182"/>
        <v>0</v>
      </c>
      <c r="FA33" s="571">
        <f t="shared" si="182"/>
        <v>0</v>
      </c>
      <c r="FB33" s="571">
        <f t="shared" si="23"/>
        <v>0</v>
      </c>
      <c r="FC33" s="571">
        <f t="shared" si="111"/>
        <v>0</v>
      </c>
      <c r="FD33" s="571"/>
      <c r="FE33" s="571"/>
      <c r="FF33" s="571"/>
      <c r="FG33" s="571"/>
      <c r="FH33" s="443"/>
      <c r="FI33" s="505" t="e">
        <f t="shared" si="112"/>
        <v>#N/A</v>
      </c>
      <c r="FJ33" s="505" t="e">
        <f t="shared" si="113"/>
        <v>#N/A</v>
      </c>
      <c r="FK33" s="505" t="e">
        <f t="shared" si="114"/>
        <v>#N/A</v>
      </c>
      <c r="FL33" s="505" t="e">
        <f t="shared" si="115"/>
        <v>#N/A</v>
      </c>
      <c r="FM33" s="505" t="e">
        <f t="shared" si="116"/>
        <v>#N/A</v>
      </c>
      <c r="FN33" s="505" t="e">
        <f t="shared" si="117"/>
        <v>#N/A</v>
      </c>
      <c r="FO33" s="505" t="e">
        <f t="shared" si="118"/>
        <v>#N/A</v>
      </c>
      <c r="FP33" s="571"/>
      <c r="FQ33" s="571"/>
      <c r="FR33" s="571"/>
      <c r="FS33" s="571"/>
      <c r="FT33" s="571"/>
      <c r="FU33" s="571"/>
      <c r="FV33" s="571"/>
      <c r="FW33" s="571"/>
      <c r="FX33" s="571"/>
      <c r="FY33" s="571"/>
      <c r="FZ33" s="571"/>
      <c r="GA33" s="571"/>
      <c r="GB33" s="571"/>
      <c r="GC33" s="571"/>
      <c r="GD33" s="443"/>
      <c r="GE33" s="505" t="e">
        <f t="shared" si="119"/>
        <v>#N/A</v>
      </c>
      <c r="GF33" s="505" t="e">
        <f t="shared" si="120"/>
        <v>#N/A</v>
      </c>
      <c r="GG33" s="505" t="e">
        <f t="shared" si="121"/>
        <v>#N/A</v>
      </c>
      <c r="GH33" s="505" t="e">
        <f t="shared" si="122"/>
        <v>#N/A</v>
      </c>
      <c r="GI33" s="505" t="e">
        <f t="shared" si="123"/>
        <v>#N/A</v>
      </c>
      <c r="GJ33" s="505" t="e">
        <f t="shared" si="124"/>
        <v>#N/A</v>
      </c>
      <c r="GK33" s="505" t="e">
        <f t="shared" si="125"/>
        <v>#N/A</v>
      </c>
      <c r="GL33" s="571"/>
      <c r="GM33" s="571"/>
      <c r="GN33" s="571"/>
      <c r="GO33" s="571"/>
      <c r="GP33" s="571"/>
      <c r="GQ33" s="571"/>
      <c r="GR33" s="571"/>
      <c r="GS33" s="571"/>
      <c r="GT33" s="571"/>
      <c r="GU33" s="571"/>
      <c r="GV33" s="571"/>
      <c r="GW33" s="571"/>
      <c r="GX33" s="506"/>
      <c r="GY33" s="507" t="e">
        <f t="shared" si="126"/>
        <v>#N/A</v>
      </c>
      <c r="GZ33" s="505" t="e">
        <f t="shared" si="127"/>
        <v>#N/A</v>
      </c>
      <c r="HA33" s="505" t="e">
        <f t="shared" si="128"/>
        <v>#N/A</v>
      </c>
      <c r="HB33" s="505" t="e">
        <f t="shared" si="129"/>
        <v>#N/A</v>
      </c>
      <c r="HC33" s="505" t="e">
        <f t="shared" si="130"/>
        <v>#N/A</v>
      </c>
      <c r="HD33" s="505" t="e">
        <f t="shared" si="131"/>
        <v>#N/A</v>
      </c>
      <c r="HE33" s="505" t="e">
        <f t="shared" si="132"/>
        <v>#N/A</v>
      </c>
      <c r="HF33" s="571"/>
      <c r="HG33" s="571"/>
      <c r="HH33" s="571"/>
      <c r="HI33" s="571"/>
      <c r="HJ33" s="571"/>
      <c r="HK33" s="571"/>
      <c r="HL33" s="571"/>
      <c r="HM33" s="571"/>
      <c r="HN33" s="571"/>
      <c r="HO33" s="571"/>
      <c r="HP33" s="571"/>
      <c r="HQ33" s="571"/>
      <c r="HR33" s="571"/>
      <c r="HS33" s="777"/>
      <c r="HT33" s="508">
        <f t="shared" si="24"/>
        <v>0</v>
      </c>
      <c r="HU33" s="509">
        <f t="shared" si="180"/>
        <v>0</v>
      </c>
      <c r="HV33" s="510">
        <f t="shared" si="26"/>
        <v>0</v>
      </c>
      <c r="HW33" s="543"/>
      <c r="HX33" s="544" t="s">
        <v>423</v>
      </c>
      <c r="HY33" s="550"/>
      <c r="HZ33" s="550"/>
      <c r="IA33" s="546" t="e">
        <f t="shared" si="133"/>
        <v>#N/A</v>
      </c>
      <c r="IB33" s="547" t="e">
        <f t="shared" si="134"/>
        <v>#N/A</v>
      </c>
      <c r="IC33" s="554">
        <f t="shared" si="27"/>
        <v>0</v>
      </c>
      <c r="ID33" s="545" t="str">
        <f t="shared" si="28"/>
        <v/>
      </c>
      <c r="IE33" s="222">
        <f t="shared" si="29"/>
        <v>0</v>
      </c>
      <c r="IF33" s="230">
        <f t="shared" si="30"/>
        <v>0</v>
      </c>
      <c r="IG33" s="228">
        <f t="shared" si="31"/>
        <v>0</v>
      </c>
      <c r="IH33" s="423">
        <f t="shared" si="32"/>
        <v>0</v>
      </c>
      <c r="II33" s="425">
        <f t="shared" si="33"/>
        <v>0</v>
      </c>
    </row>
    <row r="34" spans="2:243" s="40" customFormat="1" ht="24.75" customHeight="1" x14ac:dyDescent="0.35">
      <c r="B34" s="258"/>
      <c r="C34" s="310">
        <f t="shared" si="155"/>
        <v>21</v>
      </c>
      <c r="D34" s="311">
        <f>IF(S34=0,0,VLOOKUP(S34,'قائمة الأسعار'!$C$13:$H$45,2,0))</f>
        <v>0</v>
      </c>
      <c r="E34" s="312">
        <f>T34</f>
        <v>0</v>
      </c>
      <c r="F34" s="313">
        <f t="shared" si="36"/>
        <v>0</v>
      </c>
      <c r="G34" s="313" t="e">
        <f t="shared" si="37"/>
        <v>#DIV/0!</v>
      </c>
      <c r="H34" s="314">
        <f t="shared" si="38"/>
        <v>0</v>
      </c>
      <c r="I34" s="315">
        <f t="shared" si="39"/>
        <v>0</v>
      </c>
      <c r="J34" s="316">
        <f>AA34</f>
        <v>0</v>
      </c>
      <c r="K34" s="315">
        <f>J34*I34</f>
        <v>0</v>
      </c>
      <c r="L34" s="317">
        <f>IF(S34=0,0,IF(T34="لون خاص",VLOOKUP(D34,'قائمة الأسعار'!$D$48:$F$62,3,0),VLOOKUP(D34,'قائمة الأسعار'!$D$13:$F$27,3,0)))</f>
        <v>0</v>
      </c>
      <c r="M34" s="318">
        <f>L34*J34*I34</f>
        <v>0</v>
      </c>
      <c r="N34" s="315">
        <f>IF(S34=0,0,(IF(OR(S34=$CI$17,S34=$CI$18,S34=$CI$22,S34=$CI$23),K34,K34-(VLOOKUP(D34,'قائمة الأسعار'!$D$13:$G$47,4,FALSE)*J34*F34)/10000)))</f>
        <v>0</v>
      </c>
      <c r="O34" s="612">
        <f>IF(S34=0,0,IF(T34="لون خاص",VLOOKUP(D34,'قائمة الأسعار'!$D$48:$G$62,4,0),VLOOKUP(D34,'قائمة الأسعار'!$D$13:$G$47,4,0)))</f>
        <v>0</v>
      </c>
      <c r="Q34" s="91"/>
      <c r="R34" s="204">
        <v>21</v>
      </c>
      <c r="S34" s="200"/>
      <c r="T34" s="200"/>
      <c r="U34" s="200"/>
      <c r="V34" s="201"/>
      <c r="W34" s="201"/>
      <c r="X34" s="201"/>
      <c r="Y34" s="201"/>
      <c r="Z34" s="201" t="b">
        <v>1</v>
      </c>
      <c r="AA34" s="200"/>
      <c r="AB34" s="201"/>
      <c r="AC34" s="219"/>
      <c r="AD34" s="620"/>
      <c r="AE34" s="620"/>
      <c r="AF34" s="621"/>
      <c r="AG34" s="193"/>
      <c r="AH34" s="202">
        <f t="shared" si="139"/>
        <v>0</v>
      </c>
      <c r="AI34" s="203" t="str">
        <f t="shared" si="2"/>
        <v/>
      </c>
      <c r="AJ34" s="63"/>
      <c r="AK34" s="53"/>
      <c r="AL34" s="37"/>
      <c r="AM34" s="488"/>
      <c r="AN34" s="489" t="e">
        <f t="shared" si="41"/>
        <v>#DIV/0!</v>
      </c>
      <c r="AO34" s="490" cm="1">
        <f t="array" ref="AO34">IF(V34&lt;&gt;0,IF($AW$12=$BB$4,IF(X34=$BF$14,V34-1,IF(X34=$BF$13,V34+8.5,V34-7.5)),IF(X34=$BF$14,V34-1,IF(X34=$BF$13,IF(OR(S34=$CI$15:$CI$19,S34=$CI$38,S34=$CI$40),V34+3.6,IF(S34=$CI$39,V34+2.9,V34+4)),IF(OR(S34=$CI$15:$CI$19,S34=$CI$38,S34=$CI$40),V34-12.4,IF(S34=$CI$39,V34-13.1,V34-12))))),0)</f>
        <v>0</v>
      </c>
      <c r="AP34" s="491">
        <f t="shared" si="42"/>
        <v>0</v>
      </c>
      <c r="AQ34" s="491">
        <f t="shared" si="43"/>
        <v>0</v>
      </c>
      <c r="AR34" s="492">
        <f t="shared" si="44"/>
        <v>0</v>
      </c>
      <c r="AS34" s="493">
        <f t="shared" si="45"/>
        <v>0</v>
      </c>
      <c r="AT34" s="493">
        <f t="shared" si="46"/>
        <v>0</v>
      </c>
      <c r="AU34" s="493">
        <f t="shared" si="47"/>
        <v>0</v>
      </c>
      <c r="AV34" s="493">
        <f t="shared" si="48"/>
        <v>0</v>
      </c>
      <c r="AW34" s="494">
        <f t="shared" si="49"/>
        <v>0</v>
      </c>
      <c r="AX34" s="494">
        <f t="shared" si="50"/>
        <v>0</v>
      </c>
      <c r="AY34" s="494">
        <f t="shared" si="51"/>
        <v>0</v>
      </c>
      <c r="AZ34" s="495">
        <f t="shared" si="52"/>
        <v>0</v>
      </c>
      <c r="BA34" s="495">
        <f t="shared" si="53"/>
        <v>2</v>
      </c>
      <c r="BB34" s="495">
        <f t="shared" si="54"/>
        <v>0</v>
      </c>
      <c r="BC34" s="496" cm="1">
        <f t="array" ref="BC34">IF(OR($AB34=$BF$22:$BF$40),$AB34,0)</f>
        <v>0</v>
      </c>
      <c r="BD34" s="496" cm="1">
        <f t="array" ref="BD34">IF(OR($AB34=$BF$22:$BF$40),IF(AC34=$CH$14,BK34,IF(AC34=$CH$13,BJ34,BI34)),0)</f>
        <v>0</v>
      </c>
      <c r="BE34" s="497" cm="1">
        <f t="array" ref="BE34">IF(OR(AB34=$BF$22:$BF$40),AA34,0)</f>
        <v>0</v>
      </c>
      <c r="BF34" s="605" t="s">
        <v>475</v>
      </c>
      <c r="BH34" s="499" t="e">
        <f t="shared" si="55"/>
        <v>#N/A</v>
      </c>
      <c r="BI34" s="498">
        <f t="shared" si="56"/>
        <v>0</v>
      </c>
      <c r="BJ34" s="498">
        <f t="shared" si="57"/>
        <v>0</v>
      </c>
      <c r="BK34" s="498">
        <f t="shared" si="58"/>
        <v>0</v>
      </c>
      <c r="BL34" s="500">
        <f>IF(BE34&gt;0,AV34,IF(OR(AB34="محرك من الزبون",AB34="ACM30-1",AB34="ACM30-2"),AV34,0))</f>
        <v>0</v>
      </c>
      <c r="BM34" s="500">
        <f t="shared" si="3"/>
        <v>0</v>
      </c>
      <c r="BN34" s="500">
        <f t="shared" si="4"/>
        <v>0</v>
      </c>
      <c r="BO34" s="500">
        <f t="shared" si="5"/>
        <v>0</v>
      </c>
      <c r="BP34" s="500">
        <f t="shared" si="6"/>
        <v>0</v>
      </c>
      <c r="BQ34" s="500">
        <f t="shared" si="7"/>
        <v>0</v>
      </c>
      <c r="BR34" s="500">
        <f t="shared" si="8"/>
        <v>0</v>
      </c>
      <c r="BS34" s="500">
        <f t="shared" si="9"/>
        <v>0</v>
      </c>
      <c r="BT34" s="496">
        <f t="shared" si="10"/>
        <v>0</v>
      </c>
      <c r="BU34" s="496">
        <f t="shared" si="11"/>
        <v>0</v>
      </c>
      <c r="BV34" s="496">
        <f t="shared" si="12"/>
        <v>0</v>
      </c>
      <c r="BW34" s="496">
        <f t="shared" si="13"/>
        <v>0</v>
      </c>
      <c r="BX34" s="496">
        <f t="shared" si="14"/>
        <v>0</v>
      </c>
      <c r="BY34" s="496">
        <f t="shared" si="15"/>
        <v>0</v>
      </c>
      <c r="BZ34" s="496">
        <f t="shared" si="60"/>
        <v>0</v>
      </c>
      <c r="CA34" s="496">
        <f t="shared" si="16"/>
        <v>0</v>
      </c>
      <c r="CB34" s="496">
        <f t="shared" si="17"/>
        <v>0</v>
      </c>
      <c r="CC34" s="496">
        <f t="shared" si="18"/>
        <v>0</v>
      </c>
      <c r="CD34" s="496">
        <f t="shared" si="19"/>
        <v>0</v>
      </c>
      <c r="CE34" s="501">
        <f t="shared" si="61"/>
        <v>0</v>
      </c>
      <c r="CF34" s="501">
        <f t="shared" si="62"/>
        <v>0</v>
      </c>
      <c r="CG34" s="502">
        <f t="shared" si="63"/>
        <v>0</v>
      </c>
      <c r="CH34" s="514"/>
      <c r="CI34" s="577" t="s">
        <v>423</v>
      </c>
      <c r="CK34" s="599">
        <v>3</v>
      </c>
      <c r="CL34" s="777"/>
      <c r="CM34" s="503">
        <f t="shared" si="142"/>
        <v>0</v>
      </c>
      <c r="CN34" s="504">
        <f t="shared" si="65"/>
        <v>0</v>
      </c>
      <c r="CO34" s="504">
        <f t="shared" si="66"/>
        <v>0</v>
      </c>
      <c r="CP34" s="504">
        <f t="shared" si="67"/>
        <v>0</v>
      </c>
      <c r="CQ34" s="504">
        <f t="shared" si="68"/>
        <v>0</v>
      </c>
      <c r="CR34" s="504">
        <f t="shared" si="69"/>
        <v>0</v>
      </c>
      <c r="CS34" s="504">
        <f t="shared" si="70"/>
        <v>0</v>
      </c>
      <c r="CT34" s="504">
        <f t="shared" si="71"/>
        <v>0</v>
      </c>
      <c r="CU34" s="504">
        <f t="shared" si="72"/>
        <v>0</v>
      </c>
      <c r="CV34" s="504">
        <f t="shared" si="73"/>
        <v>0</v>
      </c>
      <c r="CW34" s="504">
        <f t="shared" si="74"/>
        <v>0</v>
      </c>
      <c r="CX34" s="504">
        <f t="shared" si="75"/>
        <v>0</v>
      </c>
      <c r="CY34" s="504">
        <f t="shared" si="76"/>
        <v>0</v>
      </c>
      <c r="CZ34" s="504">
        <f t="shared" si="77"/>
        <v>0</v>
      </c>
      <c r="DA34" s="505">
        <f t="shared" si="78"/>
        <v>0</v>
      </c>
      <c r="DB34" s="571">
        <f t="shared" si="79"/>
        <v>0</v>
      </c>
      <c r="DC34" s="571">
        <f t="shared" si="80"/>
        <v>0</v>
      </c>
      <c r="DD34" s="571">
        <f t="shared" si="81"/>
        <v>0</v>
      </c>
      <c r="DE34" s="571">
        <f t="shared" si="82"/>
        <v>0</v>
      </c>
      <c r="DF34" s="571">
        <f t="shared" si="83"/>
        <v>0</v>
      </c>
      <c r="DG34" s="571">
        <f t="shared" si="84"/>
        <v>0</v>
      </c>
      <c r="DH34" s="571">
        <f t="shared" si="85"/>
        <v>0</v>
      </c>
      <c r="DI34" s="571">
        <f t="shared" si="86"/>
        <v>0</v>
      </c>
      <c r="DJ34" s="571">
        <f t="shared" si="87"/>
        <v>0</v>
      </c>
      <c r="DK34" s="571">
        <f t="shared" si="88"/>
        <v>0</v>
      </c>
      <c r="DL34" s="571">
        <f t="shared" si="89"/>
        <v>0</v>
      </c>
      <c r="DM34" s="571">
        <f t="shared" si="90"/>
        <v>0</v>
      </c>
      <c r="DN34" s="571">
        <f t="shared" si="91"/>
        <v>0</v>
      </c>
      <c r="DO34" s="571">
        <f t="shared" si="92"/>
        <v>0</v>
      </c>
      <c r="DP34" s="571">
        <f t="shared" si="93"/>
        <v>0</v>
      </c>
      <c r="DQ34" s="571">
        <f t="shared" si="173"/>
        <v>0</v>
      </c>
      <c r="DR34" s="571">
        <f t="shared" si="94"/>
        <v>0</v>
      </c>
      <c r="DS34" s="571">
        <f t="shared" si="95"/>
        <v>0</v>
      </c>
      <c r="DT34" s="571"/>
      <c r="DU34" s="571"/>
      <c r="DV34" s="777"/>
      <c r="DW34" s="503">
        <f t="shared" si="135"/>
        <v>0</v>
      </c>
      <c r="DX34" s="503">
        <f t="shared" si="136"/>
        <v>0</v>
      </c>
      <c r="DY34" s="503" cm="1">
        <f t="array" ref="DY34">IF($S34=DY$12,IF(AND(AO34&lt;=250,BH34&lt;=60),6,IF(OR(AO34&lt;=350,BH34&lt;=80),7,IF(OR(AND(AO34&gt;350,AO&lt;=120),BH34&lt;=120),9,12))),DZ34)</f>
        <v>0</v>
      </c>
      <c r="DZ34" s="504">
        <f t="shared" si="96"/>
        <v>0</v>
      </c>
      <c r="EA34" s="504">
        <f t="shared" si="97"/>
        <v>0</v>
      </c>
      <c r="EB34" s="504">
        <f t="shared" si="98"/>
        <v>0</v>
      </c>
      <c r="EC34" s="504">
        <f t="shared" si="99"/>
        <v>0</v>
      </c>
      <c r="ED34" s="504">
        <f t="shared" si="100"/>
        <v>0</v>
      </c>
      <c r="EE34" s="504">
        <f t="shared" si="101"/>
        <v>0</v>
      </c>
      <c r="EF34" s="504">
        <f t="shared" si="102"/>
        <v>0</v>
      </c>
      <c r="EG34" s="504">
        <f t="shared" si="103"/>
        <v>0</v>
      </c>
      <c r="EH34" s="504">
        <f t="shared" si="104"/>
        <v>0</v>
      </c>
      <c r="EI34" s="504">
        <f t="shared" si="105"/>
        <v>0</v>
      </c>
      <c r="EJ34" s="504">
        <f t="shared" si="106"/>
        <v>0</v>
      </c>
      <c r="EK34" s="505">
        <f t="shared" si="107"/>
        <v>0</v>
      </c>
      <c r="EL34" s="571">
        <f t="shared" ref="EL34:ET34" si="183">IF($S34=EL$12,IF(AND($AO34&lt;=320,$BH34&lt;=50),6,7),EM34)</f>
        <v>0</v>
      </c>
      <c r="EM34" s="571">
        <f t="shared" si="183"/>
        <v>0</v>
      </c>
      <c r="EN34" s="571">
        <f t="shared" si="183"/>
        <v>0</v>
      </c>
      <c r="EO34" s="571">
        <f t="shared" si="183"/>
        <v>0</v>
      </c>
      <c r="EP34" s="571">
        <f t="shared" si="183"/>
        <v>0</v>
      </c>
      <c r="EQ34" s="571">
        <f t="shared" si="183"/>
        <v>0</v>
      </c>
      <c r="ER34" s="571">
        <f t="shared" si="183"/>
        <v>0</v>
      </c>
      <c r="ES34" s="571">
        <f t="shared" si="183"/>
        <v>0</v>
      </c>
      <c r="ET34" s="571">
        <f t="shared" si="183"/>
        <v>0</v>
      </c>
      <c r="EU34" s="571">
        <f t="shared" si="109"/>
        <v>0</v>
      </c>
      <c r="EV34" s="571">
        <f t="shared" ref="EV34:FA34" si="184">IF($S34=EV$12,IF(AND($AO34&lt;=320,$BH34&lt;=50),6,7),EW34)</f>
        <v>0</v>
      </c>
      <c r="EW34" s="571">
        <f t="shared" si="184"/>
        <v>0</v>
      </c>
      <c r="EX34" s="571">
        <f t="shared" si="184"/>
        <v>0</v>
      </c>
      <c r="EY34" s="571">
        <f t="shared" si="184"/>
        <v>0</v>
      </c>
      <c r="EZ34" s="571">
        <f t="shared" si="184"/>
        <v>0</v>
      </c>
      <c r="FA34" s="571">
        <f t="shared" si="184"/>
        <v>0</v>
      </c>
      <c r="FB34" s="571">
        <f t="shared" si="23"/>
        <v>0</v>
      </c>
      <c r="FC34" s="571">
        <f t="shared" si="111"/>
        <v>0</v>
      </c>
      <c r="FD34" s="571"/>
      <c r="FE34" s="571"/>
      <c r="FF34" s="571"/>
      <c r="FG34" s="571"/>
      <c r="FH34" s="443"/>
      <c r="FI34" s="505" t="e">
        <f t="shared" si="112"/>
        <v>#N/A</v>
      </c>
      <c r="FJ34" s="505" t="e">
        <f t="shared" si="113"/>
        <v>#N/A</v>
      </c>
      <c r="FK34" s="505" t="e">
        <f t="shared" si="114"/>
        <v>#N/A</v>
      </c>
      <c r="FL34" s="505" t="e">
        <f t="shared" si="115"/>
        <v>#N/A</v>
      </c>
      <c r="FM34" s="505" t="e">
        <f t="shared" si="116"/>
        <v>#N/A</v>
      </c>
      <c r="FN34" s="505" t="e">
        <f t="shared" si="117"/>
        <v>#N/A</v>
      </c>
      <c r="FO34" s="505" t="e">
        <f t="shared" si="118"/>
        <v>#N/A</v>
      </c>
      <c r="FP34" s="571"/>
      <c r="FQ34" s="571"/>
      <c r="FR34" s="571"/>
      <c r="FS34" s="571"/>
      <c r="FT34" s="571"/>
      <c r="FU34" s="571"/>
      <c r="FV34" s="571"/>
      <c r="FW34" s="571"/>
      <c r="FX34" s="571"/>
      <c r="FY34" s="571"/>
      <c r="FZ34" s="571"/>
      <c r="GA34" s="571"/>
      <c r="GB34" s="571"/>
      <c r="GC34" s="571"/>
      <c r="GD34" s="443"/>
      <c r="GE34" s="505" t="e">
        <f t="shared" si="119"/>
        <v>#N/A</v>
      </c>
      <c r="GF34" s="505" t="e">
        <f t="shared" si="120"/>
        <v>#N/A</v>
      </c>
      <c r="GG34" s="505" t="e">
        <f t="shared" si="121"/>
        <v>#N/A</v>
      </c>
      <c r="GH34" s="505" t="e">
        <f t="shared" si="122"/>
        <v>#N/A</v>
      </c>
      <c r="GI34" s="505" t="e">
        <f t="shared" si="123"/>
        <v>#N/A</v>
      </c>
      <c r="GJ34" s="505" t="e">
        <f t="shared" si="124"/>
        <v>#N/A</v>
      </c>
      <c r="GK34" s="505" t="e">
        <f t="shared" si="125"/>
        <v>#N/A</v>
      </c>
      <c r="GL34" s="571"/>
      <c r="GM34" s="571"/>
      <c r="GN34" s="571"/>
      <c r="GO34" s="571"/>
      <c r="GP34" s="571"/>
      <c r="GQ34" s="571"/>
      <c r="GR34" s="571"/>
      <c r="GS34" s="571"/>
      <c r="GT34" s="571"/>
      <c r="GU34" s="571"/>
      <c r="GV34" s="571"/>
      <c r="GW34" s="571"/>
      <c r="GX34" s="506"/>
      <c r="GY34" s="507" t="e">
        <f t="shared" si="126"/>
        <v>#N/A</v>
      </c>
      <c r="GZ34" s="505" t="e">
        <f t="shared" si="127"/>
        <v>#N/A</v>
      </c>
      <c r="HA34" s="505" t="e">
        <f t="shared" si="128"/>
        <v>#N/A</v>
      </c>
      <c r="HB34" s="505" t="e">
        <f t="shared" si="129"/>
        <v>#N/A</v>
      </c>
      <c r="HC34" s="505" t="e">
        <f t="shared" si="130"/>
        <v>#N/A</v>
      </c>
      <c r="HD34" s="505" t="e">
        <f t="shared" si="131"/>
        <v>#N/A</v>
      </c>
      <c r="HE34" s="505" t="e">
        <f t="shared" si="132"/>
        <v>#N/A</v>
      </c>
      <c r="HF34" s="571"/>
      <c r="HG34" s="571"/>
      <c r="HH34" s="571"/>
      <c r="HI34" s="571"/>
      <c r="HJ34" s="571"/>
      <c r="HK34" s="571"/>
      <c r="HL34" s="571"/>
      <c r="HM34" s="571"/>
      <c r="HN34" s="571"/>
      <c r="HO34" s="571"/>
      <c r="HP34" s="571"/>
      <c r="HQ34" s="571"/>
      <c r="HR34" s="571"/>
      <c r="HS34" s="777"/>
      <c r="HT34" s="508">
        <f t="shared" si="24"/>
        <v>0</v>
      </c>
      <c r="HU34" s="509">
        <f t="shared" si="180"/>
        <v>0</v>
      </c>
      <c r="HV34" s="510">
        <f t="shared" si="26"/>
        <v>0</v>
      </c>
      <c r="HW34" s="543"/>
      <c r="HX34" s="544" t="s">
        <v>424</v>
      </c>
      <c r="HY34" s="550"/>
      <c r="HZ34" s="550"/>
      <c r="IA34" s="546" t="e">
        <f t="shared" si="133"/>
        <v>#N/A</v>
      </c>
      <c r="IB34" s="547" t="e">
        <f t="shared" si="134"/>
        <v>#N/A</v>
      </c>
      <c r="IC34" s="554">
        <f t="shared" si="27"/>
        <v>0</v>
      </c>
      <c r="ID34" s="545" t="str">
        <f t="shared" si="28"/>
        <v/>
      </c>
      <c r="IE34" s="222">
        <f t="shared" si="29"/>
        <v>0</v>
      </c>
      <c r="IF34" s="230">
        <f t="shared" si="30"/>
        <v>0</v>
      </c>
      <c r="IG34" s="228">
        <f t="shared" si="31"/>
        <v>0</v>
      </c>
      <c r="IH34" s="423">
        <f t="shared" si="32"/>
        <v>0</v>
      </c>
      <c r="II34" s="425">
        <f t="shared" si="33"/>
        <v>0</v>
      </c>
    </row>
    <row r="35" spans="2:243" s="40" customFormat="1" ht="24.75" customHeight="1" x14ac:dyDescent="0.35">
      <c r="B35" s="258"/>
      <c r="C35" s="310">
        <f t="shared" si="155"/>
        <v>22</v>
      </c>
      <c r="D35" s="311">
        <f>IF(S35=0,0,VLOOKUP(S35,'قائمة الأسعار'!$C$13:$H$45,2,0))</f>
        <v>0</v>
      </c>
      <c r="E35" s="312">
        <f>T35</f>
        <v>0</v>
      </c>
      <c r="F35" s="313">
        <f t="shared" si="36"/>
        <v>0</v>
      </c>
      <c r="G35" s="313" t="e">
        <f t="shared" si="37"/>
        <v>#DIV/0!</v>
      </c>
      <c r="H35" s="314">
        <f t="shared" si="38"/>
        <v>0</v>
      </c>
      <c r="I35" s="315">
        <f t="shared" si="39"/>
        <v>0</v>
      </c>
      <c r="J35" s="316">
        <f>AA35</f>
        <v>0</v>
      </c>
      <c r="K35" s="315">
        <f>J35*I35</f>
        <v>0</v>
      </c>
      <c r="L35" s="317">
        <f>IF(S35=0,0,IF(T35="لون خاص",VLOOKUP(D35,'قائمة الأسعار'!$D$48:$F$62,3,0),VLOOKUP(D35,'قائمة الأسعار'!$D$13:$F$27,3,0)))</f>
        <v>0</v>
      </c>
      <c r="M35" s="318">
        <f>L35*J35*I35</f>
        <v>0</v>
      </c>
      <c r="N35" s="315">
        <f>IF(S35=0,0,(IF(OR(S35=$CI$17,S35=$CI$18,S35=$CI$22,S35=$CI$23),K35,K35-(VLOOKUP(D35,'قائمة الأسعار'!$D$13:$G$47,4,FALSE)*J35*F35)/10000)))</f>
        <v>0</v>
      </c>
      <c r="O35" s="612">
        <f>IF(S35=0,0,IF(T35="لون خاص",VLOOKUP(D35,'قائمة الأسعار'!$D$48:$G$62,4,0),VLOOKUP(D35,'قائمة الأسعار'!$D$13:$G$47,4,0)))</f>
        <v>0</v>
      </c>
      <c r="Q35" s="91"/>
      <c r="R35" s="204">
        <v>22</v>
      </c>
      <c r="S35" s="200"/>
      <c r="T35" s="200"/>
      <c r="U35" s="200"/>
      <c r="V35" s="201"/>
      <c r="W35" s="201"/>
      <c r="X35" s="201"/>
      <c r="Y35" s="201"/>
      <c r="Z35" s="201" t="b">
        <v>1</v>
      </c>
      <c r="AA35" s="200"/>
      <c r="AB35" s="201"/>
      <c r="AC35" s="219"/>
      <c r="AD35" s="620"/>
      <c r="AE35" s="620"/>
      <c r="AF35" s="621"/>
      <c r="AG35" s="193"/>
      <c r="AH35" s="202">
        <f t="shared" si="139"/>
        <v>0</v>
      </c>
      <c r="AI35" s="203" t="str">
        <f t="shared" si="2"/>
        <v/>
      </c>
      <c r="AJ35" s="63"/>
      <c r="AK35" s="53"/>
      <c r="AL35" s="37"/>
      <c r="AM35" s="488"/>
      <c r="AN35" s="489" t="e">
        <f t="shared" si="41"/>
        <v>#DIV/0!</v>
      </c>
      <c r="AO35" s="490" cm="1">
        <f t="array" ref="AO35">IF(V35&lt;&gt;0,IF($AW$12=$BB$4,IF(X35=$BF$14,V35-1,IF(X35=$BF$13,V35+8.5,V35-7.5)),IF(X35=$BF$14,V35-1,IF(X35=$BF$13,IF(OR(S35=$CI$15:$CI$19,S35=$CI$38,S35=$CI$40),V35+3.6,IF(S35=$CI$39,V35+2.9,V35+4)),IF(OR(S35=$CI$15:$CI$19,S35=$CI$38,S35=$CI$40),V35-12.4,IF(S35=$CI$39,V35-13.1,V35-12))))),0)</f>
        <v>0</v>
      </c>
      <c r="AP35" s="491">
        <f t="shared" si="42"/>
        <v>0</v>
      </c>
      <c r="AQ35" s="491">
        <f t="shared" si="43"/>
        <v>0</v>
      </c>
      <c r="AR35" s="492">
        <f t="shared" si="44"/>
        <v>0</v>
      </c>
      <c r="AS35" s="493">
        <f t="shared" si="45"/>
        <v>0</v>
      </c>
      <c r="AT35" s="493">
        <f t="shared" si="46"/>
        <v>0</v>
      </c>
      <c r="AU35" s="493">
        <f t="shared" si="47"/>
        <v>0</v>
      </c>
      <c r="AV35" s="493">
        <f t="shared" si="48"/>
        <v>0</v>
      </c>
      <c r="AW35" s="494">
        <f t="shared" si="49"/>
        <v>0</v>
      </c>
      <c r="AX35" s="494">
        <f t="shared" si="50"/>
        <v>0</v>
      </c>
      <c r="AY35" s="494">
        <f t="shared" si="51"/>
        <v>0</v>
      </c>
      <c r="AZ35" s="495">
        <f t="shared" si="52"/>
        <v>0</v>
      </c>
      <c r="BA35" s="495">
        <f t="shared" si="53"/>
        <v>2</v>
      </c>
      <c r="BB35" s="495">
        <f t="shared" si="54"/>
        <v>0</v>
      </c>
      <c r="BC35" s="496" cm="1">
        <f t="array" ref="BC35">IF(OR($AB35=$BF$22:$BF$40),$AB35,0)</f>
        <v>0</v>
      </c>
      <c r="BD35" s="496" cm="1">
        <f t="array" ref="BD35">IF(OR($AB35=$BF$22:$BF$40),IF(AC35=$CH$14,BK35,IF(AC35=$CH$13,BJ35,BI35)),0)</f>
        <v>0</v>
      </c>
      <c r="BE35" s="497" cm="1">
        <f t="array" ref="BE35">IF(OR(AB35=$BF$22:$BF$40),AA35,0)</f>
        <v>0</v>
      </c>
      <c r="BF35" s="605" t="s">
        <v>476</v>
      </c>
      <c r="BH35" s="499" t="e">
        <f t="shared" si="55"/>
        <v>#N/A</v>
      </c>
      <c r="BI35" s="498">
        <f t="shared" si="56"/>
        <v>0</v>
      </c>
      <c r="BJ35" s="498">
        <f t="shared" si="57"/>
        <v>0</v>
      </c>
      <c r="BK35" s="498">
        <f t="shared" si="58"/>
        <v>0</v>
      </c>
      <c r="BL35" s="500">
        <f>IF(BE35&gt;0,AV35,IF(OR(AB35="محرك من الزبون",AB35="ACM30-1",AB35="ACM30-2"),AV35,0))</f>
        <v>0</v>
      </c>
      <c r="BM35" s="500">
        <f t="shared" si="3"/>
        <v>0</v>
      </c>
      <c r="BN35" s="500">
        <f t="shared" si="4"/>
        <v>0</v>
      </c>
      <c r="BO35" s="500">
        <f t="shared" si="5"/>
        <v>0</v>
      </c>
      <c r="BP35" s="500">
        <f t="shared" si="6"/>
        <v>0</v>
      </c>
      <c r="BQ35" s="500">
        <f t="shared" si="7"/>
        <v>0</v>
      </c>
      <c r="BR35" s="500">
        <f t="shared" si="8"/>
        <v>0</v>
      </c>
      <c r="BS35" s="500">
        <f t="shared" si="9"/>
        <v>0</v>
      </c>
      <c r="BT35" s="496">
        <f t="shared" si="10"/>
        <v>0</v>
      </c>
      <c r="BU35" s="496">
        <f t="shared" si="11"/>
        <v>0</v>
      </c>
      <c r="BV35" s="496">
        <f t="shared" si="12"/>
        <v>0</v>
      </c>
      <c r="BW35" s="496">
        <f t="shared" si="13"/>
        <v>0</v>
      </c>
      <c r="BX35" s="496">
        <f t="shared" si="14"/>
        <v>0</v>
      </c>
      <c r="BY35" s="496">
        <f t="shared" si="15"/>
        <v>0</v>
      </c>
      <c r="BZ35" s="496">
        <f t="shared" si="60"/>
        <v>0</v>
      </c>
      <c r="CA35" s="496">
        <f t="shared" si="16"/>
        <v>0</v>
      </c>
      <c r="CB35" s="496">
        <f t="shared" si="17"/>
        <v>0</v>
      </c>
      <c r="CC35" s="496">
        <f t="shared" si="18"/>
        <v>0</v>
      </c>
      <c r="CD35" s="496">
        <f t="shared" si="19"/>
        <v>0</v>
      </c>
      <c r="CE35" s="501">
        <f t="shared" si="61"/>
        <v>0</v>
      </c>
      <c r="CF35" s="501">
        <f t="shared" si="62"/>
        <v>0</v>
      </c>
      <c r="CG35" s="502">
        <f t="shared" si="63"/>
        <v>0</v>
      </c>
      <c r="CH35" s="514"/>
      <c r="CI35" s="512" t="s">
        <v>424</v>
      </c>
      <c r="CK35" s="599">
        <v>4.2</v>
      </c>
      <c r="CL35" s="777"/>
      <c r="CM35" s="503">
        <f t="shared" si="142"/>
        <v>0</v>
      </c>
      <c r="CN35" s="504">
        <f t="shared" si="65"/>
        <v>0</v>
      </c>
      <c r="CO35" s="504">
        <f t="shared" si="66"/>
        <v>0</v>
      </c>
      <c r="CP35" s="504">
        <f t="shared" si="67"/>
        <v>0</v>
      </c>
      <c r="CQ35" s="504">
        <f t="shared" si="68"/>
        <v>0</v>
      </c>
      <c r="CR35" s="504">
        <f t="shared" si="69"/>
        <v>0</v>
      </c>
      <c r="CS35" s="504">
        <f t="shared" si="70"/>
        <v>0</v>
      </c>
      <c r="CT35" s="504">
        <f t="shared" si="71"/>
        <v>0</v>
      </c>
      <c r="CU35" s="504">
        <f t="shared" si="72"/>
        <v>0</v>
      </c>
      <c r="CV35" s="504">
        <f t="shared" si="73"/>
        <v>0</v>
      </c>
      <c r="CW35" s="504">
        <f t="shared" si="74"/>
        <v>0</v>
      </c>
      <c r="CX35" s="504">
        <f t="shared" si="75"/>
        <v>0</v>
      </c>
      <c r="CY35" s="504">
        <f t="shared" si="76"/>
        <v>0</v>
      </c>
      <c r="CZ35" s="504">
        <f t="shared" si="77"/>
        <v>0</v>
      </c>
      <c r="DA35" s="505">
        <f t="shared" si="78"/>
        <v>0</v>
      </c>
      <c r="DB35" s="571">
        <f t="shared" si="79"/>
        <v>0</v>
      </c>
      <c r="DC35" s="571">
        <f t="shared" si="80"/>
        <v>0</v>
      </c>
      <c r="DD35" s="571">
        <f t="shared" si="81"/>
        <v>0</v>
      </c>
      <c r="DE35" s="571">
        <f t="shared" si="82"/>
        <v>0</v>
      </c>
      <c r="DF35" s="571">
        <f t="shared" si="83"/>
        <v>0</v>
      </c>
      <c r="DG35" s="571">
        <f t="shared" si="84"/>
        <v>0</v>
      </c>
      <c r="DH35" s="571">
        <f t="shared" si="85"/>
        <v>0</v>
      </c>
      <c r="DI35" s="571">
        <f t="shared" si="86"/>
        <v>0</v>
      </c>
      <c r="DJ35" s="571">
        <f t="shared" si="87"/>
        <v>0</v>
      </c>
      <c r="DK35" s="571">
        <f t="shared" si="88"/>
        <v>0</v>
      </c>
      <c r="DL35" s="571">
        <f t="shared" si="89"/>
        <v>0</v>
      </c>
      <c r="DM35" s="571">
        <f t="shared" si="90"/>
        <v>0</v>
      </c>
      <c r="DN35" s="571">
        <f t="shared" si="91"/>
        <v>0</v>
      </c>
      <c r="DO35" s="571">
        <f t="shared" si="92"/>
        <v>0</v>
      </c>
      <c r="DP35" s="571">
        <f t="shared" si="93"/>
        <v>0</v>
      </c>
      <c r="DQ35" s="571">
        <f t="shared" si="173"/>
        <v>0</v>
      </c>
      <c r="DR35" s="571">
        <f t="shared" si="94"/>
        <v>0</v>
      </c>
      <c r="DS35" s="571">
        <f t="shared" si="95"/>
        <v>0</v>
      </c>
      <c r="DT35" s="571"/>
      <c r="DU35" s="571"/>
      <c r="DV35" s="777"/>
      <c r="DW35" s="503">
        <f t="shared" si="135"/>
        <v>0</v>
      </c>
      <c r="DX35" s="503">
        <f t="shared" si="136"/>
        <v>0</v>
      </c>
      <c r="DY35" s="503" cm="1">
        <f t="array" ref="DY35">IF($S35=DY$12,IF(AND(AO35&lt;=250,BH35&lt;=60),6,IF(OR(AO35&lt;=350,BH35&lt;=80),7,IF(OR(AND(AO35&gt;350,AO&lt;=120),BH35&lt;=120),9,12))),DZ35)</f>
        <v>0</v>
      </c>
      <c r="DZ35" s="504">
        <f t="shared" si="96"/>
        <v>0</v>
      </c>
      <c r="EA35" s="504">
        <f t="shared" si="97"/>
        <v>0</v>
      </c>
      <c r="EB35" s="504">
        <f t="shared" si="98"/>
        <v>0</v>
      </c>
      <c r="EC35" s="504">
        <f t="shared" si="99"/>
        <v>0</v>
      </c>
      <c r="ED35" s="504">
        <f t="shared" si="100"/>
        <v>0</v>
      </c>
      <c r="EE35" s="504">
        <f t="shared" si="101"/>
        <v>0</v>
      </c>
      <c r="EF35" s="504">
        <f t="shared" si="102"/>
        <v>0</v>
      </c>
      <c r="EG35" s="504">
        <f t="shared" si="103"/>
        <v>0</v>
      </c>
      <c r="EH35" s="504">
        <f t="shared" si="104"/>
        <v>0</v>
      </c>
      <c r="EI35" s="504">
        <f t="shared" si="105"/>
        <v>0</v>
      </c>
      <c r="EJ35" s="504">
        <f t="shared" si="106"/>
        <v>0</v>
      </c>
      <c r="EK35" s="505">
        <f t="shared" si="107"/>
        <v>0</v>
      </c>
      <c r="EL35" s="571">
        <f t="shared" ref="EL35:ET35" si="185">IF($S35=EL$12,IF(AND($AO35&lt;=320,$BH35&lt;=50),6,7),EM35)</f>
        <v>0</v>
      </c>
      <c r="EM35" s="571">
        <f t="shared" si="185"/>
        <v>0</v>
      </c>
      <c r="EN35" s="571">
        <f t="shared" si="185"/>
        <v>0</v>
      </c>
      <c r="EO35" s="571">
        <f t="shared" si="185"/>
        <v>0</v>
      </c>
      <c r="EP35" s="571">
        <f t="shared" si="185"/>
        <v>0</v>
      </c>
      <c r="EQ35" s="571">
        <f t="shared" si="185"/>
        <v>0</v>
      </c>
      <c r="ER35" s="571">
        <f t="shared" si="185"/>
        <v>0</v>
      </c>
      <c r="ES35" s="571">
        <f t="shared" si="185"/>
        <v>0</v>
      </c>
      <c r="ET35" s="571">
        <f t="shared" si="185"/>
        <v>0</v>
      </c>
      <c r="EU35" s="571">
        <f t="shared" si="109"/>
        <v>0</v>
      </c>
      <c r="EV35" s="571">
        <f t="shared" ref="EV35:FA35" si="186">IF($S35=EV$12,IF(AND($AO35&lt;=320,$BH35&lt;=50),6,7),EW35)</f>
        <v>0</v>
      </c>
      <c r="EW35" s="571">
        <f t="shared" si="186"/>
        <v>0</v>
      </c>
      <c r="EX35" s="571">
        <f t="shared" si="186"/>
        <v>0</v>
      </c>
      <c r="EY35" s="571">
        <f t="shared" si="186"/>
        <v>0</v>
      </c>
      <c r="EZ35" s="571">
        <f t="shared" si="186"/>
        <v>0</v>
      </c>
      <c r="FA35" s="571">
        <f t="shared" si="186"/>
        <v>0</v>
      </c>
      <c r="FB35" s="571">
        <f t="shared" si="23"/>
        <v>0</v>
      </c>
      <c r="FC35" s="571">
        <f t="shared" si="111"/>
        <v>0</v>
      </c>
      <c r="FD35" s="571"/>
      <c r="FE35" s="571"/>
      <c r="FF35" s="571"/>
      <c r="FG35" s="571"/>
      <c r="FH35" s="443"/>
      <c r="FI35" s="505" t="e">
        <f t="shared" si="112"/>
        <v>#N/A</v>
      </c>
      <c r="FJ35" s="505" t="e">
        <f t="shared" si="113"/>
        <v>#N/A</v>
      </c>
      <c r="FK35" s="505" t="e">
        <f t="shared" si="114"/>
        <v>#N/A</v>
      </c>
      <c r="FL35" s="505" t="e">
        <f t="shared" si="115"/>
        <v>#N/A</v>
      </c>
      <c r="FM35" s="505" t="e">
        <f t="shared" si="116"/>
        <v>#N/A</v>
      </c>
      <c r="FN35" s="505" t="e">
        <f t="shared" si="117"/>
        <v>#N/A</v>
      </c>
      <c r="FO35" s="505" t="e">
        <f t="shared" si="118"/>
        <v>#N/A</v>
      </c>
      <c r="FP35" s="571"/>
      <c r="FQ35" s="571"/>
      <c r="FR35" s="571"/>
      <c r="FS35" s="571"/>
      <c r="FT35" s="571"/>
      <c r="FU35" s="571"/>
      <c r="FV35" s="571"/>
      <c r="FW35" s="571"/>
      <c r="FX35" s="571"/>
      <c r="FY35" s="571"/>
      <c r="FZ35" s="571"/>
      <c r="GA35" s="571"/>
      <c r="GB35" s="571"/>
      <c r="GC35" s="571"/>
      <c r="GD35" s="443"/>
      <c r="GE35" s="505" t="e">
        <f t="shared" si="119"/>
        <v>#N/A</v>
      </c>
      <c r="GF35" s="505" t="e">
        <f t="shared" si="120"/>
        <v>#N/A</v>
      </c>
      <c r="GG35" s="505" t="e">
        <f t="shared" si="121"/>
        <v>#N/A</v>
      </c>
      <c r="GH35" s="505" t="e">
        <f t="shared" si="122"/>
        <v>#N/A</v>
      </c>
      <c r="GI35" s="505" t="e">
        <f t="shared" si="123"/>
        <v>#N/A</v>
      </c>
      <c r="GJ35" s="505" t="e">
        <f t="shared" si="124"/>
        <v>#N/A</v>
      </c>
      <c r="GK35" s="505" t="e">
        <f t="shared" si="125"/>
        <v>#N/A</v>
      </c>
      <c r="GL35" s="571"/>
      <c r="GM35" s="571"/>
      <c r="GN35" s="571"/>
      <c r="GO35" s="571"/>
      <c r="GP35" s="571"/>
      <c r="GQ35" s="571"/>
      <c r="GR35" s="571"/>
      <c r="GS35" s="571"/>
      <c r="GT35" s="571"/>
      <c r="GU35" s="571"/>
      <c r="GV35" s="571"/>
      <c r="GW35" s="571"/>
      <c r="GX35" s="506"/>
      <c r="GY35" s="507" t="e">
        <f t="shared" si="126"/>
        <v>#N/A</v>
      </c>
      <c r="GZ35" s="505" t="e">
        <f t="shared" si="127"/>
        <v>#N/A</v>
      </c>
      <c r="HA35" s="505" t="e">
        <f t="shared" si="128"/>
        <v>#N/A</v>
      </c>
      <c r="HB35" s="505" t="e">
        <f t="shared" si="129"/>
        <v>#N/A</v>
      </c>
      <c r="HC35" s="505" t="e">
        <f t="shared" si="130"/>
        <v>#N/A</v>
      </c>
      <c r="HD35" s="505" t="e">
        <f t="shared" si="131"/>
        <v>#N/A</v>
      </c>
      <c r="HE35" s="505" t="e">
        <f t="shared" si="132"/>
        <v>#N/A</v>
      </c>
      <c r="HF35" s="571"/>
      <c r="HG35" s="571"/>
      <c r="HH35" s="571"/>
      <c r="HI35" s="571"/>
      <c r="HJ35" s="571"/>
      <c r="HK35" s="571"/>
      <c r="HL35" s="571"/>
      <c r="HM35" s="571"/>
      <c r="HN35" s="571"/>
      <c r="HO35" s="571"/>
      <c r="HP35" s="571"/>
      <c r="HQ35" s="571"/>
      <c r="HR35" s="571"/>
      <c r="HS35" s="777"/>
      <c r="HT35" s="508">
        <f t="shared" si="24"/>
        <v>0</v>
      </c>
      <c r="HU35" s="509">
        <f t="shared" si="180"/>
        <v>0</v>
      </c>
      <c r="HV35" s="510">
        <f t="shared" si="26"/>
        <v>0</v>
      </c>
      <c r="HW35" s="543"/>
      <c r="HX35" s="544" t="s">
        <v>432</v>
      </c>
      <c r="HY35" s="550"/>
      <c r="HZ35" s="550"/>
      <c r="IA35" s="546" t="e">
        <f t="shared" si="133"/>
        <v>#N/A</v>
      </c>
      <c r="IB35" s="547" t="e">
        <f t="shared" si="134"/>
        <v>#N/A</v>
      </c>
      <c r="IC35" s="554">
        <f t="shared" si="27"/>
        <v>0</v>
      </c>
      <c r="ID35" s="545" t="str">
        <f t="shared" si="28"/>
        <v/>
      </c>
      <c r="IE35" s="222">
        <f t="shared" si="29"/>
        <v>0</v>
      </c>
      <c r="IF35" s="230">
        <f t="shared" si="30"/>
        <v>0</v>
      </c>
      <c r="IG35" s="228">
        <f t="shared" si="31"/>
        <v>0</v>
      </c>
      <c r="IH35" s="423">
        <f t="shared" si="32"/>
        <v>0</v>
      </c>
      <c r="II35" s="425">
        <f t="shared" si="33"/>
        <v>0</v>
      </c>
    </row>
    <row r="36" spans="2:243" s="40" customFormat="1" ht="24.75" customHeight="1" x14ac:dyDescent="0.35">
      <c r="B36" s="258"/>
      <c r="C36" s="310">
        <f t="shared" si="155"/>
        <v>23</v>
      </c>
      <c r="D36" s="311">
        <f>IF(S36=0,0,VLOOKUP(S36,'قائمة الأسعار'!$C$13:$H$45,2,0))</f>
        <v>0</v>
      </c>
      <c r="E36" s="312">
        <f>T36</f>
        <v>0</v>
      </c>
      <c r="F36" s="313">
        <f t="shared" si="36"/>
        <v>0</v>
      </c>
      <c r="G36" s="313" t="e">
        <f t="shared" si="37"/>
        <v>#DIV/0!</v>
      </c>
      <c r="H36" s="314">
        <f t="shared" si="38"/>
        <v>0</v>
      </c>
      <c r="I36" s="315">
        <f t="shared" si="39"/>
        <v>0</v>
      </c>
      <c r="J36" s="316">
        <f>AA36</f>
        <v>0</v>
      </c>
      <c r="K36" s="315">
        <f>J36*I36</f>
        <v>0</v>
      </c>
      <c r="L36" s="317">
        <f>IF(S36=0,0,IF(T36="لون خاص",VLOOKUP(D36,'قائمة الأسعار'!$D$48:$F$62,3,0),VLOOKUP(D36,'قائمة الأسعار'!$D$13:$F$27,3,0)))</f>
        <v>0</v>
      </c>
      <c r="M36" s="318">
        <f>L36*J36*I36</f>
        <v>0</v>
      </c>
      <c r="N36" s="315">
        <f>IF(S36=0,0,(IF(OR(S36=$CI$17,S36=$CI$18,S36=$CI$22,S36=$CI$23),K36,K36-(VLOOKUP(D36,'قائمة الأسعار'!$D$13:$G$47,4,FALSE)*J36*F36)/10000)))</f>
        <v>0</v>
      </c>
      <c r="O36" s="612">
        <f>IF(S36=0,0,IF(T36="لون خاص",VLOOKUP(D36,'قائمة الأسعار'!$D$48:$G$62,4,0),VLOOKUP(D36,'قائمة الأسعار'!$D$13:$G$47,4,0)))</f>
        <v>0</v>
      </c>
      <c r="Q36" s="91"/>
      <c r="R36" s="204">
        <v>23</v>
      </c>
      <c r="S36" s="200"/>
      <c r="T36" s="200"/>
      <c r="U36" s="200"/>
      <c r="V36" s="201"/>
      <c r="W36" s="201"/>
      <c r="X36" s="201"/>
      <c r="Y36" s="201"/>
      <c r="Z36" s="201" t="b">
        <v>1</v>
      </c>
      <c r="AA36" s="200"/>
      <c r="AB36" s="201"/>
      <c r="AC36" s="219"/>
      <c r="AD36" s="620"/>
      <c r="AE36" s="620"/>
      <c r="AF36" s="621"/>
      <c r="AG36" s="193"/>
      <c r="AH36" s="202">
        <f t="shared" si="139"/>
        <v>0</v>
      </c>
      <c r="AI36" s="203" t="str">
        <f t="shared" si="2"/>
        <v/>
      </c>
      <c r="AJ36" s="63"/>
      <c r="AK36" s="53"/>
      <c r="AL36" s="37"/>
      <c r="AM36" s="488"/>
      <c r="AN36" s="489" t="e">
        <f t="shared" si="41"/>
        <v>#DIV/0!</v>
      </c>
      <c r="AO36" s="490" cm="1">
        <f t="array" ref="AO36">IF(V36&lt;&gt;0,IF($AW$12=$BB$4,IF(X36=$BF$14,V36-1,IF(X36=$BF$13,V36+8.5,V36-7.5)),IF(X36=$BF$14,V36-1,IF(X36=$BF$13,IF(OR(S36=$CI$15:$CI$19,S36=$CI$38,S36=$CI$40),V36+3.6,IF(S36=$CI$39,V36+2.9,V36+4)),IF(OR(S36=$CI$15:$CI$19,S36=$CI$38,S36=$CI$40),V36-12.4,IF(S36=$CI$39,V36-13.1,V36-12))))),0)</f>
        <v>0</v>
      </c>
      <c r="AP36" s="491">
        <f t="shared" si="42"/>
        <v>0</v>
      </c>
      <c r="AQ36" s="491">
        <f t="shared" si="43"/>
        <v>0</v>
      </c>
      <c r="AR36" s="492">
        <f t="shared" si="44"/>
        <v>0</v>
      </c>
      <c r="AS36" s="493">
        <f t="shared" si="45"/>
        <v>0</v>
      </c>
      <c r="AT36" s="493">
        <f t="shared" si="46"/>
        <v>0</v>
      </c>
      <c r="AU36" s="493">
        <f t="shared" si="47"/>
        <v>0</v>
      </c>
      <c r="AV36" s="493">
        <f t="shared" si="48"/>
        <v>0</v>
      </c>
      <c r="AW36" s="494">
        <f t="shared" si="49"/>
        <v>0</v>
      </c>
      <c r="AX36" s="494">
        <f t="shared" si="50"/>
        <v>0</v>
      </c>
      <c r="AY36" s="494">
        <f t="shared" si="51"/>
        <v>0</v>
      </c>
      <c r="AZ36" s="495">
        <f t="shared" si="52"/>
        <v>0</v>
      </c>
      <c r="BA36" s="495">
        <f t="shared" si="53"/>
        <v>2</v>
      </c>
      <c r="BB36" s="495">
        <f t="shared" si="54"/>
        <v>0</v>
      </c>
      <c r="BC36" s="496" cm="1">
        <f t="array" ref="BC36">IF(OR($AB36=$BF$22:$BF$40),$AB36,0)</f>
        <v>0</v>
      </c>
      <c r="BD36" s="496" cm="1">
        <f t="array" ref="BD36">IF(OR($AB36=$BF$22:$BF$40),IF(AC36=$CH$14,BK36,IF(AC36=$CH$13,BJ36,BI36)),0)</f>
        <v>0</v>
      </c>
      <c r="BE36" s="497" cm="1">
        <f t="array" ref="BE36">IF(OR(AB36=$BF$22:$BF$40),AA36,0)</f>
        <v>0</v>
      </c>
      <c r="BF36" s="605" t="s">
        <v>477</v>
      </c>
      <c r="BH36" s="499" t="e">
        <f t="shared" si="55"/>
        <v>#N/A</v>
      </c>
      <c r="BI36" s="498">
        <f t="shared" si="56"/>
        <v>0</v>
      </c>
      <c r="BJ36" s="498">
        <f t="shared" si="57"/>
        <v>0</v>
      </c>
      <c r="BK36" s="498">
        <f t="shared" si="58"/>
        <v>0</v>
      </c>
      <c r="BL36" s="500">
        <f>IF(BE36&gt;0,AV36,IF(OR(AB36="محرك من الزبون",AB36="ACM30-1",AB36="ACM30-2"),AV36,0))</f>
        <v>0</v>
      </c>
      <c r="BM36" s="500">
        <f t="shared" si="3"/>
        <v>0</v>
      </c>
      <c r="BN36" s="500">
        <f t="shared" si="4"/>
        <v>0</v>
      </c>
      <c r="BO36" s="500">
        <f t="shared" si="5"/>
        <v>0</v>
      </c>
      <c r="BP36" s="500">
        <f t="shared" si="6"/>
        <v>0</v>
      </c>
      <c r="BQ36" s="500">
        <f t="shared" si="7"/>
        <v>0</v>
      </c>
      <c r="BR36" s="500">
        <f t="shared" si="8"/>
        <v>0</v>
      </c>
      <c r="BS36" s="500">
        <f t="shared" si="9"/>
        <v>0</v>
      </c>
      <c r="BT36" s="496">
        <f t="shared" si="10"/>
        <v>0</v>
      </c>
      <c r="BU36" s="496">
        <f t="shared" si="11"/>
        <v>0</v>
      </c>
      <c r="BV36" s="496">
        <f t="shared" si="12"/>
        <v>0</v>
      </c>
      <c r="BW36" s="496">
        <f t="shared" si="13"/>
        <v>0</v>
      </c>
      <c r="BX36" s="496">
        <f t="shared" si="14"/>
        <v>0</v>
      </c>
      <c r="BY36" s="496">
        <f t="shared" si="15"/>
        <v>0</v>
      </c>
      <c r="BZ36" s="496">
        <f t="shared" si="60"/>
        <v>0</v>
      </c>
      <c r="CA36" s="496">
        <f t="shared" si="16"/>
        <v>0</v>
      </c>
      <c r="CB36" s="496">
        <f t="shared" si="17"/>
        <v>0</v>
      </c>
      <c r="CC36" s="496">
        <f t="shared" si="18"/>
        <v>0</v>
      </c>
      <c r="CD36" s="496">
        <f t="shared" si="19"/>
        <v>0</v>
      </c>
      <c r="CE36" s="501">
        <f t="shared" si="61"/>
        <v>0</v>
      </c>
      <c r="CF36" s="501">
        <f t="shared" si="62"/>
        <v>0</v>
      </c>
      <c r="CG36" s="502">
        <f t="shared" si="63"/>
        <v>0</v>
      </c>
      <c r="CH36" s="514"/>
      <c r="CI36" s="577" t="s">
        <v>432</v>
      </c>
      <c r="CK36" s="599">
        <v>10.8</v>
      </c>
      <c r="CL36" s="777"/>
      <c r="CM36" s="503">
        <f t="shared" si="142"/>
        <v>0</v>
      </c>
      <c r="CN36" s="504">
        <f t="shared" si="65"/>
        <v>0</v>
      </c>
      <c r="CO36" s="504">
        <f t="shared" si="66"/>
        <v>0</v>
      </c>
      <c r="CP36" s="504">
        <f t="shared" si="67"/>
        <v>0</v>
      </c>
      <c r="CQ36" s="504">
        <f t="shared" si="68"/>
        <v>0</v>
      </c>
      <c r="CR36" s="504">
        <f t="shared" si="69"/>
        <v>0</v>
      </c>
      <c r="CS36" s="504">
        <f t="shared" si="70"/>
        <v>0</v>
      </c>
      <c r="CT36" s="504">
        <f t="shared" si="71"/>
        <v>0</v>
      </c>
      <c r="CU36" s="504">
        <f t="shared" si="72"/>
        <v>0</v>
      </c>
      <c r="CV36" s="504">
        <f t="shared" si="73"/>
        <v>0</v>
      </c>
      <c r="CW36" s="504">
        <f t="shared" si="74"/>
        <v>0</v>
      </c>
      <c r="CX36" s="504">
        <f t="shared" si="75"/>
        <v>0</v>
      </c>
      <c r="CY36" s="504">
        <f t="shared" si="76"/>
        <v>0</v>
      </c>
      <c r="CZ36" s="504">
        <f t="shared" si="77"/>
        <v>0</v>
      </c>
      <c r="DA36" s="505">
        <f t="shared" si="78"/>
        <v>0</v>
      </c>
      <c r="DB36" s="571">
        <f t="shared" si="79"/>
        <v>0</v>
      </c>
      <c r="DC36" s="571">
        <f t="shared" si="80"/>
        <v>0</v>
      </c>
      <c r="DD36" s="571">
        <f t="shared" si="81"/>
        <v>0</v>
      </c>
      <c r="DE36" s="571">
        <f t="shared" si="82"/>
        <v>0</v>
      </c>
      <c r="DF36" s="571">
        <f t="shared" si="83"/>
        <v>0</v>
      </c>
      <c r="DG36" s="571">
        <f t="shared" si="84"/>
        <v>0</v>
      </c>
      <c r="DH36" s="571">
        <f t="shared" si="85"/>
        <v>0</v>
      </c>
      <c r="DI36" s="571">
        <f t="shared" si="86"/>
        <v>0</v>
      </c>
      <c r="DJ36" s="571">
        <f t="shared" si="87"/>
        <v>0</v>
      </c>
      <c r="DK36" s="571">
        <f t="shared" si="88"/>
        <v>0</v>
      </c>
      <c r="DL36" s="571">
        <f t="shared" si="89"/>
        <v>0</v>
      </c>
      <c r="DM36" s="571">
        <f t="shared" si="90"/>
        <v>0</v>
      </c>
      <c r="DN36" s="571">
        <f t="shared" si="91"/>
        <v>0</v>
      </c>
      <c r="DO36" s="571">
        <f t="shared" si="92"/>
        <v>0</v>
      </c>
      <c r="DP36" s="571">
        <f t="shared" si="93"/>
        <v>0</v>
      </c>
      <c r="DQ36" s="571">
        <f t="shared" si="173"/>
        <v>0</v>
      </c>
      <c r="DR36" s="571">
        <f t="shared" si="94"/>
        <v>0</v>
      </c>
      <c r="DS36" s="571">
        <f t="shared" si="95"/>
        <v>0</v>
      </c>
      <c r="DT36" s="571"/>
      <c r="DU36" s="571"/>
      <c r="DV36" s="777"/>
      <c r="DW36" s="503">
        <f t="shared" si="135"/>
        <v>0</v>
      </c>
      <c r="DX36" s="503">
        <f t="shared" si="136"/>
        <v>0</v>
      </c>
      <c r="DY36" s="503" cm="1">
        <f t="array" ref="DY36">IF($S36=DY$12,IF(AND(AO36&lt;=250,BH36&lt;=60),6,IF(OR(AO36&lt;=350,BH36&lt;=80),7,IF(OR(AND(AO36&gt;350,AO&lt;=120),BH36&lt;=120),9,12))),DZ36)</f>
        <v>0</v>
      </c>
      <c r="DZ36" s="504">
        <f t="shared" si="96"/>
        <v>0</v>
      </c>
      <c r="EA36" s="504">
        <f t="shared" si="97"/>
        <v>0</v>
      </c>
      <c r="EB36" s="504">
        <f t="shared" si="98"/>
        <v>0</v>
      </c>
      <c r="EC36" s="504">
        <f t="shared" si="99"/>
        <v>0</v>
      </c>
      <c r="ED36" s="504">
        <f t="shared" si="100"/>
        <v>0</v>
      </c>
      <c r="EE36" s="504">
        <f t="shared" si="101"/>
        <v>0</v>
      </c>
      <c r="EF36" s="504">
        <f t="shared" si="102"/>
        <v>0</v>
      </c>
      <c r="EG36" s="504">
        <f t="shared" si="103"/>
        <v>0</v>
      </c>
      <c r="EH36" s="504">
        <f t="shared" si="104"/>
        <v>0</v>
      </c>
      <c r="EI36" s="504">
        <f t="shared" si="105"/>
        <v>0</v>
      </c>
      <c r="EJ36" s="504">
        <f t="shared" si="106"/>
        <v>0</v>
      </c>
      <c r="EK36" s="505">
        <f t="shared" si="107"/>
        <v>0</v>
      </c>
      <c r="EL36" s="571">
        <f t="shared" ref="EL36:ET36" si="187">IF($S36=EL$12,IF(AND($AO36&lt;=320,$BH36&lt;=50),6,7),EM36)</f>
        <v>0</v>
      </c>
      <c r="EM36" s="571">
        <f t="shared" si="187"/>
        <v>0</v>
      </c>
      <c r="EN36" s="571">
        <f t="shared" si="187"/>
        <v>0</v>
      </c>
      <c r="EO36" s="571">
        <f t="shared" si="187"/>
        <v>0</v>
      </c>
      <c r="EP36" s="571">
        <f t="shared" si="187"/>
        <v>0</v>
      </c>
      <c r="EQ36" s="571">
        <f t="shared" si="187"/>
        <v>0</v>
      </c>
      <c r="ER36" s="571">
        <f t="shared" si="187"/>
        <v>0</v>
      </c>
      <c r="ES36" s="571">
        <f t="shared" si="187"/>
        <v>0</v>
      </c>
      <c r="ET36" s="571">
        <f t="shared" si="187"/>
        <v>0</v>
      </c>
      <c r="EU36" s="571">
        <f t="shared" si="109"/>
        <v>0</v>
      </c>
      <c r="EV36" s="571">
        <f t="shared" ref="EV36:FA36" si="188">IF($S36=EV$12,IF(AND($AO36&lt;=320,$BH36&lt;=50),6,7),EW36)</f>
        <v>0</v>
      </c>
      <c r="EW36" s="571">
        <f t="shared" si="188"/>
        <v>0</v>
      </c>
      <c r="EX36" s="571">
        <f t="shared" si="188"/>
        <v>0</v>
      </c>
      <c r="EY36" s="571">
        <f t="shared" si="188"/>
        <v>0</v>
      </c>
      <c r="EZ36" s="571">
        <f t="shared" si="188"/>
        <v>0</v>
      </c>
      <c r="FA36" s="571">
        <f t="shared" si="188"/>
        <v>0</v>
      </c>
      <c r="FB36" s="571">
        <f t="shared" si="23"/>
        <v>0</v>
      </c>
      <c r="FC36" s="571">
        <f t="shared" si="111"/>
        <v>0</v>
      </c>
      <c r="FD36" s="571"/>
      <c r="FE36" s="571"/>
      <c r="FF36" s="571"/>
      <c r="FG36" s="571"/>
      <c r="FH36" s="443"/>
      <c r="FI36" s="505" t="e">
        <f t="shared" si="112"/>
        <v>#N/A</v>
      </c>
      <c r="FJ36" s="505" t="e">
        <f t="shared" si="113"/>
        <v>#N/A</v>
      </c>
      <c r="FK36" s="505" t="e">
        <f t="shared" si="114"/>
        <v>#N/A</v>
      </c>
      <c r="FL36" s="505" t="e">
        <f t="shared" si="115"/>
        <v>#N/A</v>
      </c>
      <c r="FM36" s="505" t="e">
        <f t="shared" si="116"/>
        <v>#N/A</v>
      </c>
      <c r="FN36" s="505" t="e">
        <f t="shared" si="117"/>
        <v>#N/A</v>
      </c>
      <c r="FO36" s="505" t="e">
        <f t="shared" si="118"/>
        <v>#N/A</v>
      </c>
      <c r="FP36" s="571"/>
      <c r="FQ36" s="571"/>
      <c r="FR36" s="571"/>
      <c r="FS36" s="571"/>
      <c r="FT36" s="571"/>
      <c r="FU36" s="571"/>
      <c r="FV36" s="571"/>
      <c r="FW36" s="571"/>
      <c r="FX36" s="571"/>
      <c r="FY36" s="571"/>
      <c r="FZ36" s="571"/>
      <c r="GA36" s="571"/>
      <c r="GB36" s="571"/>
      <c r="GC36" s="571"/>
      <c r="GD36" s="443"/>
      <c r="GE36" s="505" t="e">
        <f t="shared" si="119"/>
        <v>#N/A</v>
      </c>
      <c r="GF36" s="505" t="e">
        <f t="shared" si="120"/>
        <v>#N/A</v>
      </c>
      <c r="GG36" s="505" t="e">
        <f t="shared" si="121"/>
        <v>#N/A</v>
      </c>
      <c r="GH36" s="505" t="e">
        <f t="shared" si="122"/>
        <v>#N/A</v>
      </c>
      <c r="GI36" s="505" t="e">
        <f t="shared" si="123"/>
        <v>#N/A</v>
      </c>
      <c r="GJ36" s="505" t="e">
        <f t="shared" si="124"/>
        <v>#N/A</v>
      </c>
      <c r="GK36" s="505" t="e">
        <f t="shared" si="125"/>
        <v>#N/A</v>
      </c>
      <c r="GL36" s="571"/>
      <c r="GM36" s="571"/>
      <c r="GN36" s="571"/>
      <c r="GO36" s="571"/>
      <c r="GP36" s="571"/>
      <c r="GQ36" s="571"/>
      <c r="GR36" s="571"/>
      <c r="GS36" s="571"/>
      <c r="GT36" s="571"/>
      <c r="GU36" s="571"/>
      <c r="GV36" s="571"/>
      <c r="GW36" s="571"/>
      <c r="GX36" s="506"/>
      <c r="GY36" s="507" t="e">
        <f t="shared" si="126"/>
        <v>#N/A</v>
      </c>
      <c r="GZ36" s="505" t="e">
        <f t="shared" si="127"/>
        <v>#N/A</v>
      </c>
      <c r="HA36" s="505" t="e">
        <f t="shared" si="128"/>
        <v>#N/A</v>
      </c>
      <c r="HB36" s="505" t="e">
        <f t="shared" si="129"/>
        <v>#N/A</v>
      </c>
      <c r="HC36" s="505" t="e">
        <f t="shared" si="130"/>
        <v>#N/A</v>
      </c>
      <c r="HD36" s="505" t="e">
        <f t="shared" si="131"/>
        <v>#N/A</v>
      </c>
      <c r="HE36" s="505" t="e">
        <f t="shared" si="132"/>
        <v>#N/A</v>
      </c>
      <c r="HF36" s="571"/>
      <c r="HG36" s="571"/>
      <c r="HH36" s="571"/>
      <c r="HI36" s="571"/>
      <c r="HJ36" s="571"/>
      <c r="HK36" s="571"/>
      <c r="HL36" s="571"/>
      <c r="HM36" s="571"/>
      <c r="HN36" s="571"/>
      <c r="HO36" s="571"/>
      <c r="HP36" s="571"/>
      <c r="HQ36" s="571"/>
      <c r="HR36" s="571"/>
      <c r="HS36" s="777"/>
      <c r="HT36" s="508">
        <f t="shared" si="24"/>
        <v>0</v>
      </c>
      <c r="HU36" s="509">
        <f t="shared" si="180"/>
        <v>0</v>
      </c>
      <c r="HV36" s="510">
        <f t="shared" si="26"/>
        <v>0</v>
      </c>
      <c r="HW36" s="543"/>
      <c r="HX36" s="544" t="s">
        <v>425</v>
      </c>
      <c r="HY36" s="550"/>
      <c r="HZ36" s="550"/>
      <c r="IA36" s="546" t="e">
        <f t="shared" si="133"/>
        <v>#N/A</v>
      </c>
      <c r="IB36" s="547" t="e">
        <f t="shared" si="134"/>
        <v>#N/A</v>
      </c>
      <c r="IC36" s="554">
        <f t="shared" si="27"/>
        <v>0</v>
      </c>
      <c r="ID36" s="545" t="str">
        <f t="shared" si="28"/>
        <v/>
      </c>
      <c r="IE36" s="222">
        <f t="shared" si="29"/>
        <v>0</v>
      </c>
      <c r="IF36" s="230">
        <f t="shared" si="30"/>
        <v>0</v>
      </c>
      <c r="IG36" s="228">
        <f t="shared" si="31"/>
        <v>0</v>
      </c>
      <c r="IH36" s="423">
        <f t="shared" si="32"/>
        <v>0</v>
      </c>
      <c r="II36" s="425">
        <f t="shared" si="33"/>
        <v>0</v>
      </c>
    </row>
    <row r="37" spans="2:243" s="40" customFormat="1" ht="24.75" customHeight="1" x14ac:dyDescent="0.35">
      <c r="B37" s="258"/>
      <c r="C37" s="310">
        <f t="shared" si="155"/>
        <v>24</v>
      </c>
      <c r="D37" s="311">
        <f>IF(S37=0,0,VLOOKUP(S37,'قائمة الأسعار'!$C$13:$H$45,2,0))</f>
        <v>0</v>
      </c>
      <c r="E37" s="312">
        <f>T37</f>
        <v>0</v>
      </c>
      <c r="F37" s="313">
        <f t="shared" si="36"/>
        <v>0</v>
      </c>
      <c r="G37" s="313" t="e">
        <f t="shared" si="37"/>
        <v>#DIV/0!</v>
      </c>
      <c r="H37" s="314">
        <f t="shared" si="38"/>
        <v>0</v>
      </c>
      <c r="I37" s="315">
        <f t="shared" si="39"/>
        <v>0</v>
      </c>
      <c r="J37" s="316">
        <f>AA37</f>
        <v>0</v>
      </c>
      <c r="K37" s="315">
        <f>J37*I37</f>
        <v>0</v>
      </c>
      <c r="L37" s="317">
        <f>IF(S37=0,0,IF(T37="لون خاص",VLOOKUP(D37,'قائمة الأسعار'!$D$48:$F$62,3,0),VLOOKUP(D37,'قائمة الأسعار'!$D$13:$F$27,3,0)))</f>
        <v>0</v>
      </c>
      <c r="M37" s="318">
        <f>L37*J37*I37</f>
        <v>0</v>
      </c>
      <c r="N37" s="315">
        <f>IF(S37=0,0,(IF(OR(S37=$CI$17,S37=$CI$18,S37=$CI$22,S37=$CI$23),K37,K37-(VLOOKUP(D37,'قائمة الأسعار'!$D$13:$G$47,4,FALSE)*J37*F37)/10000)))</f>
        <v>0</v>
      </c>
      <c r="O37" s="612">
        <f>IF(S37=0,0,IF(T37="لون خاص",VLOOKUP(D37,'قائمة الأسعار'!$D$48:$G$62,4,0),VLOOKUP(D37,'قائمة الأسعار'!$D$13:$G$47,4,0)))</f>
        <v>0</v>
      </c>
      <c r="Q37" s="91"/>
      <c r="R37" s="204">
        <v>24</v>
      </c>
      <c r="S37" s="200"/>
      <c r="T37" s="200"/>
      <c r="U37" s="200"/>
      <c r="V37" s="201"/>
      <c r="W37" s="201"/>
      <c r="X37" s="201"/>
      <c r="Y37" s="201"/>
      <c r="Z37" s="201" t="b">
        <v>1</v>
      </c>
      <c r="AA37" s="200"/>
      <c r="AB37" s="201"/>
      <c r="AC37" s="219"/>
      <c r="AD37" s="620"/>
      <c r="AE37" s="620"/>
      <c r="AF37" s="621"/>
      <c r="AG37" s="193"/>
      <c r="AH37" s="202">
        <f t="shared" si="139"/>
        <v>0</v>
      </c>
      <c r="AI37" s="203" t="str">
        <f t="shared" si="2"/>
        <v/>
      </c>
      <c r="AJ37" s="63"/>
      <c r="AK37" s="53"/>
      <c r="AL37" s="37"/>
      <c r="AM37" s="488"/>
      <c r="AN37" s="489" t="e">
        <f t="shared" si="41"/>
        <v>#DIV/0!</v>
      </c>
      <c r="AO37" s="490" cm="1">
        <f t="array" ref="AO37">IF(V37&lt;&gt;0,IF($AW$12=$BB$4,IF(X37=$BF$14,V37-1,IF(X37=$BF$13,V37+8.5,V37-7.5)),IF(X37=$BF$14,V37-1,IF(X37=$BF$13,IF(OR(S37=$CI$15:$CI$19,S37=$CI$38,S37=$CI$40),V37+3.6,IF(S37=$CI$39,V37+2.9,V37+4)),IF(OR(S37=$CI$15:$CI$19,S37=$CI$38,S37=$CI$40),V37-12.4,IF(S37=$CI$39,V37-13.1,V37-12))))),0)</f>
        <v>0</v>
      </c>
      <c r="AP37" s="491">
        <f t="shared" si="42"/>
        <v>0</v>
      </c>
      <c r="AQ37" s="491">
        <f t="shared" si="43"/>
        <v>0</v>
      </c>
      <c r="AR37" s="492">
        <f t="shared" si="44"/>
        <v>0</v>
      </c>
      <c r="AS37" s="493">
        <f t="shared" si="45"/>
        <v>0</v>
      </c>
      <c r="AT37" s="493">
        <f t="shared" si="46"/>
        <v>0</v>
      </c>
      <c r="AU37" s="493">
        <f t="shared" si="47"/>
        <v>0</v>
      </c>
      <c r="AV37" s="493">
        <f t="shared" si="48"/>
        <v>0</v>
      </c>
      <c r="AW37" s="494">
        <f t="shared" si="49"/>
        <v>0</v>
      </c>
      <c r="AX37" s="494">
        <f t="shared" si="50"/>
        <v>0</v>
      </c>
      <c r="AY37" s="494">
        <f t="shared" si="51"/>
        <v>0</v>
      </c>
      <c r="AZ37" s="495">
        <f t="shared" si="52"/>
        <v>0</v>
      </c>
      <c r="BA37" s="495">
        <f t="shared" si="53"/>
        <v>2</v>
      </c>
      <c r="BB37" s="495">
        <f t="shared" si="54"/>
        <v>0</v>
      </c>
      <c r="BC37" s="496" cm="1">
        <f t="array" ref="BC37">IF(OR($AB37=$BF$22:$BF$40),$AB37,0)</f>
        <v>0</v>
      </c>
      <c r="BD37" s="496" cm="1">
        <f t="array" ref="BD37">IF(OR($AB37=$BF$22:$BF$40),IF(AC37=$CH$14,BK37,IF(AC37=$CH$13,BJ37,BI37)),0)</f>
        <v>0</v>
      </c>
      <c r="BE37" s="497" cm="1">
        <f t="array" ref="BE37">IF(OR(AB37=$BF$22:$BF$40),AA37,0)</f>
        <v>0</v>
      </c>
      <c r="BF37" s="605" t="s">
        <v>254</v>
      </c>
      <c r="BH37" s="499" t="e">
        <f t="shared" si="55"/>
        <v>#N/A</v>
      </c>
      <c r="BI37" s="498">
        <f t="shared" si="56"/>
        <v>0</v>
      </c>
      <c r="BJ37" s="498">
        <f t="shared" si="57"/>
        <v>0</v>
      </c>
      <c r="BK37" s="498">
        <f t="shared" si="58"/>
        <v>0</v>
      </c>
      <c r="BL37" s="500">
        <f>IF(BE37&gt;0,AV37,IF(OR(AB37="محرك من الزبون",AB37="ACM30-1",AB37="ACM30-2"),AV37,0))</f>
        <v>0</v>
      </c>
      <c r="BM37" s="500">
        <f t="shared" si="3"/>
        <v>0</v>
      </c>
      <c r="BN37" s="500">
        <f t="shared" si="4"/>
        <v>0</v>
      </c>
      <c r="BO37" s="500">
        <f t="shared" si="5"/>
        <v>0</v>
      </c>
      <c r="BP37" s="500">
        <f t="shared" si="6"/>
        <v>0</v>
      </c>
      <c r="BQ37" s="500">
        <f t="shared" si="7"/>
        <v>0</v>
      </c>
      <c r="BR37" s="500">
        <f t="shared" si="8"/>
        <v>0</v>
      </c>
      <c r="BS37" s="500">
        <f t="shared" si="9"/>
        <v>0</v>
      </c>
      <c r="BT37" s="496">
        <f t="shared" si="10"/>
        <v>0</v>
      </c>
      <c r="BU37" s="496">
        <f t="shared" si="11"/>
        <v>0</v>
      </c>
      <c r="BV37" s="496">
        <f t="shared" si="12"/>
        <v>0</v>
      </c>
      <c r="BW37" s="496">
        <f t="shared" si="13"/>
        <v>0</v>
      </c>
      <c r="BX37" s="496">
        <f t="shared" si="14"/>
        <v>0</v>
      </c>
      <c r="BY37" s="496">
        <f t="shared" si="15"/>
        <v>0</v>
      </c>
      <c r="BZ37" s="496">
        <f t="shared" si="60"/>
        <v>0</v>
      </c>
      <c r="CA37" s="496">
        <f t="shared" si="16"/>
        <v>0</v>
      </c>
      <c r="CB37" s="496">
        <f t="shared" si="17"/>
        <v>0</v>
      </c>
      <c r="CC37" s="496">
        <f t="shared" si="18"/>
        <v>0</v>
      </c>
      <c r="CD37" s="496">
        <f t="shared" si="19"/>
        <v>0</v>
      </c>
      <c r="CE37" s="501">
        <f t="shared" si="61"/>
        <v>0</v>
      </c>
      <c r="CF37" s="501">
        <f t="shared" si="62"/>
        <v>0</v>
      </c>
      <c r="CG37" s="502">
        <f t="shared" si="63"/>
        <v>0</v>
      </c>
      <c r="CH37" s="514"/>
      <c r="CI37" s="577" t="s">
        <v>425</v>
      </c>
      <c r="CK37" s="599">
        <v>3.3</v>
      </c>
      <c r="CL37" s="777"/>
      <c r="CM37" s="503">
        <f t="shared" si="142"/>
        <v>0</v>
      </c>
      <c r="CN37" s="504">
        <f t="shared" si="65"/>
        <v>0</v>
      </c>
      <c r="CO37" s="504">
        <f t="shared" si="66"/>
        <v>0</v>
      </c>
      <c r="CP37" s="504">
        <f t="shared" si="67"/>
        <v>0</v>
      </c>
      <c r="CQ37" s="504">
        <f t="shared" si="68"/>
        <v>0</v>
      </c>
      <c r="CR37" s="504">
        <f t="shared" si="69"/>
        <v>0</v>
      </c>
      <c r="CS37" s="504">
        <f t="shared" si="70"/>
        <v>0</v>
      </c>
      <c r="CT37" s="504">
        <f t="shared" si="71"/>
        <v>0</v>
      </c>
      <c r="CU37" s="504">
        <f t="shared" si="72"/>
        <v>0</v>
      </c>
      <c r="CV37" s="504">
        <f t="shared" si="73"/>
        <v>0</v>
      </c>
      <c r="CW37" s="504">
        <f t="shared" si="74"/>
        <v>0</v>
      </c>
      <c r="CX37" s="504">
        <f t="shared" si="75"/>
        <v>0</v>
      </c>
      <c r="CY37" s="504">
        <f t="shared" si="76"/>
        <v>0</v>
      </c>
      <c r="CZ37" s="504">
        <f t="shared" si="77"/>
        <v>0</v>
      </c>
      <c r="DA37" s="505">
        <f t="shared" si="78"/>
        <v>0</v>
      </c>
      <c r="DB37" s="571">
        <f t="shared" si="79"/>
        <v>0</v>
      </c>
      <c r="DC37" s="571">
        <f t="shared" si="80"/>
        <v>0</v>
      </c>
      <c r="DD37" s="571">
        <f t="shared" si="81"/>
        <v>0</v>
      </c>
      <c r="DE37" s="571">
        <f t="shared" si="82"/>
        <v>0</v>
      </c>
      <c r="DF37" s="571">
        <f t="shared" si="83"/>
        <v>0</v>
      </c>
      <c r="DG37" s="571">
        <f t="shared" si="84"/>
        <v>0</v>
      </c>
      <c r="DH37" s="571">
        <f t="shared" si="85"/>
        <v>0</v>
      </c>
      <c r="DI37" s="571">
        <f t="shared" si="86"/>
        <v>0</v>
      </c>
      <c r="DJ37" s="571">
        <f t="shared" si="87"/>
        <v>0</v>
      </c>
      <c r="DK37" s="571">
        <f t="shared" si="88"/>
        <v>0</v>
      </c>
      <c r="DL37" s="571">
        <f t="shared" si="89"/>
        <v>0</v>
      </c>
      <c r="DM37" s="571">
        <f t="shared" si="90"/>
        <v>0</v>
      </c>
      <c r="DN37" s="571">
        <f t="shared" si="91"/>
        <v>0</v>
      </c>
      <c r="DO37" s="571">
        <f t="shared" si="92"/>
        <v>0</v>
      </c>
      <c r="DP37" s="571">
        <f t="shared" si="93"/>
        <v>0</v>
      </c>
      <c r="DQ37" s="571">
        <f t="shared" si="173"/>
        <v>0</v>
      </c>
      <c r="DR37" s="571">
        <f t="shared" si="94"/>
        <v>0</v>
      </c>
      <c r="DS37" s="571">
        <f t="shared" si="95"/>
        <v>0</v>
      </c>
      <c r="DT37" s="571"/>
      <c r="DU37" s="571"/>
      <c r="DV37" s="777"/>
      <c r="DW37" s="503">
        <f t="shared" si="135"/>
        <v>0</v>
      </c>
      <c r="DX37" s="503">
        <f t="shared" si="136"/>
        <v>0</v>
      </c>
      <c r="DY37" s="503" cm="1">
        <f t="array" ref="DY37">IF($S37=DY$12,IF(AND(AO37&lt;=250,BH37&lt;=60),6,IF(OR(AO37&lt;=350,BH37&lt;=80),7,IF(OR(AND(AO37&gt;350,AO&lt;=120),BH37&lt;=120),9,12))),DZ37)</f>
        <v>0</v>
      </c>
      <c r="DZ37" s="504">
        <f t="shared" si="96"/>
        <v>0</v>
      </c>
      <c r="EA37" s="504">
        <f t="shared" si="97"/>
        <v>0</v>
      </c>
      <c r="EB37" s="504">
        <f t="shared" si="98"/>
        <v>0</v>
      </c>
      <c r="EC37" s="504">
        <f t="shared" si="99"/>
        <v>0</v>
      </c>
      <c r="ED37" s="504">
        <f t="shared" si="100"/>
        <v>0</v>
      </c>
      <c r="EE37" s="504">
        <f t="shared" si="101"/>
        <v>0</v>
      </c>
      <c r="EF37" s="504">
        <f t="shared" si="102"/>
        <v>0</v>
      </c>
      <c r="EG37" s="504">
        <f t="shared" si="103"/>
        <v>0</v>
      </c>
      <c r="EH37" s="504">
        <f t="shared" si="104"/>
        <v>0</v>
      </c>
      <c r="EI37" s="504">
        <f t="shared" si="105"/>
        <v>0</v>
      </c>
      <c r="EJ37" s="504">
        <f t="shared" si="106"/>
        <v>0</v>
      </c>
      <c r="EK37" s="505">
        <f t="shared" si="107"/>
        <v>0</v>
      </c>
      <c r="EL37" s="571">
        <f t="shared" ref="EL37:ET37" si="189">IF($S37=EL$12,IF(AND($AO37&lt;=320,$BH37&lt;=50),6,7),EM37)</f>
        <v>0</v>
      </c>
      <c r="EM37" s="571">
        <f t="shared" si="189"/>
        <v>0</v>
      </c>
      <c r="EN37" s="571">
        <f t="shared" si="189"/>
        <v>0</v>
      </c>
      <c r="EO37" s="571">
        <f t="shared" si="189"/>
        <v>0</v>
      </c>
      <c r="EP37" s="571">
        <f t="shared" si="189"/>
        <v>0</v>
      </c>
      <c r="EQ37" s="571">
        <f t="shared" si="189"/>
        <v>0</v>
      </c>
      <c r="ER37" s="571">
        <f t="shared" si="189"/>
        <v>0</v>
      </c>
      <c r="ES37" s="571">
        <f t="shared" si="189"/>
        <v>0</v>
      </c>
      <c r="ET37" s="571">
        <f t="shared" si="189"/>
        <v>0</v>
      </c>
      <c r="EU37" s="571">
        <f t="shared" si="109"/>
        <v>0</v>
      </c>
      <c r="EV37" s="571">
        <f t="shared" ref="EV37:FA37" si="190">IF($S37=EV$12,IF(AND($AO37&lt;=320,$BH37&lt;=50),6,7),EW37)</f>
        <v>0</v>
      </c>
      <c r="EW37" s="571">
        <f t="shared" si="190"/>
        <v>0</v>
      </c>
      <c r="EX37" s="571">
        <f t="shared" si="190"/>
        <v>0</v>
      </c>
      <c r="EY37" s="571">
        <f t="shared" si="190"/>
        <v>0</v>
      </c>
      <c r="EZ37" s="571">
        <f t="shared" si="190"/>
        <v>0</v>
      </c>
      <c r="FA37" s="571">
        <f t="shared" si="190"/>
        <v>0</v>
      </c>
      <c r="FB37" s="571">
        <f t="shared" si="23"/>
        <v>0</v>
      </c>
      <c r="FC37" s="571">
        <f t="shared" si="111"/>
        <v>0</v>
      </c>
      <c r="FD37" s="571"/>
      <c r="FE37" s="571"/>
      <c r="FF37" s="571"/>
      <c r="FG37" s="571"/>
      <c r="FH37" s="443"/>
      <c r="FI37" s="505" t="e">
        <f t="shared" si="112"/>
        <v>#N/A</v>
      </c>
      <c r="FJ37" s="505" t="e">
        <f t="shared" si="113"/>
        <v>#N/A</v>
      </c>
      <c r="FK37" s="505" t="e">
        <f t="shared" si="114"/>
        <v>#N/A</v>
      </c>
      <c r="FL37" s="505" t="e">
        <f t="shared" si="115"/>
        <v>#N/A</v>
      </c>
      <c r="FM37" s="505" t="e">
        <f t="shared" si="116"/>
        <v>#N/A</v>
      </c>
      <c r="FN37" s="505" t="e">
        <f t="shared" si="117"/>
        <v>#N/A</v>
      </c>
      <c r="FO37" s="505" t="e">
        <f t="shared" si="118"/>
        <v>#N/A</v>
      </c>
      <c r="FP37" s="571"/>
      <c r="FQ37" s="571"/>
      <c r="FR37" s="571"/>
      <c r="FS37" s="571"/>
      <c r="FT37" s="571"/>
      <c r="FU37" s="571"/>
      <c r="FV37" s="571"/>
      <c r="FW37" s="571"/>
      <c r="FX37" s="571"/>
      <c r="FY37" s="571"/>
      <c r="FZ37" s="571"/>
      <c r="GA37" s="571"/>
      <c r="GB37" s="571"/>
      <c r="GC37" s="571"/>
      <c r="GD37" s="443"/>
      <c r="GE37" s="505" t="e">
        <f t="shared" si="119"/>
        <v>#N/A</v>
      </c>
      <c r="GF37" s="505" t="e">
        <f t="shared" si="120"/>
        <v>#N/A</v>
      </c>
      <c r="GG37" s="505" t="e">
        <f t="shared" si="121"/>
        <v>#N/A</v>
      </c>
      <c r="GH37" s="505" t="e">
        <f t="shared" si="122"/>
        <v>#N/A</v>
      </c>
      <c r="GI37" s="505" t="e">
        <f t="shared" si="123"/>
        <v>#N/A</v>
      </c>
      <c r="GJ37" s="505" t="e">
        <f t="shared" si="124"/>
        <v>#N/A</v>
      </c>
      <c r="GK37" s="505" t="e">
        <f t="shared" si="125"/>
        <v>#N/A</v>
      </c>
      <c r="GL37" s="571"/>
      <c r="GM37" s="571"/>
      <c r="GN37" s="571"/>
      <c r="GO37" s="571"/>
      <c r="GP37" s="571"/>
      <c r="GQ37" s="571"/>
      <c r="GR37" s="571"/>
      <c r="GS37" s="571"/>
      <c r="GT37" s="571"/>
      <c r="GU37" s="571"/>
      <c r="GV37" s="571"/>
      <c r="GW37" s="571"/>
      <c r="GX37" s="506"/>
      <c r="GY37" s="507" t="e">
        <f t="shared" si="126"/>
        <v>#N/A</v>
      </c>
      <c r="GZ37" s="505" t="e">
        <f t="shared" si="127"/>
        <v>#N/A</v>
      </c>
      <c r="HA37" s="505" t="e">
        <f t="shared" si="128"/>
        <v>#N/A</v>
      </c>
      <c r="HB37" s="505" t="e">
        <f t="shared" si="129"/>
        <v>#N/A</v>
      </c>
      <c r="HC37" s="505" t="e">
        <f t="shared" si="130"/>
        <v>#N/A</v>
      </c>
      <c r="HD37" s="505" t="e">
        <f t="shared" si="131"/>
        <v>#N/A</v>
      </c>
      <c r="HE37" s="505" t="e">
        <f t="shared" si="132"/>
        <v>#N/A</v>
      </c>
      <c r="HF37" s="571"/>
      <c r="HG37" s="571"/>
      <c r="HH37" s="571"/>
      <c r="HI37" s="571"/>
      <c r="HJ37" s="571"/>
      <c r="HK37" s="571"/>
      <c r="HL37" s="571"/>
      <c r="HM37" s="571"/>
      <c r="HN37" s="571"/>
      <c r="HO37" s="571"/>
      <c r="HP37" s="571"/>
      <c r="HQ37" s="571"/>
      <c r="HR37" s="571"/>
      <c r="HS37" s="777"/>
      <c r="HT37" s="508">
        <f t="shared" si="24"/>
        <v>0</v>
      </c>
      <c r="HU37" s="509">
        <f t="shared" si="180"/>
        <v>0</v>
      </c>
      <c r="HV37" s="510">
        <f t="shared" si="26"/>
        <v>0</v>
      </c>
      <c r="HW37" s="543"/>
      <c r="HX37" s="544" t="s">
        <v>426</v>
      </c>
      <c r="HY37" s="550"/>
      <c r="HZ37" s="550"/>
      <c r="IA37" s="546" t="e">
        <f t="shared" si="133"/>
        <v>#N/A</v>
      </c>
      <c r="IB37" s="547" t="e">
        <f t="shared" si="134"/>
        <v>#N/A</v>
      </c>
      <c r="IC37" s="554">
        <f t="shared" si="27"/>
        <v>0</v>
      </c>
      <c r="ID37" s="545" t="str">
        <f t="shared" si="28"/>
        <v/>
      </c>
      <c r="IE37" s="222">
        <f t="shared" si="29"/>
        <v>0</v>
      </c>
      <c r="IF37" s="230">
        <f t="shared" si="30"/>
        <v>0</v>
      </c>
      <c r="IG37" s="228">
        <f t="shared" si="31"/>
        <v>0</v>
      </c>
      <c r="IH37" s="423">
        <f t="shared" si="32"/>
        <v>0</v>
      </c>
      <c r="II37" s="425">
        <f t="shared" si="33"/>
        <v>0</v>
      </c>
    </row>
    <row r="38" spans="2:243" s="40" customFormat="1" ht="24.75" customHeight="1" thickBot="1" x14ac:dyDescent="0.4">
      <c r="B38" s="258"/>
      <c r="C38" s="310">
        <f>R38</f>
        <v>25</v>
      </c>
      <c r="D38" s="311">
        <f>IF(S38=0,0,VLOOKUP(S38,'قائمة الأسعار'!$C$13:$H$45,2,0))</f>
        <v>0</v>
      </c>
      <c r="E38" s="312">
        <f>T38</f>
        <v>0</v>
      </c>
      <c r="F38" s="313">
        <f t="shared" si="36"/>
        <v>0</v>
      </c>
      <c r="G38" s="313" t="e">
        <f t="shared" si="37"/>
        <v>#DIV/0!</v>
      </c>
      <c r="H38" s="314">
        <f t="shared" si="38"/>
        <v>0</v>
      </c>
      <c r="I38" s="315">
        <f t="shared" si="39"/>
        <v>0</v>
      </c>
      <c r="J38" s="316">
        <f>AA38</f>
        <v>0</v>
      </c>
      <c r="K38" s="315">
        <f>J38*I38</f>
        <v>0</v>
      </c>
      <c r="L38" s="317">
        <f>IF(S38=0,0,IF(T38="لون خاص",VLOOKUP(D38,'قائمة الأسعار'!$D$48:$F$62,3,0),VLOOKUP(D38,'قائمة الأسعار'!$D$13:$F$27,3,0)))</f>
        <v>0</v>
      </c>
      <c r="M38" s="318">
        <f>L38*J38*I38</f>
        <v>0</v>
      </c>
      <c r="N38" s="315">
        <f>IF(S38=0,0,(IF(OR(S38=$CI$17,S38=$CI$18,S38=$CI$22,S38=$CI$23),K38,K38-(VLOOKUP(D38,'قائمة الأسعار'!$D$13:$G$47,4,FALSE)*J38*F38)/10000)))</f>
        <v>0</v>
      </c>
      <c r="O38" s="612">
        <f>IF(S38=0,0,IF(T38="لون خاص",VLOOKUP(D38,'قائمة الأسعار'!$D$48:$G$62,4,0),VLOOKUP(D38,'قائمة الأسعار'!$D$13:$G$47,4,0)))</f>
        <v>0</v>
      </c>
      <c r="Q38" s="91"/>
      <c r="R38" s="204">
        <v>25</v>
      </c>
      <c r="S38" s="200"/>
      <c r="T38" s="200"/>
      <c r="U38" s="200"/>
      <c r="V38" s="201"/>
      <c r="W38" s="201"/>
      <c r="X38" s="201"/>
      <c r="Y38" s="201"/>
      <c r="Z38" s="201" t="b">
        <v>1</v>
      </c>
      <c r="AA38" s="200"/>
      <c r="AB38" s="201"/>
      <c r="AC38" s="219"/>
      <c r="AD38" s="620"/>
      <c r="AE38" s="620"/>
      <c r="AF38" s="621"/>
      <c r="AG38" s="193"/>
      <c r="AH38" s="202">
        <f t="shared" si="139"/>
        <v>0</v>
      </c>
      <c r="AI38" s="203" t="str">
        <f t="shared" si="2"/>
        <v/>
      </c>
      <c r="AJ38" s="63"/>
      <c r="AK38" s="53"/>
      <c r="AL38" s="37"/>
      <c r="AM38" s="488"/>
      <c r="AN38" s="489" t="e">
        <f t="shared" si="41"/>
        <v>#DIV/0!</v>
      </c>
      <c r="AO38" s="490" cm="1">
        <f t="array" ref="AO38">IF(V38&lt;&gt;0,IF($AW$12=$BB$4,IF(X38=$BF$14,V38-1,IF(X38=$BF$13,V38+8.5,V38-7.5)),IF(X38=$BF$14,V38-1,IF(X38=$BF$13,IF(OR(S38=$CI$15:$CI$19,S38=$CI$38,S38=$CI$40),V38+3.6,IF(S38=$CI$39,V38+2.9,V38+4)),IF(OR(S38=$CI$15:$CI$19,S38=$CI$38,S38=$CI$40),V38-12.4,IF(S38=$CI$39,V38-13.1,V38-12))))),0)</f>
        <v>0</v>
      </c>
      <c r="AP38" s="491">
        <f t="shared" si="42"/>
        <v>0</v>
      </c>
      <c r="AQ38" s="491">
        <f t="shared" si="43"/>
        <v>0</v>
      </c>
      <c r="AR38" s="492">
        <f t="shared" si="44"/>
        <v>0</v>
      </c>
      <c r="AS38" s="493">
        <f t="shared" si="45"/>
        <v>0</v>
      </c>
      <c r="AT38" s="493">
        <f t="shared" si="46"/>
        <v>0</v>
      </c>
      <c r="AU38" s="493">
        <f t="shared" si="47"/>
        <v>0</v>
      </c>
      <c r="AV38" s="493">
        <f t="shared" si="48"/>
        <v>0</v>
      </c>
      <c r="AW38" s="494">
        <f t="shared" si="49"/>
        <v>0</v>
      </c>
      <c r="AX38" s="494">
        <f t="shared" si="50"/>
        <v>0</v>
      </c>
      <c r="AY38" s="494">
        <f t="shared" si="51"/>
        <v>0</v>
      </c>
      <c r="AZ38" s="495">
        <f t="shared" si="52"/>
        <v>0</v>
      </c>
      <c r="BA38" s="495">
        <f t="shared" si="53"/>
        <v>2</v>
      </c>
      <c r="BB38" s="495">
        <f t="shared" si="54"/>
        <v>0</v>
      </c>
      <c r="BC38" s="496" cm="1">
        <f t="array" ref="BC38">IF(OR($AB38=$BF$22:$BF$40),$AB38,0)</f>
        <v>0</v>
      </c>
      <c r="BD38" s="496" cm="1">
        <f t="array" ref="BD38">IF(OR($AB38=$BF$22:$BF$40),IF(AC38=$CH$14,BK38,IF(AC38=$CH$13,BJ38,BI38)),0)</f>
        <v>0</v>
      </c>
      <c r="BE38" s="497" cm="1">
        <f t="array" ref="BE38">IF(OR(AB38=$BF$22:$BF$40),AA38,0)</f>
        <v>0</v>
      </c>
      <c r="BF38" s="605" t="s">
        <v>478</v>
      </c>
      <c r="BH38" s="499" t="e">
        <f t="shared" si="55"/>
        <v>#N/A</v>
      </c>
      <c r="BI38" s="498">
        <f t="shared" si="56"/>
        <v>0</v>
      </c>
      <c r="BJ38" s="498">
        <f t="shared" si="57"/>
        <v>0</v>
      </c>
      <c r="BK38" s="498">
        <f t="shared" si="58"/>
        <v>0</v>
      </c>
      <c r="BL38" s="500">
        <f>IF(BE38&gt;0,AV38,IF(OR(AB38="محرك من الزبون",AB38="ACM30-1",AB38="ACM30-2"),AV38,0))</f>
        <v>0</v>
      </c>
      <c r="BM38" s="500">
        <f t="shared" si="3"/>
        <v>0</v>
      </c>
      <c r="BN38" s="500">
        <f t="shared" si="4"/>
        <v>0</v>
      </c>
      <c r="BO38" s="500">
        <f t="shared" si="5"/>
        <v>0</v>
      </c>
      <c r="BP38" s="500">
        <f t="shared" si="6"/>
        <v>0</v>
      </c>
      <c r="BQ38" s="500">
        <f t="shared" si="7"/>
        <v>0</v>
      </c>
      <c r="BR38" s="500">
        <f t="shared" si="8"/>
        <v>0</v>
      </c>
      <c r="BS38" s="500">
        <f t="shared" si="9"/>
        <v>0</v>
      </c>
      <c r="BT38" s="496">
        <f t="shared" si="10"/>
        <v>0</v>
      </c>
      <c r="BU38" s="496">
        <f t="shared" si="11"/>
        <v>0</v>
      </c>
      <c r="BV38" s="496">
        <f t="shared" si="12"/>
        <v>0</v>
      </c>
      <c r="BW38" s="496">
        <f t="shared" si="13"/>
        <v>0</v>
      </c>
      <c r="BX38" s="496">
        <f t="shared" si="14"/>
        <v>0</v>
      </c>
      <c r="BY38" s="496">
        <f t="shared" si="15"/>
        <v>0</v>
      </c>
      <c r="BZ38" s="496">
        <f t="shared" si="60"/>
        <v>0</v>
      </c>
      <c r="CA38" s="496">
        <f t="shared" si="16"/>
        <v>0</v>
      </c>
      <c r="CB38" s="496">
        <f t="shared" si="17"/>
        <v>0</v>
      </c>
      <c r="CC38" s="496">
        <f t="shared" si="18"/>
        <v>0</v>
      </c>
      <c r="CD38" s="496">
        <f t="shared" si="19"/>
        <v>0</v>
      </c>
      <c r="CE38" s="501">
        <f t="shared" si="61"/>
        <v>0</v>
      </c>
      <c r="CF38" s="501">
        <f t="shared" si="62"/>
        <v>0</v>
      </c>
      <c r="CG38" s="502">
        <f t="shared" si="63"/>
        <v>0</v>
      </c>
      <c r="CH38" s="514"/>
      <c r="CI38" s="577" t="s">
        <v>426</v>
      </c>
      <c r="CK38" s="599">
        <v>2.7</v>
      </c>
      <c r="CL38" s="777"/>
      <c r="CM38" s="503">
        <f t="shared" si="142"/>
        <v>0</v>
      </c>
      <c r="CN38" s="504">
        <f t="shared" si="65"/>
        <v>0</v>
      </c>
      <c r="CO38" s="504">
        <f t="shared" si="66"/>
        <v>0</v>
      </c>
      <c r="CP38" s="504">
        <f t="shared" si="67"/>
        <v>0</v>
      </c>
      <c r="CQ38" s="504">
        <f>IF($S38=CQ$12,IF(W38&lt;=100,16.5,IF(AND(W38&gt;100,W38&lt;=114),18,IF(AND(W38&gt;114,W38&lt;157),20,IF(AND(W38&gt;=157,W38&lt;194),25,30)))),CR38)</f>
        <v>0</v>
      </c>
      <c r="CR38" s="504">
        <f t="shared" si="69"/>
        <v>0</v>
      </c>
      <c r="CS38" s="504">
        <f t="shared" si="70"/>
        <v>0</v>
      </c>
      <c r="CT38" s="504">
        <f t="shared" si="71"/>
        <v>0</v>
      </c>
      <c r="CU38" s="504">
        <f t="shared" si="72"/>
        <v>0</v>
      </c>
      <c r="CV38" s="504">
        <f t="shared" si="73"/>
        <v>0</v>
      </c>
      <c r="CW38" s="504">
        <f t="shared" si="74"/>
        <v>0</v>
      </c>
      <c r="CX38" s="504">
        <f t="shared" si="75"/>
        <v>0</v>
      </c>
      <c r="CY38" s="504">
        <f t="shared" si="76"/>
        <v>0</v>
      </c>
      <c r="CZ38" s="504">
        <f t="shared" si="77"/>
        <v>0</v>
      </c>
      <c r="DA38" s="505">
        <f t="shared" si="78"/>
        <v>0</v>
      </c>
      <c r="DB38" s="571">
        <f t="shared" si="79"/>
        <v>0</v>
      </c>
      <c r="DC38" s="571">
        <f t="shared" si="80"/>
        <v>0</v>
      </c>
      <c r="DD38" s="571">
        <f t="shared" si="81"/>
        <v>0</v>
      </c>
      <c r="DE38" s="571">
        <f t="shared" si="82"/>
        <v>0</v>
      </c>
      <c r="DF38" s="571">
        <f t="shared" si="83"/>
        <v>0</v>
      </c>
      <c r="DG38" s="571">
        <f t="shared" si="84"/>
        <v>0</v>
      </c>
      <c r="DH38" s="571">
        <f t="shared" si="85"/>
        <v>0</v>
      </c>
      <c r="DI38" s="571">
        <f t="shared" si="86"/>
        <v>0</v>
      </c>
      <c r="DJ38" s="571">
        <f t="shared" si="87"/>
        <v>0</v>
      </c>
      <c r="DK38" s="571">
        <f t="shared" si="88"/>
        <v>0</v>
      </c>
      <c r="DL38" s="571">
        <f t="shared" si="89"/>
        <v>0</v>
      </c>
      <c r="DM38" s="571">
        <f t="shared" si="90"/>
        <v>0</v>
      </c>
      <c r="DN38" s="571">
        <f t="shared" si="91"/>
        <v>0</v>
      </c>
      <c r="DO38" s="571">
        <f t="shared" si="92"/>
        <v>0</v>
      </c>
      <c r="DP38" s="571">
        <f t="shared" si="93"/>
        <v>0</v>
      </c>
      <c r="DQ38" s="571">
        <f t="shared" si="173"/>
        <v>0</v>
      </c>
      <c r="DR38" s="571">
        <f t="shared" si="94"/>
        <v>0</v>
      </c>
      <c r="DS38" s="571">
        <f t="shared" si="95"/>
        <v>0</v>
      </c>
      <c r="DT38" s="571"/>
      <c r="DU38" s="571"/>
      <c r="DV38" s="851"/>
      <c r="DW38" s="503">
        <f t="shared" si="135"/>
        <v>0</v>
      </c>
      <c r="DX38" s="503">
        <f t="shared" si="136"/>
        <v>0</v>
      </c>
      <c r="DY38" s="503" cm="1">
        <f t="array" ref="DY38">IF($S38=DY$12,IF(AND(AO38&lt;=250,BH38&lt;=60),6,IF(OR(AO38&lt;=350,BH38&lt;=80),7,IF(OR(AND(AO38&gt;350,AO&lt;=120),BH38&lt;=120),9,12))),DZ38)</f>
        <v>0</v>
      </c>
      <c r="DZ38" s="504">
        <f t="shared" si="96"/>
        <v>0</v>
      </c>
      <c r="EA38" s="504">
        <f t="shared" si="97"/>
        <v>0</v>
      </c>
      <c r="EB38" s="504">
        <f t="shared" si="98"/>
        <v>0</v>
      </c>
      <c r="EC38" s="504">
        <f t="shared" si="99"/>
        <v>0</v>
      </c>
      <c r="ED38" s="504">
        <f t="shared" si="100"/>
        <v>0</v>
      </c>
      <c r="EE38" s="504">
        <f t="shared" si="101"/>
        <v>0</v>
      </c>
      <c r="EF38" s="504">
        <f t="shared" si="102"/>
        <v>0</v>
      </c>
      <c r="EG38" s="504">
        <f t="shared" si="103"/>
        <v>0</v>
      </c>
      <c r="EH38" s="504">
        <f t="shared" si="104"/>
        <v>0</v>
      </c>
      <c r="EI38" s="504">
        <f t="shared" si="105"/>
        <v>0</v>
      </c>
      <c r="EJ38" s="504">
        <f t="shared" si="106"/>
        <v>0</v>
      </c>
      <c r="EK38" s="505">
        <f t="shared" si="107"/>
        <v>0</v>
      </c>
      <c r="EL38" s="571">
        <f t="shared" ref="EL38:ET38" si="191">IF($S38=EL$12,IF(AND($AO38&lt;=320,$BH38&lt;=50),6,7),EM38)</f>
        <v>0</v>
      </c>
      <c r="EM38" s="571">
        <f t="shared" si="191"/>
        <v>0</v>
      </c>
      <c r="EN38" s="571">
        <f t="shared" si="191"/>
        <v>0</v>
      </c>
      <c r="EO38" s="571">
        <f t="shared" si="191"/>
        <v>0</v>
      </c>
      <c r="EP38" s="571">
        <f t="shared" si="191"/>
        <v>0</v>
      </c>
      <c r="EQ38" s="571">
        <f t="shared" si="191"/>
        <v>0</v>
      </c>
      <c r="ER38" s="571">
        <f t="shared" si="191"/>
        <v>0</v>
      </c>
      <c r="ES38" s="571">
        <f t="shared" si="191"/>
        <v>0</v>
      </c>
      <c r="ET38" s="571">
        <f t="shared" si="191"/>
        <v>0</v>
      </c>
      <c r="EU38" s="571">
        <f t="shared" si="109"/>
        <v>0</v>
      </c>
      <c r="EV38" s="571">
        <f t="shared" ref="EV38:FA38" si="192">IF($S38=EV$12,IF(AND($AO38&lt;=320,$BH38&lt;=50),6,7),EW38)</f>
        <v>0</v>
      </c>
      <c r="EW38" s="571">
        <f t="shared" si="192"/>
        <v>0</v>
      </c>
      <c r="EX38" s="571">
        <f t="shared" si="192"/>
        <v>0</v>
      </c>
      <c r="EY38" s="571">
        <f t="shared" si="192"/>
        <v>0</v>
      </c>
      <c r="EZ38" s="571">
        <f t="shared" si="192"/>
        <v>0</v>
      </c>
      <c r="FA38" s="571">
        <f t="shared" si="192"/>
        <v>0</v>
      </c>
      <c r="FB38" s="571">
        <f t="shared" si="23"/>
        <v>0</v>
      </c>
      <c r="FC38" s="571">
        <f t="shared" si="111"/>
        <v>0</v>
      </c>
      <c r="FD38" s="574"/>
      <c r="FE38" s="574"/>
      <c r="FF38" s="574"/>
      <c r="FG38" s="574"/>
      <c r="FH38" s="516"/>
      <c r="FI38" s="505" t="e">
        <f t="shared" si="112"/>
        <v>#N/A</v>
      </c>
      <c r="FJ38" s="505" t="e">
        <f t="shared" si="113"/>
        <v>#N/A</v>
      </c>
      <c r="FK38" s="505" t="e">
        <f t="shared" si="114"/>
        <v>#N/A</v>
      </c>
      <c r="FL38" s="505" t="e">
        <f t="shared" si="115"/>
        <v>#N/A</v>
      </c>
      <c r="FM38" s="505" t="e">
        <f t="shared" si="116"/>
        <v>#N/A</v>
      </c>
      <c r="FN38" s="505" t="e">
        <f t="shared" si="117"/>
        <v>#N/A</v>
      </c>
      <c r="FO38" s="505" t="e">
        <f t="shared" si="118"/>
        <v>#N/A</v>
      </c>
      <c r="FP38" s="574"/>
      <c r="FQ38" s="574"/>
      <c r="FR38" s="574"/>
      <c r="FS38" s="574"/>
      <c r="FT38" s="574"/>
      <c r="FU38" s="574"/>
      <c r="FV38" s="574"/>
      <c r="FW38" s="574"/>
      <c r="FX38" s="574"/>
      <c r="FY38" s="574"/>
      <c r="FZ38" s="574"/>
      <c r="GA38" s="574"/>
      <c r="GB38" s="574"/>
      <c r="GC38" s="574"/>
      <c r="GD38" s="516"/>
      <c r="GE38" s="505" t="e">
        <f t="shared" si="119"/>
        <v>#N/A</v>
      </c>
      <c r="GF38" s="505" t="e">
        <f t="shared" si="120"/>
        <v>#N/A</v>
      </c>
      <c r="GG38" s="505" t="e">
        <f t="shared" si="121"/>
        <v>#N/A</v>
      </c>
      <c r="GH38" s="505" t="e">
        <f t="shared" si="122"/>
        <v>#N/A</v>
      </c>
      <c r="GI38" s="505" t="e">
        <f t="shared" si="123"/>
        <v>#N/A</v>
      </c>
      <c r="GJ38" s="505" t="e">
        <f t="shared" si="124"/>
        <v>#N/A</v>
      </c>
      <c r="GK38" s="505" t="e">
        <f t="shared" si="125"/>
        <v>#N/A</v>
      </c>
      <c r="GL38" s="571"/>
      <c r="GM38" s="571"/>
      <c r="GN38" s="571"/>
      <c r="GO38" s="571"/>
      <c r="GP38" s="571"/>
      <c r="GQ38" s="571"/>
      <c r="GR38" s="571"/>
      <c r="GS38" s="571"/>
      <c r="GT38" s="571"/>
      <c r="GU38" s="571"/>
      <c r="GV38" s="571"/>
      <c r="GW38" s="571"/>
      <c r="GX38" s="506"/>
      <c r="GY38" s="507" t="e">
        <f t="shared" si="126"/>
        <v>#N/A</v>
      </c>
      <c r="GZ38" s="505" t="e">
        <f t="shared" si="127"/>
        <v>#N/A</v>
      </c>
      <c r="HA38" s="505" t="e">
        <f t="shared" si="128"/>
        <v>#N/A</v>
      </c>
      <c r="HB38" s="505" t="e">
        <f t="shared" si="129"/>
        <v>#N/A</v>
      </c>
      <c r="HC38" s="505" t="e">
        <f t="shared" si="130"/>
        <v>#N/A</v>
      </c>
      <c r="HD38" s="505" t="e">
        <f t="shared" si="131"/>
        <v>#N/A</v>
      </c>
      <c r="HE38" s="505" t="e">
        <f t="shared" si="132"/>
        <v>#N/A</v>
      </c>
      <c r="HF38" s="574"/>
      <c r="HG38" s="574"/>
      <c r="HH38" s="574"/>
      <c r="HI38" s="574"/>
      <c r="HJ38" s="574"/>
      <c r="HK38" s="574"/>
      <c r="HL38" s="574"/>
      <c r="HM38" s="574"/>
      <c r="HN38" s="574"/>
      <c r="HO38" s="574"/>
      <c r="HP38" s="574"/>
      <c r="HQ38" s="574"/>
      <c r="HR38" s="574"/>
      <c r="HS38" s="778"/>
      <c r="HT38" s="508">
        <f t="shared" si="24"/>
        <v>0</v>
      </c>
      <c r="HU38" s="509">
        <f t="shared" si="180"/>
        <v>0</v>
      </c>
      <c r="HV38" s="510">
        <f t="shared" si="26"/>
        <v>0</v>
      </c>
      <c r="HW38" s="543"/>
      <c r="HX38" s="544" t="s">
        <v>427</v>
      </c>
      <c r="HY38" s="550"/>
      <c r="HZ38" s="550"/>
      <c r="IA38" s="546" t="e">
        <f t="shared" si="133"/>
        <v>#N/A</v>
      </c>
      <c r="IB38" s="547" t="e">
        <f t="shared" si="134"/>
        <v>#N/A</v>
      </c>
      <c r="IC38" s="554">
        <f t="shared" si="27"/>
        <v>0</v>
      </c>
      <c r="ID38" s="545" t="str">
        <f t="shared" si="28"/>
        <v/>
      </c>
      <c r="IE38" s="222">
        <f t="shared" si="29"/>
        <v>0</v>
      </c>
      <c r="IF38" s="230">
        <f t="shared" si="30"/>
        <v>0</v>
      </c>
      <c r="IG38" s="228">
        <f t="shared" si="31"/>
        <v>0</v>
      </c>
      <c r="IH38" s="423">
        <f t="shared" si="32"/>
        <v>0</v>
      </c>
      <c r="II38" s="425">
        <f t="shared" si="33"/>
        <v>0</v>
      </c>
    </row>
    <row r="39" spans="2:243" s="40" customFormat="1" ht="38.25" customHeight="1" thickTop="1" thickBot="1" x14ac:dyDescent="0.4">
      <c r="B39" s="258"/>
      <c r="C39" s="310"/>
      <c r="D39" s="311"/>
      <c r="E39" s="319"/>
      <c r="F39" s="298"/>
      <c r="G39" s="298"/>
      <c r="H39" s="320"/>
      <c r="I39" s="315"/>
      <c r="J39" s="316">
        <f>SUM(J14:J38)</f>
        <v>13</v>
      </c>
      <c r="K39" s="321">
        <f>SUM(K14:K38)</f>
        <v>22.43731</v>
      </c>
      <c r="L39" s="317"/>
      <c r="M39" s="322"/>
      <c r="N39" s="295"/>
      <c r="Q39" s="91"/>
      <c r="R39" s="742" t="s">
        <v>187</v>
      </c>
      <c r="S39" s="743"/>
      <c r="T39" s="744"/>
      <c r="U39" s="205">
        <f>IC39</f>
        <v>19.5</v>
      </c>
      <c r="V39" s="857" t="s">
        <v>188</v>
      </c>
      <c r="W39" s="743"/>
      <c r="X39" s="744"/>
      <c r="Y39" s="215"/>
      <c r="Z39" s="215"/>
      <c r="AA39" s="225">
        <f>K39</f>
        <v>22.43731</v>
      </c>
      <c r="AB39" s="206" t="s">
        <v>197</v>
      </c>
      <c r="AC39" s="226">
        <f>SUM(AA14:AA38)</f>
        <v>13</v>
      </c>
      <c r="AD39" s="206"/>
      <c r="AE39" s="206"/>
      <c r="AF39" s="207"/>
      <c r="AG39" s="95"/>
      <c r="AH39" s="557"/>
      <c r="AI39" s="558"/>
      <c r="AJ39" s="63"/>
      <c r="AK39" s="37"/>
      <c r="AL39" s="37"/>
      <c r="AM39" s="451"/>
      <c r="AN39" s="452"/>
      <c r="AO39" s="517"/>
      <c r="AP39" s="518"/>
      <c r="AQ39" s="518"/>
      <c r="AR39" s="519">
        <f>SUM(AR14:AR38)</f>
        <v>22.43731</v>
      </c>
      <c r="AS39" s="520"/>
      <c r="AT39" s="520"/>
      <c r="AU39" s="518">
        <f>SUM(AU14:AU38)/100</f>
        <v>15.08</v>
      </c>
      <c r="AV39" s="518"/>
      <c r="AW39" s="520"/>
      <c r="AX39" s="520"/>
      <c r="AY39" s="521">
        <f>SUM(AY14:AY38)/100</f>
        <v>19.89</v>
      </c>
      <c r="AZ39" s="520"/>
      <c r="BA39" s="520"/>
      <c r="BB39" s="522">
        <f>SUM(BB14:BB38)</f>
        <v>36</v>
      </c>
      <c r="BC39" s="518"/>
      <c r="BD39" s="518"/>
      <c r="BE39" s="523">
        <f>SUM(BE14:BE38)</f>
        <v>0</v>
      </c>
      <c r="BF39" s="605" t="s">
        <v>479</v>
      </c>
      <c r="BH39" s="525"/>
      <c r="BI39" s="525"/>
      <c r="BJ39" s="526"/>
      <c r="BK39" s="526"/>
      <c r="BL39" s="527"/>
      <c r="BM39" s="527">
        <f>SUM(BM14:BM38)</f>
        <v>0</v>
      </c>
      <c r="BN39" s="527">
        <f t="shared" ref="BN39:BS39" si="193">SUM(BN14:BN38)</f>
        <v>0</v>
      </c>
      <c r="BO39" s="527">
        <f t="shared" si="193"/>
        <v>0</v>
      </c>
      <c r="BP39" s="527">
        <f t="shared" si="193"/>
        <v>0</v>
      </c>
      <c r="BQ39" s="527">
        <f t="shared" si="193"/>
        <v>0</v>
      </c>
      <c r="BR39" s="527">
        <f t="shared" si="193"/>
        <v>0</v>
      </c>
      <c r="BS39" s="527">
        <f t="shared" si="193"/>
        <v>0</v>
      </c>
      <c r="BT39" s="528">
        <f>SUM(BT14:BT38)</f>
        <v>0</v>
      </c>
      <c r="BU39" s="528">
        <f>SUM(BU14:BU38)</f>
        <v>0</v>
      </c>
      <c r="BV39" s="528">
        <f>SUM(BV14:BV38)</f>
        <v>0</v>
      </c>
      <c r="BW39" s="528">
        <f>SUM(BW14:BW38)</f>
        <v>0</v>
      </c>
      <c r="BX39" s="528">
        <f>SUM(BX14:BX38)</f>
        <v>0</v>
      </c>
      <c r="BY39" s="528">
        <f t="shared" ref="BY39:CG39" si="194">SUM(BY14:BY38)</f>
        <v>0</v>
      </c>
      <c r="BZ39" s="528">
        <f t="shared" si="194"/>
        <v>0</v>
      </c>
      <c r="CA39" s="528">
        <f t="shared" si="194"/>
        <v>0</v>
      </c>
      <c r="CB39" s="528">
        <f t="shared" si="194"/>
        <v>0</v>
      </c>
      <c r="CC39" s="528">
        <f t="shared" si="194"/>
        <v>0</v>
      </c>
      <c r="CD39" s="528">
        <f t="shared" si="194"/>
        <v>0</v>
      </c>
      <c r="CE39" s="528">
        <f t="shared" si="194"/>
        <v>0</v>
      </c>
      <c r="CF39" s="528">
        <f t="shared" si="194"/>
        <v>0</v>
      </c>
      <c r="CG39" s="523">
        <f t="shared" si="194"/>
        <v>0</v>
      </c>
      <c r="CH39" s="529"/>
      <c r="CI39" s="577" t="s">
        <v>427</v>
      </c>
      <c r="CK39" s="600">
        <v>3.5</v>
      </c>
      <c r="CL39" s="777"/>
      <c r="CM39" s="529"/>
      <c r="CN39" s="530"/>
      <c r="CO39" s="531"/>
      <c r="CP39" s="531"/>
      <c r="CQ39" s="531"/>
      <c r="CR39" s="531"/>
      <c r="CS39" s="531"/>
      <c r="CT39" s="531"/>
      <c r="CU39" s="531"/>
      <c r="CV39" s="531"/>
      <c r="CW39" s="531"/>
      <c r="CX39" s="531"/>
      <c r="CY39" s="531"/>
      <c r="CZ39" s="531"/>
      <c r="DA39" s="531"/>
      <c r="DB39" s="532"/>
      <c r="DC39" s="532"/>
      <c r="DD39" s="532"/>
      <c r="DE39" s="532"/>
      <c r="DF39" s="532"/>
      <c r="DG39" s="532"/>
      <c r="DH39" s="532"/>
      <c r="DI39" s="532"/>
      <c r="DJ39" s="532"/>
      <c r="DK39" s="532"/>
      <c r="DL39" s="532"/>
      <c r="DM39" s="532"/>
      <c r="DN39" s="532"/>
      <c r="DO39" s="532"/>
      <c r="DP39" s="532"/>
      <c r="DQ39" s="532"/>
      <c r="DR39" s="532"/>
      <c r="DS39" s="532"/>
      <c r="DT39" s="532"/>
      <c r="DU39" s="532"/>
      <c r="DV39" s="532"/>
      <c r="DW39" s="484"/>
      <c r="DX39" s="484"/>
      <c r="DY39" s="484"/>
      <c r="DZ39" s="484"/>
      <c r="EA39" s="484"/>
      <c r="EB39" s="484"/>
      <c r="EC39" s="484"/>
      <c r="ED39" s="484"/>
      <c r="EE39" s="484"/>
      <c r="EF39" s="484"/>
      <c r="EG39" s="484"/>
      <c r="EH39" s="484"/>
      <c r="EI39" s="484"/>
      <c r="EJ39" s="484"/>
      <c r="EK39" s="448"/>
      <c r="EL39" s="448"/>
      <c r="EM39" s="448"/>
      <c r="EN39" s="448"/>
      <c r="EO39" s="448"/>
      <c r="EP39" s="448"/>
      <c r="EQ39" s="448"/>
      <c r="ER39" s="448"/>
      <c r="ES39" s="448"/>
      <c r="ET39" s="448"/>
      <c r="EU39" s="448"/>
      <c r="EV39" s="448"/>
      <c r="EW39" s="448"/>
      <c r="EX39" s="448"/>
      <c r="EY39" s="448"/>
      <c r="EZ39" s="448"/>
      <c r="FA39" s="448"/>
      <c r="FB39" s="448"/>
      <c r="FC39" s="448"/>
      <c r="FD39" s="448"/>
      <c r="FE39" s="448"/>
      <c r="FF39" s="448"/>
      <c r="FG39" s="448"/>
      <c r="FH39" s="443"/>
      <c r="FI39" s="438"/>
      <c r="FJ39" s="438"/>
      <c r="FK39" s="438"/>
      <c r="FL39" s="438"/>
      <c r="FM39" s="438"/>
      <c r="FN39" s="438"/>
      <c r="FO39" s="438"/>
      <c r="FP39" s="438"/>
      <c r="FQ39" s="438"/>
      <c r="FR39" s="438"/>
      <c r="FS39" s="438"/>
      <c r="FT39" s="438"/>
      <c r="FU39" s="438"/>
      <c r="FV39" s="438"/>
      <c r="FW39" s="438"/>
      <c r="FX39" s="438"/>
      <c r="FY39" s="438"/>
      <c r="FZ39" s="438"/>
      <c r="GA39" s="438"/>
      <c r="GB39" s="438"/>
      <c r="GC39" s="438"/>
      <c r="GD39" s="443"/>
      <c r="GE39" s="438"/>
      <c r="GF39" s="438"/>
      <c r="GG39" s="438"/>
      <c r="GH39" s="438"/>
      <c r="GI39" s="438"/>
      <c r="GJ39" s="438"/>
      <c r="GK39" s="438"/>
      <c r="GL39" s="438"/>
      <c r="GM39" s="438"/>
      <c r="GN39" s="438"/>
      <c r="GO39" s="438"/>
      <c r="GP39" s="438"/>
      <c r="GQ39" s="438"/>
      <c r="GR39" s="438"/>
      <c r="GS39" s="438"/>
      <c r="GT39" s="438"/>
      <c r="GU39" s="438"/>
      <c r="GV39" s="438"/>
      <c r="GW39" s="438"/>
      <c r="GX39" s="443"/>
      <c r="GY39" s="438"/>
      <c r="GZ39" s="438"/>
      <c r="HA39" s="438"/>
      <c r="HB39" s="438"/>
      <c r="HC39" s="438"/>
      <c r="HD39" s="438"/>
      <c r="HE39" s="438"/>
      <c r="HF39" s="438"/>
      <c r="HG39" s="438"/>
      <c r="HH39" s="438"/>
      <c r="HI39" s="438"/>
      <c r="HJ39" s="438"/>
      <c r="HK39" s="438"/>
      <c r="HL39" s="438"/>
      <c r="HM39" s="438"/>
      <c r="HN39" s="438"/>
      <c r="HO39" s="438"/>
      <c r="HP39" s="438"/>
      <c r="HQ39" s="438"/>
      <c r="HR39" s="438"/>
      <c r="HS39" s="438"/>
      <c r="HT39" s="533">
        <f>SUM(HT14:HT38)/100</f>
        <v>1.036</v>
      </c>
      <c r="HU39" s="533">
        <f>SUM(HU14:HU38)/100</f>
        <v>3.1160000000000001</v>
      </c>
      <c r="HV39" s="534"/>
      <c r="HW39" s="551"/>
      <c r="HX39" s="596" t="s">
        <v>428</v>
      </c>
      <c r="HY39" s="551"/>
      <c r="HZ39" s="551"/>
      <c r="IA39" s="546" t="e">
        <f t="shared" si="133"/>
        <v>#N/A</v>
      </c>
      <c r="IB39" s="547" t="e">
        <f t="shared" si="134"/>
        <v>#N/A</v>
      </c>
      <c r="IC39" s="555">
        <f>SUM(IC14:IC38)</f>
        <v>19.5</v>
      </c>
      <c r="ID39" s="552"/>
      <c r="IE39" s="40">
        <f>SUM(IE14:IE38)</f>
        <v>0</v>
      </c>
      <c r="IF39" s="230"/>
      <c r="IG39" s="228"/>
      <c r="IH39" s="423"/>
      <c r="II39" s="425"/>
    </row>
    <row r="40" spans="2:243" s="40" customFormat="1" ht="18.600000000000001" thickBot="1" x14ac:dyDescent="0.4">
      <c r="B40" s="258"/>
      <c r="C40" s="809"/>
      <c r="D40" s="810"/>
      <c r="E40" s="810"/>
      <c r="F40" s="810"/>
      <c r="G40" s="810"/>
      <c r="H40" s="810"/>
      <c r="I40" s="810"/>
      <c r="J40" s="810"/>
      <c r="K40" s="810"/>
      <c r="L40" s="810"/>
      <c r="M40" s="810"/>
      <c r="N40" s="811"/>
      <c r="Q40" s="91"/>
      <c r="R40" s="854"/>
      <c r="S40" s="854"/>
      <c r="T40" s="854"/>
      <c r="U40" s="854"/>
      <c r="V40" s="854"/>
      <c r="W40" s="854"/>
      <c r="X40" s="854"/>
      <c r="Y40" s="854"/>
      <c r="Z40" s="854"/>
      <c r="AA40" s="854"/>
      <c r="AB40" s="854"/>
      <c r="AC40" s="854"/>
      <c r="AD40" s="854"/>
      <c r="AE40" s="854"/>
      <c r="AF40" s="854"/>
      <c r="AG40" s="188"/>
      <c r="AH40" s="559"/>
      <c r="AI40" s="560"/>
      <c r="AJ40" s="63" t="str">
        <f>IF(V41=0,"",IF(VLOOKUP(S41,$CI$14:CJ80,2,0)&lt;AR40,"خارج المواصفات الفنية",""))</f>
        <v/>
      </c>
      <c r="AK40" s="37"/>
      <c r="AL40" s="37"/>
      <c r="AM40" s="438"/>
      <c r="AN40" s="485"/>
      <c r="AO40" s="534"/>
      <c r="AP40" s="535"/>
      <c r="AQ40" s="535"/>
      <c r="AR40" s="535"/>
      <c r="AS40" s="535"/>
      <c r="AT40" s="535"/>
      <c r="AU40" s="535"/>
      <c r="AV40" s="535"/>
      <c r="AW40" s="535"/>
      <c r="AX40" s="535"/>
      <c r="AY40" s="535"/>
      <c r="AZ40" s="535"/>
      <c r="BA40" s="535"/>
      <c r="BB40" s="535"/>
      <c r="BC40" s="535"/>
      <c r="BD40" s="535"/>
      <c r="BE40" s="535"/>
      <c r="BF40" s="605" t="s">
        <v>480</v>
      </c>
      <c r="BH40" s="535"/>
      <c r="BI40" s="535"/>
      <c r="BJ40" s="535"/>
      <c r="BK40" s="535"/>
      <c r="BL40" s="535"/>
      <c r="BM40" s="535"/>
      <c r="BN40" s="535"/>
      <c r="BO40" s="535"/>
      <c r="BP40" s="535"/>
      <c r="BQ40" s="535"/>
      <c r="BR40" s="535"/>
      <c r="BS40" s="535"/>
      <c r="BT40" s="535"/>
      <c r="BU40" s="535"/>
      <c r="BV40" s="535"/>
      <c r="BW40" s="535"/>
      <c r="BX40" s="535"/>
      <c r="BY40" s="535"/>
      <c r="BZ40" s="535"/>
      <c r="CA40" s="535"/>
      <c r="CB40" s="535"/>
      <c r="CC40" s="535"/>
      <c r="CD40" s="535"/>
      <c r="CE40" s="535"/>
      <c r="CF40" s="535"/>
      <c r="CG40" s="535"/>
      <c r="CH40" s="535"/>
      <c r="CI40" s="577" t="s">
        <v>428</v>
      </c>
      <c r="CK40" s="601">
        <v>9.1</v>
      </c>
      <c r="CL40" s="777"/>
      <c r="CM40" s="535"/>
      <c r="CN40" s="535"/>
      <c r="CO40" s="535"/>
      <c r="CP40" s="535"/>
      <c r="CQ40" s="535"/>
      <c r="CR40" s="535"/>
      <c r="CS40" s="535"/>
      <c r="CT40" s="535"/>
      <c r="CU40" s="535"/>
      <c r="CV40" s="535"/>
      <c r="CW40" s="535"/>
      <c r="CX40" s="535"/>
      <c r="CY40" s="535"/>
      <c r="CZ40" s="535"/>
      <c r="DA40" s="535"/>
      <c r="DB40" s="515"/>
      <c r="DC40" s="515"/>
      <c r="DD40" s="515"/>
      <c r="DE40" s="515"/>
      <c r="DF40" s="515"/>
      <c r="DG40" s="515"/>
      <c r="DH40" s="515"/>
      <c r="DI40" s="515"/>
      <c r="DJ40" s="515"/>
      <c r="DK40" s="515"/>
      <c r="DL40" s="515"/>
      <c r="DM40" s="515"/>
      <c r="DN40" s="515"/>
      <c r="DO40" s="515"/>
      <c r="DP40" s="515"/>
      <c r="DQ40" s="515"/>
      <c r="DR40" s="515"/>
      <c r="DS40" s="515"/>
      <c r="DT40" s="515"/>
      <c r="DU40" s="515"/>
      <c r="DV40" s="515"/>
      <c r="DW40" s="484"/>
      <c r="DX40" s="484"/>
      <c r="DY40" s="484"/>
      <c r="DZ40" s="484"/>
      <c r="EA40" s="484"/>
      <c r="EB40" s="484"/>
      <c r="EC40" s="484"/>
      <c r="ED40" s="484"/>
      <c r="EE40" s="484"/>
      <c r="EF40" s="484"/>
      <c r="EG40" s="484"/>
      <c r="EH40" s="484"/>
      <c r="EI40" s="484"/>
      <c r="EJ40" s="484"/>
      <c r="EK40" s="448"/>
      <c r="EL40" s="448"/>
      <c r="EM40" s="448"/>
      <c r="EN40" s="448"/>
      <c r="EO40" s="448"/>
      <c r="EP40" s="448"/>
      <c r="EQ40" s="448"/>
      <c r="ER40" s="448"/>
      <c r="ES40" s="448"/>
      <c r="ET40" s="448"/>
      <c r="EU40" s="448"/>
      <c r="EV40" s="448"/>
      <c r="EW40" s="448"/>
      <c r="EX40" s="448"/>
      <c r="EY40" s="448"/>
      <c r="EZ40" s="448"/>
      <c r="FA40" s="448"/>
      <c r="FB40" s="448"/>
      <c r="FC40" s="448"/>
      <c r="FD40" s="448"/>
      <c r="FE40" s="448"/>
      <c r="FF40" s="448"/>
      <c r="FG40" s="448"/>
      <c r="FH40" s="443"/>
      <c r="FI40" s="438"/>
      <c r="FJ40" s="438"/>
      <c r="FK40" s="438"/>
      <c r="FL40" s="438"/>
      <c r="FM40" s="438"/>
      <c r="FN40" s="438"/>
      <c r="FO40" s="438"/>
      <c r="FP40" s="438"/>
      <c r="FQ40" s="438"/>
      <c r="FR40" s="438"/>
      <c r="FS40" s="438"/>
      <c r="FT40" s="438"/>
      <c r="FU40" s="438"/>
      <c r="FV40" s="438"/>
      <c r="FW40" s="438"/>
      <c r="FX40" s="438"/>
      <c r="FY40" s="438"/>
      <c r="FZ40" s="438"/>
      <c r="GA40" s="438"/>
      <c r="GB40" s="438"/>
      <c r="GC40" s="438"/>
      <c r="GD40" s="438"/>
      <c r="GE40" s="535"/>
      <c r="GF40" s="535"/>
      <c r="GG40" s="535"/>
      <c r="GH40" s="535"/>
      <c r="GI40" s="535"/>
      <c r="GJ40" s="535"/>
      <c r="GK40" s="535"/>
      <c r="GL40" s="535"/>
      <c r="GM40" s="535"/>
      <c r="GN40" s="535"/>
      <c r="GO40" s="535"/>
      <c r="GP40" s="535"/>
      <c r="GQ40" s="535"/>
      <c r="GR40" s="535"/>
      <c r="GS40" s="535"/>
      <c r="GT40" s="535"/>
      <c r="GU40" s="535"/>
      <c r="GV40" s="535"/>
      <c r="GW40" s="535"/>
      <c r="GX40" s="536"/>
      <c r="GY40" s="535"/>
      <c r="GZ40" s="535"/>
      <c r="HA40" s="535"/>
      <c r="HB40" s="535"/>
      <c r="HC40" s="535"/>
      <c r="HD40" s="535"/>
      <c r="HE40" s="535"/>
      <c r="HF40" s="535"/>
      <c r="HG40" s="535"/>
      <c r="HH40" s="535"/>
      <c r="HI40" s="535"/>
      <c r="HJ40" s="535"/>
      <c r="HK40" s="535"/>
      <c r="HL40" s="535"/>
      <c r="HM40" s="535"/>
      <c r="HN40" s="535"/>
      <c r="HO40" s="535"/>
      <c r="HP40" s="535"/>
      <c r="HQ40" s="535"/>
      <c r="HR40" s="535"/>
      <c r="HS40" s="535"/>
      <c r="HT40" s="535"/>
      <c r="HU40" s="535"/>
      <c r="HV40" s="537"/>
      <c r="HW40" s="485"/>
      <c r="HX40" s="484" t="s">
        <v>429</v>
      </c>
      <c r="HY40" s="485"/>
      <c r="HZ40" s="485"/>
      <c r="IA40" s="546" t="e">
        <f t="shared" si="133"/>
        <v>#N/A</v>
      </c>
      <c r="IB40" s="547" t="e">
        <f t="shared" si="134"/>
        <v>#N/A</v>
      </c>
      <c r="IC40" s="485"/>
      <c r="ID40" s="485"/>
      <c r="IF40" s="231">
        <f>SUM(IF14:IF38)</f>
        <v>0</v>
      </c>
      <c r="IG40" s="232">
        <f>SUM(IG14:IG38)</f>
        <v>0</v>
      </c>
      <c r="IH40" s="424">
        <f>SUM(IH14:IH38)</f>
        <v>0</v>
      </c>
      <c r="II40" s="426">
        <f>SUM(II14:II38)</f>
        <v>0</v>
      </c>
    </row>
    <row r="41" spans="2:243" ht="30" customHeight="1" x14ac:dyDescent="0.35">
      <c r="C41" s="256" t="s">
        <v>28</v>
      </c>
      <c r="D41" s="814" t="s">
        <v>10</v>
      </c>
      <c r="E41" s="814"/>
      <c r="F41" s="142" t="s">
        <v>40</v>
      </c>
      <c r="G41" s="143"/>
      <c r="H41" s="144"/>
      <c r="I41" s="256" t="s">
        <v>41</v>
      </c>
      <c r="J41" s="256" t="s">
        <v>33</v>
      </c>
      <c r="K41" s="256"/>
      <c r="L41" s="256" t="s">
        <v>42</v>
      </c>
      <c r="M41" s="52" t="s">
        <v>34</v>
      </c>
      <c r="N41" s="256" t="s">
        <v>402</v>
      </c>
      <c r="Q41" s="92"/>
      <c r="R41" s="788" t="s">
        <v>45</v>
      </c>
      <c r="S41" s="789"/>
      <c r="T41" s="789"/>
      <c r="U41" s="789"/>
      <c r="V41" s="789"/>
      <c r="W41" s="789"/>
      <c r="X41" s="789"/>
      <c r="Y41" s="789"/>
      <c r="Z41" s="789"/>
      <c r="AA41" s="789"/>
      <c r="AB41" s="785" t="e">
        <f>IF(R45="يوجد محرك خارج المواصفات الفنية غير محسوب في عرض السعر - يرجى مراجعة الشركة لحل المشكلة",0,N395)</f>
        <v>#N/A</v>
      </c>
      <c r="AC41" s="786"/>
      <c r="AD41" s="786"/>
      <c r="AE41" s="786"/>
      <c r="AF41" s="787"/>
      <c r="AG41" s="561"/>
      <c r="AH41" s="562"/>
      <c r="AI41" s="563"/>
      <c r="AO41" s="488"/>
      <c r="BF41" s="606" t="s">
        <v>561</v>
      </c>
      <c r="CH41" s="438" t="s">
        <v>445</v>
      </c>
      <c r="CI41" s="577" t="s">
        <v>429</v>
      </c>
      <c r="CK41" s="602">
        <v>4.7</v>
      </c>
      <c r="CL41" s="777"/>
      <c r="CM41" s="575" t="s">
        <v>112</v>
      </c>
      <c r="HX41" s="448" t="s">
        <v>430</v>
      </c>
      <c r="IA41" s="546" t="e">
        <f t="shared" si="133"/>
        <v>#N/A</v>
      </c>
      <c r="IB41" s="547" t="e">
        <f t="shared" si="134"/>
        <v>#N/A</v>
      </c>
    </row>
    <row r="42" spans="2:243" ht="29.4" x14ac:dyDescent="0.35">
      <c r="B42" s="257">
        <f>IF(O42=1,SUM($O$41:O42),0)</f>
        <v>1</v>
      </c>
      <c r="C42" s="255"/>
      <c r="D42" s="808"/>
      <c r="E42" s="808"/>
      <c r="F42" s="54"/>
      <c r="G42" s="55"/>
      <c r="H42" s="56"/>
      <c r="I42" s="57"/>
      <c r="J42" s="255"/>
      <c r="K42" s="255"/>
      <c r="L42" s="255"/>
      <c r="M42" s="58"/>
      <c r="N42" s="255"/>
      <c r="O42" s="37">
        <v>1</v>
      </c>
      <c r="Q42" s="91"/>
      <c r="R42" s="824" t="s">
        <v>189</v>
      </c>
      <c r="S42" s="825"/>
      <c r="T42" s="825"/>
      <c r="U42" s="825"/>
      <c r="V42" s="826">
        <v>0</v>
      </c>
      <c r="W42" s="826"/>
      <c r="X42" s="826"/>
      <c r="Y42" s="826"/>
      <c r="Z42" s="826"/>
      <c r="AA42" s="826"/>
      <c r="AB42" s="793" t="e">
        <f>AB41*SUM(V42,T42)</f>
        <v>#N/A</v>
      </c>
      <c r="AC42" s="794"/>
      <c r="AD42" s="794"/>
      <c r="AE42" s="794"/>
      <c r="AF42" s="795"/>
      <c r="AG42" s="561"/>
      <c r="AH42" s="562"/>
      <c r="AI42" s="563"/>
      <c r="BF42" s="606"/>
      <c r="BH42" s="513" t="s">
        <v>300</v>
      </c>
      <c r="BI42" s="485" t="s">
        <v>291</v>
      </c>
      <c r="BJ42" s="487" t="s">
        <v>302</v>
      </c>
      <c r="CI42" s="577" t="s">
        <v>430</v>
      </c>
      <c r="CK42" s="602">
        <v>3.5</v>
      </c>
      <c r="CL42" s="777"/>
      <c r="CM42" s="575" t="s">
        <v>112</v>
      </c>
      <c r="HX42" s="448" t="s">
        <v>431</v>
      </c>
      <c r="IA42" s="546" t="e">
        <f t="shared" si="133"/>
        <v>#N/A</v>
      </c>
      <c r="IB42" s="547" t="e">
        <f t="shared" si="134"/>
        <v>#N/A</v>
      </c>
    </row>
    <row r="43" spans="2:243" s="71" customFormat="1" ht="30" thickBot="1" x14ac:dyDescent="0.4">
      <c r="B43" s="259">
        <f>IF(O43=1,SUM($O$41:O43),0)</f>
        <v>2</v>
      </c>
      <c r="C43" s="255"/>
      <c r="D43" s="808"/>
      <c r="E43" s="808"/>
      <c r="F43" s="616"/>
      <c r="G43" s="68"/>
      <c r="H43" s="69"/>
      <c r="I43" s="57"/>
      <c r="J43" s="255"/>
      <c r="K43" s="255"/>
      <c r="L43" s="255"/>
      <c r="M43" s="58"/>
      <c r="N43" s="255"/>
      <c r="O43" s="71">
        <v>1</v>
      </c>
      <c r="Q43" s="93"/>
      <c r="R43" s="822" t="s">
        <v>227</v>
      </c>
      <c r="S43" s="823"/>
      <c r="T43" s="823"/>
      <c r="U43" s="823"/>
      <c r="V43" s="823"/>
      <c r="W43" s="823"/>
      <c r="X43" s="823"/>
      <c r="Y43" s="823"/>
      <c r="Z43" s="823"/>
      <c r="AA43" s="823"/>
      <c r="AB43" s="790" t="e">
        <f>AB41-AB42</f>
        <v>#N/A</v>
      </c>
      <c r="AC43" s="791"/>
      <c r="AD43" s="791"/>
      <c r="AE43" s="791"/>
      <c r="AF43" s="792"/>
      <c r="AG43" s="564" t="e">
        <f>SUM(#REF!,#REF!)</f>
        <v>#REF!</v>
      </c>
      <c r="AH43" s="565"/>
      <c r="AI43" s="566"/>
      <c r="AJ43" s="72"/>
      <c r="AK43" s="72"/>
      <c r="AM43" s="448"/>
      <c r="AN43" s="448"/>
      <c r="AO43" s="448"/>
      <c r="AP43" s="448"/>
      <c r="AQ43" s="448"/>
      <c r="AR43" s="448"/>
      <c r="AS43" s="448"/>
      <c r="AT43" s="448"/>
      <c r="AU43" s="448"/>
      <c r="AV43" s="448"/>
      <c r="AW43" s="448"/>
      <c r="AX43" s="448"/>
      <c r="AY43" s="448"/>
      <c r="AZ43" s="448"/>
      <c r="BA43" s="448"/>
      <c r="BB43" s="448"/>
      <c r="BC43" s="448"/>
      <c r="BD43" s="448"/>
      <c r="BE43" s="448"/>
      <c r="BF43" s="607"/>
      <c r="BG43" s="448"/>
      <c r="BH43" s="513" t="s">
        <v>299</v>
      </c>
      <c r="BI43" s="485" t="s">
        <v>290</v>
      </c>
      <c r="BJ43" s="487" t="s">
        <v>438</v>
      </c>
      <c r="BK43" s="448"/>
      <c r="BL43" s="448"/>
      <c r="BM43" s="448"/>
      <c r="BN43" s="448"/>
      <c r="BO43" s="448"/>
      <c r="BP43" s="448"/>
      <c r="BQ43" s="448"/>
      <c r="BR43" s="448"/>
      <c r="BS43" s="448"/>
      <c r="BT43" s="448"/>
      <c r="BU43" s="448"/>
      <c r="BV43" s="448"/>
      <c r="BW43" s="448"/>
      <c r="BX43" s="448"/>
      <c r="BY43" s="448"/>
      <c r="BZ43" s="448"/>
      <c r="CA43" s="448"/>
      <c r="CB43" s="448"/>
      <c r="CC43" s="448"/>
      <c r="CD43" s="448"/>
      <c r="CF43" s="448"/>
      <c r="CG43" s="448"/>
      <c r="CH43" s="448"/>
      <c r="CI43" s="577" t="s">
        <v>431</v>
      </c>
      <c r="CJ43" s="448"/>
      <c r="CK43" s="603">
        <v>3</v>
      </c>
      <c r="CL43" s="777"/>
      <c r="CM43" s="575" t="s">
        <v>112</v>
      </c>
      <c r="CN43" s="448"/>
      <c r="CO43" s="448"/>
      <c r="CP43" s="448"/>
      <c r="CQ43" s="448"/>
      <c r="CR43" s="448"/>
      <c r="CS43" s="448"/>
      <c r="CT43" s="448"/>
      <c r="CU43" s="448"/>
      <c r="CV43" s="448"/>
      <c r="CW43" s="448"/>
      <c r="CX43" s="448"/>
      <c r="CY43" s="448"/>
      <c r="CZ43" s="448"/>
      <c r="DA43" s="448"/>
      <c r="DB43" s="448"/>
      <c r="DC43" s="448"/>
      <c r="DD43" s="448"/>
      <c r="DE43" s="448"/>
      <c r="DF43" s="448"/>
      <c r="DG43" s="448"/>
      <c r="DH43" s="448"/>
      <c r="DI43" s="448"/>
      <c r="DJ43" s="448"/>
      <c r="DK43" s="448"/>
      <c r="DL43" s="448"/>
      <c r="DM43" s="448"/>
      <c r="DN43" s="448"/>
      <c r="DO43" s="448"/>
      <c r="DP43" s="448"/>
      <c r="DQ43" s="448"/>
      <c r="DR43" s="448"/>
      <c r="DS43" s="448"/>
      <c r="DT43" s="448"/>
      <c r="DU43" s="448"/>
      <c r="DV43" s="448"/>
      <c r="DW43" s="448"/>
      <c r="DX43" s="448"/>
      <c r="DY43" s="448"/>
      <c r="DZ43" s="448"/>
      <c r="EA43" s="448"/>
      <c r="EB43" s="448"/>
      <c r="EC43" s="448"/>
      <c r="ED43" s="448"/>
      <c r="EE43" s="448"/>
      <c r="EF43" s="448"/>
      <c r="EG43" s="448"/>
      <c r="EH43" s="448"/>
      <c r="EI43" s="448"/>
      <c r="EJ43" s="448"/>
      <c r="EK43" s="448"/>
      <c r="EL43" s="448"/>
      <c r="EM43" s="448"/>
      <c r="EN43" s="448"/>
      <c r="EO43" s="448"/>
      <c r="EP43" s="448"/>
      <c r="EQ43" s="448"/>
      <c r="ER43" s="448"/>
      <c r="ES43" s="448"/>
      <c r="ET43" s="448"/>
      <c r="EU43" s="448"/>
      <c r="EV43" s="448"/>
      <c r="EW43" s="448"/>
      <c r="EX43" s="448"/>
      <c r="EY43" s="448"/>
      <c r="EZ43" s="448"/>
      <c r="FA43" s="448"/>
      <c r="FB43" s="448"/>
      <c r="FC43" s="448"/>
      <c r="FD43" s="448"/>
      <c r="FE43" s="448"/>
      <c r="FF43" s="448"/>
      <c r="FG43" s="448"/>
      <c r="FH43" s="443"/>
      <c r="FI43" s="438"/>
      <c r="FJ43" s="438"/>
      <c r="FK43" s="438"/>
      <c r="FL43" s="438"/>
      <c r="FM43" s="438"/>
      <c r="FN43" s="438"/>
      <c r="FO43" s="438"/>
      <c r="FP43" s="438"/>
      <c r="FQ43" s="438"/>
      <c r="FR43" s="438"/>
      <c r="FS43" s="438"/>
      <c r="FT43" s="438"/>
      <c r="FU43" s="438"/>
      <c r="FV43" s="438"/>
      <c r="FW43" s="438"/>
      <c r="FX43" s="438"/>
      <c r="FY43" s="438"/>
      <c r="FZ43" s="438"/>
      <c r="GA43" s="438"/>
      <c r="GB43" s="438"/>
      <c r="GC43" s="438"/>
      <c r="GD43" s="438"/>
      <c r="GE43" s="448"/>
      <c r="GF43" s="448"/>
      <c r="GG43" s="448"/>
      <c r="GH43" s="448"/>
      <c r="GI43" s="448"/>
      <c r="GJ43" s="448"/>
      <c r="GK43" s="448"/>
      <c r="GL43" s="448"/>
      <c r="GM43" s="448"/>
      <c r="GN43" s="448"/>
      <c r="GO43" s="448"/>
      <c r="GP43" s="448"/>
      <c r="GQ43" s="448"/>
      <c r="GR43" s="448"/>
      <c r="GS43" s="448"/>
      <c r="GT43" s="448"/>
      <c r="GU43" s="448"/>
      <c r="GV43" s="448"/>
      <c r="GW43" s="448"/>
      <c r="GX43" s="448"/>
      <c r="GY43" s="448"/>
      <c r="GZ43" s="448"/>
      <c r="HA43" s="448"/>
      <c r="HB43" s="448"/>
      <c r="HC43" s="448"/>
      <c r="HD43" s="448"/>
      <c r="HE43" s="448"/>
      <c r="HF43" s="448"/>
      <c r="HG43" s="448"/>
      <c r="HH43" s="448"/>
      <c r="HI43" s="448"/>
      <c r="HJ43" s="448"/>
      <c r="HK43" s="448"/>
      <c r="HL43" s="448"/>
      <c r="HM43" s="448"/>
      <c r="HN43" s="448"/>
      <c r="HO43" s="448"/>
      <c r="HP43" s="448"/>
      <c r="HQ43" s="448"/>
      <c r="HR43" s="448"/>
      <c r="HS43" s="448"/>
      <c r="HT43" s="448"/>
      <c r="HU43" s="448"/>
      <c r="HV43" s="448"/>
      <c r="HW43" s="448"/>
      <c r="HX43" s="448" t="s">
        <v>434</v>
      </c>
      <c r="HY43" s="448"/>
      <c r="HZ43" s="448"/>
      <c r="IA43" s="546" t="e">
        <f t="shared" si="133"/>
        <v>#N/A</v>
      </c>
      <c r="IB43" s="547" t="e">
        <f t="shared" si="134"/>
        <v>#N/A</v>
      </c>
      <c r="IC43" s="448"/>
      <c r="ID43" s="448"/>
    </row>
    <row r="44" spans="2:243" s="71" customFormat="1" ht="28.8" x14ac:dyDescent="0.3">
      <c r="B44" s="259">
        <f>IF(O44=1,SUM($O$41:O44),0)</f>
        <v>0</v>
      </c>
      <c r="C44" s="255"/>
      <c r="D44" s="808"/>
      <c r="E44" s="808"/>
      <c r="F44" s="67"/>
      <c r="G44" s="68"/>
      <c r="H44" s="69"/>
      <c r="I44" s="57"/>
      <c r="J44" s="255"/>
      <c r="K44" s="255"/>
      <c r="L44" s="255"/>
      <c r="M44" s="58"/>
      <c r="N44" s="255"/>
      <c r="Q44" s="93"/>
      <c r="R44" s="567"/>
      <c r="S44" s="567"/>
      <c r="T44" s="567"/>
      <c r="U44" s="567"/>
      <c r="V44" s="567"/>
      <c r="W44" s="774"/>
      <c r="X44" s="774"/>
      <c r="Y44" s="774"/>
      <c r="Z44" s="774"/>
      <c r="AA44" s="774"/>
      <c r="AB44" s="568"/>
      <c r="AC44" s="776"/>
      <c r="AD44" s="776"/>
      <c r="AE44" s="568"/>
      <c r="AF44" s="568"/>
      <c r="AG44" s="564"/>
      <c r="AH44" s="564"/>
      <c r="AI44" s="569"/>
      <c r="AJ44" s="72"/>
      <c r="AK44" s="72"/>
      <c r="AM44" s="448"/>
      <c r="AN44" s="448"/>
      <c r="AO44" s="448"/>
      <c r="AP44" s="448"/>
      <c r="AQ44" s="448"/>
      <c r="AR44" s="448"/>
      <c r="AS44" s="448"/>
      <c r="AT44" s="448"/>
      <c r="AU44" s="448"/>
      <c r="AV44" s="448"/>
      <c r="AW44" s="448"/>
      <c r="AX44" s="448"/>
      <c r="AY44" s="448"/>
      <c r="AZ44" s="448"/>
      <c r="BA44" s="448"/>
      <c r="BB44" s="448"/>
      <c r="BC44" s="448"/>
      <c r="BD44" s="448"/>
      <c r="BE44" s="448"/>
      <c r="BF44" s="607"/>
      <c r="BG44" s="448"/>
      <c r="BH44" s="513" t="s">
        <v>298</v>
      </c>
      <c r="BI44" s="485" t="s">
        <v>289</v>
      </c>
      <c r="BJ44" s="487" t="s">
        <v>439</v>
      </c>
      <c r="BK44" s="448"/>
      <c r="BL44" s="448"/>
      <c r="BM44" s="448"/>
      <c r="BN44" s="448"/>
      <c r="BO44" s="448"/>
      <c r="BP44" s="448"/>
      <c r="BQ44" s="448"/>
      <c r="BR44" s="448"/>
      <c r="BS44" s="448"/>
      <c r="BT44" s="448"/>
      <c r="BU44" s="448"/>
      <c r="BV44" s="448"/>
      <c r="BW44" s="448"/>
      <c r="BX44" s="448"/>
      <c r="BY44" s="448"/>
      <c r="BZ44" s="448"/>
      <c r="CA44" s="448"/>
      <c r="CB44" s="448"/>
      <c r="CC44" s="448"/>
      <c r="CD44" s="448"/>
      <c r="CF44" s="448"/>
      <c r="CG44" s="448"/>
      <c r="CH44" s="448"/>
      <c r="CI44" s="577" t="s">
        <v>434</v>
      </c>
      <c r="CJ44" s="448"/>
      <c r="CK44" s="603">
        <v>3.5</v>
      </c>
      <c r="CL44" s="777"/>
      <c r="CM44" s="575" t="s">
        <v>249</v>
      </c>
      <c r="CN44" s="448"/>
      <c r="CO44" s="448"/>
      <c r="CP44" s="448"/>
      <c r="CQ44" s="448"/>
      <c r="CR44" s="448"/>
      <c r="CS44" s="448"/>
      <c r="CT44" s="448"/>
      <c r="CU44" s="448"/>
      <c r="CV44" s="448"/>
      <c r="CW44" s="448"/>
      <c r="CX44" s="448"/>
      <c r="CY44" s="448"/>
      <c r="CZ44" s="448"/>
      <c r="DA44" s="448"/>
      <c r="DB44" s="448"/>
      <c r="DC44" s="448"/>
      <c r="DD44" s="448"/>
      <c r="DE44" s="448"/>
      <c r="DF44" s="448"/>
      <c r="DG44" s="448"/>
      <c r="DH44" s="448"/>
      <c r="DI44" s="448"/>
      <c r="DJ44" s="448"/>
      <c r="DK44" s="448"/>
      <c r="DL44" s="448"/>
      <c r="DM44" s="448"/>
      <c r="DN44" s="448"/>
      <c r="DO44" s="448"/>
      <c r="DP44" s="448"/>
      <c r="DQ44" s="448"/>
      <c r="DR44" s="448"/>
      <c r="DS44" s="448"/>
      <c r="DT44" s="448"/>
      <c r="DU44" s="448"/>
      <c r="DV44" s="448"/>
      <c r="DW44" s="448"/>
      <c r="DX44" s="448"/>
      <c r="DY44" s="448"/>
      <c r="DZ44" s="448"/>
      <c r="EA44" s="448"/>
      <c r="EB44" s="448"/>
      <c r="EC44" s="448"/>
      <c r="ED44" s="448"/>
      <c r="EE44" s="448"/>
      <c r="EF44" s="448"/>
      <c r="EG44" s="448"/>
      <c r="EH44" s="448"/>
      <c r="EI44" s="448"/>
      <c r="EJ44" s="448"/>
      <c r="EK44" s="448"/>
      <c r="EL44" s="448"/>
      <c r="EM44" s="448"/>
      <c r="EN44" s="448"/>
      <c r="EO44" s="448"/>
      <c r="EP44" s="448"/>
      <c r="EQ44" s="448"/>
      <c r="ER44" s="448"/>
      <c r="ES44" s="448"/>
      <c r="ET44" s="448"/>
      <c r="EU44" s="448"/>
      <c r="EV44" s="448"/>
      <c r="EW44" s="448"/>
      <c r="EX44" s="448"/>
      <c r="EY44" s="448"/>
      <c r="EZ44" s="448"/>
      <c r="FA44" s="448"/>
      <c r="FB44" s="448"/>
      <c r="FC44" s="448"/>
      <c r="FD44" s="448"/>
      <c r="FE44" s="448"/>
      <c r="FF44" s="448"/>
      <c r="FG44" s="448"/>
      <c r="FH44" s="443"/>
      <c r="FI44" s="438"/>
      <c r="FJ44" s="438"/>
      <c r="FK44" s="438"/>
      <c r="FL44" s="438"/>
      <c r="FM44" s="438"/>
      <c r="FN44" s="438"/>
      <c r="FO44" s="438"/>
      <c r="FP44" s="438"/>
      <c r="FQ44" s="438"/>
      <c r="FR44" s="438"/>
      <c r="FS44" s="438"/>
      <c r="FT44" s="438"/>
      <c r="FU44" s="438"/>
      <c r="FV44" s="438"/>
      <c r="FW44" s="438"/>
      <c r="FX44" s="438"/>
      <c r="FY44" s="438"/>
      <c r="FZ44" s="438"/>
      <c r="GA44" s="438"/>
      <c r="GB44" s="438"/>
      <c r="GC44" s="438"/>
      <c r="GD44" s="438"/>
      <c r="GE44" s="448"/>
      <c r="GF44" s="448"/>
      <c r="GG44" s="448"/>
      <c r="GH44" s="448"/>
      <c r="GI44" s="448"/>
      <c r="GJ44" s="448"/>
      <c r="GK44" s="448"/>
      <c r="GL44" s="448"/>
      <c r="GM44" s="448"/>
      <c r="GN44" s="448"/>
      <c r="GO44" s="448"/>
      <c r="GP44" s="448"/>
      <c r="GQ44" s="448"/>
      <c r="GR44" s="448"/>
      <c r="GS44" s="448"/>
      <c r="GT44" s="448"/>
      <c r="GU44" s="448"/>
      <c r="GV44" s="448"/>
      <c r="GW44" s="448"/>
      <c r="GX44" s="448"/>
      <c r="GY44" s="448"/>
      <c r="GZ44" s="448"/>
      <c r="HA44" s="448"/>
      <c r="HB44" s="448"/>
      <c r="HC44" s="448"/>
      <c r="HD44" s="448"/>
      <c r="HE44" s="448"/>
      <c r="HF44" s="448"/>
      <c r="HG44" s="448"/>
      <c r="HH44" s="448"/>
      <c r="HI44" s="448"/>
      <c r="HJ44" s="448"/>
      <c r="HK44" s="448"/>
      <c r="HL44" s="448"/>
      <c r="HM44" s="448"/>
      <c r="HN44" s="448"/>
      <c r="HO44" s="448"/>
      <c r="HP44" s="448"/>
      <c r="HQ44" s="448"/>
      <c r="HR44" s="448"/>
      <c r="HS44" s="448"/>
      <c r="HT44" s="448"/>
      <c r="HU44" s="448"/>
      <c r="HV44" s="448"/>
      <c r="HW44" s="448"/>
      <c r="HX44" s="448" t="s">
        <v>433</v>
      </c>
      <c r="HY44" s="448"/>
      <c r="HZ44" s="448"/>
      <c r="IA44" s="546" t="e">
        <f t="shared" si="133"/>
        <v>#N/A</v>
      </c>
      <c r="IB44" s="547" t="e">
        <f t="shared" si="134"/>
        <v>#N/A</v>
      </c>
      <c r="IC44" s="448"/>
      <c r="ID44" s="448"/>
    </row>
    <row r="45" spans="2:243" s="71" customFormat="1" ht="28.8" x14ac:dyDescent="0.3">
      <c r="B45" s="259">
        <f>IF(O45=1,SUM($O$41:O45),0)</f>
        <v>0</v>
      </c>
      <c r="C45" s="255"/>
      <c r="D45" s="808"/>
      <c r="E45" s="808"/>
      <c r="F45" s="67"/>
      <c r="G45" s="68"/>
      <c r="H45" s="69"/>
      <c r="I45" s="57"/>
      <c r="J45" s="255"/>
      <c r="K45" s="255"/>
      <c r="L45" s="255"/>
      <c r="M45" s="58"/>
      <c r="N45" s="255"/>
      <c r="Q45" s="93"/>
      <c r="R45" s="570" t="str">
        <f>IF($M$149&gt;0,"يوجد محرك خارج المواصفات الفنية غير محسوب في عرض السعر - يرجى مراجعة الشركة لحل المشكلة","")</f>
        <v/>
      </c>
      <c r="S45" s="570"/>
      <c r="T45" s="570"/>
      <c r="U45" s="570"/>
      <c r="V45" s="570"/>
      <c r="W45" s="775"/>
      <c r="X45" s="775"/>
      <c r="Y45" s="775"/>
      <c r="Z45" s="775"/>
      <c r="AA45" s="775"/>
      <c r="AB45" s="570"/>
      <c r="AC45" s="775"/>
      <c r="AD45" s="775"/>
      <c r="AE45" s="570"/>
      <c r="AF45" s="570"/>
      <c r="AG45" s="564" t="e">
        <f>#REF!*0.1</f>
        <v>#REF!</v>
      </c>
      <c r="AH45" s="564"/>
      <c r="AI45" s="569"/>
      <c r="AJ45" s="72"/>
      <c r="AK45" s="72"/>
      <c r="AM45" s="448"/>
      <c r="AN45" s="448"/>
      <c r="AO45" s="448"/>
      <c r="AP45" s="448"/>
      <c r="AQ45" s="448"/>
      <c r="AR45" s="448"/>
      <c r="AS45" s="448"/>
      <c r="AT45" s="448"/>
      <c r="AU45" s="448"/>
      <c r="AV45" s="448"/>
      <c r="AW45" s="448"/>
      <c r="AX45" s="448"/>
      <c r="AY45" s="448"/>
      <c r="AZ45" s="448"/>
      <c r="BA45" s="448"/>
      <c r="BB45" s="448"/>
      <c r="BC45" s="448"/>
      <c r="BD45" s="448"/>
      <c r="BE45" s="448"/>
      <c r="BF45" s="607"/>
      <c r="BG45" s="448"/>
      <c r="BH45" s="513" t="s">
        <v>297</v>
      </c>
      <c r="BI45" s="485" t="s">
        <v>288</v>
      </c>
      <c r="BJ45" s="498" t="s">
        <v>440</v>
      </c>
      <c r="BK45" s="448"/>
      <c r="BL45" s="448"/>
      <c r="BM45" s="448"/>
      <c r="BN45" s="448"/>
      <c r="BO45" s="448"/>
      <c r="BP45" s="448"/>
      <c r="BQ45" s="448"/>
      <c r="BR45" s="448"/>
      <c r="BS45" s="448"/>
      <c r="BT45" s="448"/>
      <c r="BU45" s="448"/>
      <c r="BV45" s="448"/>
      <c r="BW45" s="448"/>
      <c r="BX45" s="448"/>
      <c r="BY45" s="448"/>
      <c r="BZ45" s="448"/>
      <c r="CA45" s="448"/>
      <c r="CB45" s="448"/>
      <c r="CC45" s="448"/>
      <c r="CD45" s="448"/>
      <c r="CF45" s="448"/>
      <c r="CG45" s="448"/>
      <c r="CH45" s="448"/>
      <c r="CI45" s="577" t="s">
        <v>433</v>
      </c>
      <c r="CJ45" s="448"/>
      <c r="CK45" s="603">
        <v>3</v>
      </c>
      <c r="CL45" s="777"/>
      <c r="CM45" s="575" t="s">
        <v>250</v>
      </c>
      <c r="CN45" s="448"/>
      <c r="CO45" s="448"/>
      <c r="CP45" s="448"/>
      <c r="CQ45" s="448"/>
      <c r="CR45" s="448"/>
      <c r="CS45" s="448"/>
      <c r="CT45" s="448"/>
      <c r="CU45" s="448"/>
      <c r="CV45" s="448"/>
      <c r="CW45" s="448"/>
      <c r="CX45" s="448"/>
      <c r="CY45" s="448"/>
      <c r="CZ45" s="448"/>
      <c r="DA45" s="448"/>
      <c r="DB45" s="448"/>
      <c r="DC45" s="448"/>
      <c r="DD45" s="448"/>
      <c r="DE45" s="448"/>
      <c r="DF45" s="448"/>
      <c r="DG45" s="448"/>
      <c r="DH45" s="448"/>
      <c r="DI45" s="448"/>
      <c r="DJ45" s="448"/>
      <c r="DK45" s="448"/>
      <c r="DL45" s="448"/>
      <c r="DM45" s="448"/>
      <c r="DN45" s="448"/>
      <c r="DO45" s="448"/>
      <c r="DP45" s="448"/>
      <c r="DQ45" s="448"/>
      <c r="DR45" s="448"/>
      <c r="DS45" s="448"/>
      <c r="DT45" s="448"/>
      <c r="DU45" s="448"/>
      <c r="DV45" s="448"/>
      <c r="DW45" s="448"/>
      <c r="DX45" s="448"/>
      <c r="DY45" s="448"/>
      <c r="DZ45" s="448"/>
      <c r="EA45" s="448"/>
      <c r="EB45" s="448"/>
      <c r="EC45" s="448"/>
      <c r="ED45" s="448"/>
      <c r="EE45" s="448"/>
      <c r="EF45" s="448"/>
      <c r="EG45" s="448"/>
      <c r="EH45" s="448"/>
      <c r="EI45" s="448"/>
      <c r="EJ45" s="448"/>
      <c r="EK45" s="448"/>
      <c r="EL45" s="448"/>
      <c r="EM45" s="448"/>
      <c r="EN45" s="448"/>
      <c r="EO45" s="448"/>
      <c r="EP45" s="448"/>
      <c r="EQ45" s="448"/>
      <c r="ER45" s="448"/>
      <c r="ES45" s="448"/>
      <c r="ET45" s="448"/>
      <c r="EU45" s="448"/>
      <c r="EV45" s="448"/>
      <c r="EW45" s="448"/>
      <c r="EX45" s="448"/>
      <c r="EY45" s="448"/>
      <c r="EZ45" s="448"/>
      <c r="FA45" s="448"/>
      <c r="FB45" s="448"/>
      <c r="FC45" s="448"/>
      <c r="FD45" s="448"/>
      <c r="FE45" s="448"/>
      <c r="FF45" s="448"/>
      <c r="FG45" s="448"/>
      <c r="FH45" s="443"/>
      <c r="FI45" s="438"/>
      <c r="FJ45" s="438"/>
      <c r="FK45" s="438"/>
      <c r="FL45" s="438"/>
      <c r="FM45" s="438"/>
      <c r="FN45" s="438"/>
      <c r="FO45" s="438"/>
      <c r="FP45" s="438"/>
      <c r="FQ45" s="438"/>
      <c r="FR45" s="438"/>
      <c r="FS45" s="438"/>
      <c r="FT45" s="438"/>
      <c r="FU45" s="438"/>
      <c r="FV45" s="438"/>
      <c r="FW45" s="438"/>
      <c r="FX45" s="438"/>
      <c r="FY45" s="438"/>
      <c r="FZ45" s="438"/>
      <c r="GA45" s="438"/>
      <c r="GB45" s="438"/>
      <c r="GC45" s="438"/>
      <c r="GD45" s="438"/>
      <c r="GE45" s="448"/>
      <c r="GF45" s="448"/>
      <c r="GG45" s="448"/>
      <c r="GH45" s="448"/>
      <c r="GI45" s="448"/>
      <c r="GJ45" s="448"/>
      <c r="GK45" s="448"/>
      <c r="GL45" s="448"/>
      <c r="GM45" s="448"/>
      <c r="GN45" s="448"/>
      <c r="GO45" s="448"/>
      <c r="GP45" s="448"/>
      <c r="GQ45" s="448"/>
      <c r="GR45" s="448"/>
      <c r="GS45" s="448"/>
      <c r="GT45" s="448"/>
      <c r="GU45" s="448"/>
      <c r="GV45" s="448"/>
      <c r="GW45" s="448"/>
      <c r="GX45" s="448"/>
      <c r="GY45" s="448"/>
      <c r="GZ45" s="448"/>
      <c r="HA45" s="448"/>
      <c r="HB45" s="448"/>
      <c r="HC45" s="448"/>
      <c r="HD45" s="448"/>
      <c r="HE45" s="448"/>
      <c r="HF45" s="448"/>
      <c r="HG45" s="448"/>
      <c r="HH45" s="448"/>
      <c r="HI45" s="448"/>
      <c r="HJ45" s="448"/>
      <c r="HK45" s="448"/>
      <c r="HL45" s="448"/>
      <c r="HM45" s="448"/>
      <c r="HN45" s="448"/>
      <c r="HO45" s="448"/>
      <c r="HP45" s="448"/>
      <c r="HQ45" s="448"/>
      <c r="HR45" s="448"/>
      <c r="HS45" s="448"/>
      <c r="HT45" s="448"/>
      <c r="HU45" s="448"/>
      <c r="HV45" s="448"/>
      <c r="HW45" s="448"/>
      <c r="HX45" s="448" t="s">
        <v>435</v>
      </c>
      <c r="HY45" s="448"/>
      <c r="HZ45" s="448"/>
      <c r="IA45" s="546" t="e">
        <f t="shared" si="133"/>
        <v>#N/A</v>
      </c>
      <c r="IB45" s="547" t="e">
        <f t="shared" si="134"/>
        <v>#N/A</v>
      </c>
      <c r="IC45" s="448"/>
      <c r="ID45" s="448"/>
    </row>
    <row r="46" spans="2:243" s="71" customFormat="1" ht="28.8" x14ac:dyDescent="0.3">
      <c r="B46" s="259">
        <f>IF(O46=1,SUM($O$41:O46),0)</f>
        <v>0</v>
      </c>
      <c r="C46" s="255"/>
      <c r="D46" s="808"/>
      <c r="E46" s="808"/>
      <c r="F46" s="70"/>
      <c r="G46" s="68"/>
      <c r="H46" s="69"/>
      <c r="I46" s="57"/>
      <c r="J46" s="255"/>
      <c r="K46" s="255"/>
      <c r="L46" s="255"/>
      <c r="M46" s="255"/>
      <c r="N46" s="255"/>
      <c r="Q46" s="93"/>
      <c r="R46" s="855" t="s">
        <v>147</v>
      </c>
      <c r="S46" s="855"/>
      <c r="T46" s="855"/>
      <c r="U46" s="855"/>
      <c r="V46" s="855"/>
      <c r="W46" s="855"/>
      <c r="X46" s="855"/>
      <c r="Y46" s="855"/>
      <c r="Z46" s="855"/>
      <c r="AA46" s="855"/>
      <c r="AB46" s="855"/>
      <c r="AC46" s="855"/>
      <c r="AD46" s="855"/>
      <c r="AE46" s="855"/>
      <c r="AF46" s="855"/>
      <c r="AG46" s="855"/>
      <c r="AH46" s="855"/>
      <c r="AI46" s="856"/>
      <c r="AJ46" s="72"/>
      <c r="AK46" s="72"/>
      <c r="AM46" s="448"/>
      <c r="AN46" s="448"/>
      <c r="AO46" s="448"/>
      <c r="AP46" s="448"/>
      <c r="AQ46" s="448"/>
      <c r="AR46" s="448"/>
      <c r="AS46" s="448"/>
      <c r="AT46" s="448"/>
      <c r="AU46" s="448"/>
      <c r="AV46" s="448"/>
      <c r="AW46" s="448"/>
      <c r="AX46" s="448"/>
      <c r="AY46" s="448"/>
      <c r="AZ46" s="448"/>
      <c r="BA46" s="448"/>
      <c r="BB46" s="448"/>
      <c r="BC46" s="448"/>
      <c r="BD46" s="448"/>
      <c r="BE46" s="448"/>
      <c r="BF46" s="448"/>
      <c r="BG46" s="448"/>
      <c r="BH46" s="513" t="s">
        <v>296</v>
      </c>
      <c r="BI46" s="485" t="s">
        <v>251</v>
      </c>
      <c r="BJ46" s="498" t="s">
        <v>441</v>
      </c>
      <c r="BK46" s="448"/>
      <c r="BL46" s="448"/>
      <c r="BM46" s="448"/>
      <c r="BN46" s="448"/>
      <c r="BO46" s="448"/>
      <c r="BP46" s="448"/>
      <c r="BQ46" s="448"/>
      <c r="BR46" s="448"/>
      <c r="BS46" s="448"/>
      <c r="BT46" s="448"/>
      <c r="BU46" s="448"/>
      <c r="BV46" s="448"/>
      <c r="BW46" s="448"/>
      <c r="BX46" s="448"/>
      <c r="BY46" s="448"/>
      <c r="BZ46" s="448"/>
      <c r="CA46" s="448"/>
      <c r="CB46" s="448"/>
      <c r="CC46" s="448"/>
      <c r="CD46" s="448"/>
      <c r="CF46" s="448"/>
      <c r="CG46" s="448"/>
      <c r="CH46" s="448"/>
      <c r="CI46" s="577" t="s">
        <v>435</v>
      </c>
      <c r="CJ46" s="448"/>
      <c r="CK46" s="603">
        <v>10</v>
      </c>
      <c r="CL46" s="777"/>
      <c r="CM46" s="487" t="s">
        <v>113</v>
      </c>
      <c r="CN46" s="448"/>
      <c r="CO46" s="448"/>
      <c r="CP46" s="448"/>
      <c r="CQ46" s="448"/>
      <c r="CR46" s="448"/>
      <c r="CS46" s="448"/>
      <c r="CT46" s="448"/>
      <c r="CU46" s="448"/>
      <c r="CV46" s="448"/>
      <c r="CW46" s="448"/>
      <c r="CX46" s="448"/>
      <c r="CY46" s="448"/>
      <c r="CZ46" s="448"/>
      <c r="DA46" s="448"/>
      <c r="DB46" s="448"/>
      <c r="DC46" s="448"/>
      <c r="DD46" s="448"/>
      <c r="DE46" s="448"/>
      <c r="DF46" s="448"/>
      <c r="DG46" s="448"/>
      <c r="DH46" s="448"/>
      <c r="DI46" s="448"/>
      <c r="DJ46" s="448"/>
      <c r="DK46" s="448"/>
      <c r="DL46" s="448"/>
      <c r="DM46" s="448"/>
      <c r="DN46" s="448"/>
      <c r="DO46" s="448"/>
      <c r="DP46" s="448"/>
      <c r="DQ46" s="448"/>
      <c r="DR46" s="448"/>
      <c r="DS46" s="448"/>
      <c r="DT46" s="448"/>
      <c r="DU46" s="448"/>
      <c r="DV46" s="448"/>
      <c r="DW46" s="448"/>
      <c r="DX46" s="448"/>
      <c r="DY46" s="448"/>
      <c r="DZ46" s="448"/>
      <c r="EA46" s="448"/>
      <c r="EB46" s="448"/>
      <c r="EC46" s="448"/>
      <c r="ED46" s="448"/>
      <c r="EE46" s="448"/>
      <c r="EF46" s="448"/>
      <c r="EG46" s="448"/>
      <c r="EH46" s="448"/>
      <c r="EI46" s="448"/>
      <c r="EJ46" s="448"/>
      <c r="EK46" s="448"/>
      <c r="EL46" s="448"/>
      <c r="EM46" s="448"/>
      <c r="EN46" s="448"/>
      <c r="EO46" s="448"/>
      <c r="EP46" s="448"/>
      <c r="EQ46" s="448"/>
      <c r="ER46" s="448"/>
      <c r="ES46" s="448"/>
      <c r="ET46" s="448"/>
      <c r="EU46" s="448"/>
      <c r="EV46" s="448"/>
      <c r="EW46" s="448"/>
      <c r="EX46" s="448"/>
      <c r="EY46" s="448"/>
      <c r="EZ46" s="448"/>
      <c r="FA46" s="448"/>
      <c r="FB46" s="448"/>
      <c r="FC46" s="448"/>
      <c r="FD46" s="448"/>
      <c r="FE46" s="448"/>
      <c r="FF46" s="448"/>
      <c r="FG46" s="448"/>
      <c r="FH46" s="443"/>
      <c r="FI46" s="438"/>
      <c r="FJ46" s="438"/>
      <c r="FK46" s="438"/>
      <c r="FL46" s="438"/>
      <c r="FM46" s="438"/>
      <c r="FN46" s="438"/>
      <c r="FO46" s="438"/>
      <c r="FP46" s="438"/>
      <c r="FQ46" s="438"/>
      <c r="FR46" s="438"/>
      <c r="FS46" s="438"/>
      <c r="FT46" s="438"/>
      <c r="FU46" s="438"/>
      <c r="FV46" s="438"/>
      <c r="FW46" s="438"/>
      <c r="FX46" s="438"/>
      <c r="FY46" s="438"/>
      <c r="FZ46" s="438"/>
      <c r="GA46" s="438"/>
      <c r="GB46" s="438"/>
      <c r="GC46" s="438"/>
      <c r="GD46" s="438"/>
      <c r="GE46" s="448"/>
      <c r="GF46" s="448"/>
      <c r="GG46" s="448"/>
      <c r="GH46" s="448"/>
      <c r="GI46" s="448"/>
      <c r="GJ46" s="448"/>
      <c r="GK46" s="448"/>
      <c r="GL46" s="448"/>
      <c r="GM46" s="448"/>
      <c r="GN46" s="448"/>
      <c r="GO46" s="448"/>
      <c r="GP46" s="448"/>
      <c r="GQ46" s="448"/>
      <c r="GR46" s="448"/>
      <c r="GS46" s="448"/>
      <c r="GT46" s="448"/>
      <c r="GU46" s="448"/>
      <c r="GV46" s="448"/>
      <c r="GW46" s="448"/>
      <c r="GX46" s="448"/>
      <c r="GY46" s="448"/>
      <c r="GZ46" s="448"/>
      <c r="HA46" s="448"/>
      <c r="HB46" s="448"/>
      <c r="HC46" s="448"/>
      <c r="HD46" s="448"/>
      <c r="HE46" s="448"/>
      <c r="HF46" s="448"/>
      <c r="HG46" s="448"/>
      <c r="HH46" s="448"/>
      <c r="HI46" s="448"/>
      <c r="HJ46" s="448"/>
      <c r="HK46" s="448"/>
      <c r="HL46" s="448"/>
      <c r="HM46" s="448"/>
      <c r="HN46" s="448"/>
      <c r="HO46" s="448"/>
      <c r="HP46" s="448"/>
      <c r="HQ46" s="448"/>
      <c r="HR46" s="448"/>
      <c r="HS46" s="448"/>
      <c r="HT46" s="448"/>
      <c r="HU46" s="448"/>
      <c r="HV46" s="448"/>
      <c r="HW46" s="448"/>
      <c r="HX46" s="448" t="s">
        <v>436</v>
      </c>
      <c r="HY46" s="448"/>
      <c r="HZ46" s="448"/>
      <c r="IA46" s="546" t="e">
        <f t="shared" si="133"/>
        <v>#N/A</v>
      </c>
      <c r="IB46" s="547" t="e">
        <f t="shared" si="134"/>
        <v>#N/A</v>
      </c>
      <c r="IC46" s="448"/>
      <c r="ID46" s="448"/>
    </row>
    <row r="47" spans="2:243" ht="29.4" thickBot="1" x14ac:dyDescent="0.35">
      <c r="B47" s="260">
        <f>IF(O47=1,SUM($O$41:O47),0)</f>
        <v>0</v>
      </c>
      <c r="C47" s="254">
        <v>1</v>
      </c>
      <c r="D47" s="827" t="s">
        <v>195</v>
      </c>
      <c r="E47" s="827"/>
      <c r="F47" s="234" t="s">
        <v>106</v>
      </c>
      <c r="G47" s="235"/>
      <c r="H47" s="236"/>
      <c r="I47" s="237">
        <f>SUMIF($U14:$U$38,"Ral 9016",$HU$14:$HU$38)/100</f>
        <v>0</v>
      </c>
      <c r="J47" s="254">
        <v>0</v>
      </c>
      <c r="K47" s="254"/>
      <c r="L47" s="254">
        <f>'قائمة الأسعار'!$F$74</f>
        <v>1</v>
      </c>
      <c r="M47" s="238">
        <f t="shared" ref="M47:M61" si="195">L47*I47*J47</f>
        <v>0</v>
      </c>
      <c r="N47" s="411"/>
      <c r="O47" s="233">
        <f t="shared" ref="O47:O60" si="196">IF(M47&gt;0,1,0)</f>
        <v>0</v>
      </c>
      <c r="Q47" s="93"/>
      <c r="R47" s="564"/>
      <c r="S47" s="564"/>
      <c r="T47" s="564"/>
      <c r="U47" s="564"/>
      <c r="V47" s="564"/>
      <c r="W47" s="564"/>
      <c r="X47" s="564"/>
      <c r="Y47" s="564"/>
      <c r="Z47" s="564"/>
      <c r="AA47" s="564"/>
      <c r="AB47" s="564"/>
      <c r="AC47" s="564"/>
      <c r="AD47" s="564"/>
      <c r="AE47" s="564"/>
      <c r="AF47" s="564"/>
      <c r="AG47" s="564" t="e">
        <f>#REF!+AG45</f>
        <v>#REF!</v>
      </c>
      <c r="AH47" s="564"/>
      <c r="AI47" s="569"/>
      <c r="BH47" s="513" t="s">
        <v>295</v>
      </c>
      <c r="BI47" s="485" t="s">
        <v>255</v>
      </c>
      <c r="BJ47" s="498" t="s">
        <v>442</v>
      </c>
      <c r="CH47" s="438" t="s">
        <v>444</v>
      </c>
      <c r="CI47" s="577" t="s">
        <v>436</v>
      </c>
      <c r="CK47" s="602">
        <v>10</v>
      </c>
      <c r="CL47" s="777"/>
      <c r="CM47" s="576" t="s">
        <v>95</v>
      </c>
    </row>
    <row r="48" spans="2:243" s="71" customFormat="1" ht="25.8" thickBot="1" x14ac:dyDescent="0.4">
      <c r="B48" s="261">
        <f>IF(O48=1,SUM($O$41:O48),0)</f>
        <v>0</v>
      </c>
      <c r="C48" s="254">
        <v>2</v>
      </c>
      <c r="D48" s="827" t="s">
        <v>195</v>
      </c>
      <c r="E48" s="827"/>
      <c r="F48" s="240" t="s">
        <v>105</v>
      </c>
      <c r="G48" s="241"/>
      <c r="H48" s="242"/>
      <c r="I48" s="237">
        <f>SUMIF($U14:$U$23,"Ral 1013",$HU$14:$HU$23)/100</f>
        <v>0</v>
      </c>
      <c r="J48" s="254">
        <v>0</v>
      </c>
      <c r="K48" s="254"/>
      <c r="L48" s="254">
        <f>'قائمة الأسعار'!$F$74</f>
        <v>1</v>
      </c>
      <c r="M48" s="238">
        <f t="shared" si="195"/>
        <v>0</v>
      </c>
      <c r="N48" s="411"/>
      <c r="O48" s="239">
        <f t="shared" si="196"/>
        <v>0</v>
      </c>
      <c r="Q48" s="93"/>
      <c r="R48" s="210" t="s">
        <v>159</v>
      </c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1"/>
      <c r="AJ48" s="72"/>
      <c r="AK48" s="72"/>
      <c r="AM48" s="448"/>
      <c r="AN48" s="448"/>
      <c r="AO48" s="448"/>
      <c r="AP48" s="448"/>
      <c r="AQ48" s="448"/>
      <c r="AR48" s="448"/>
      <c r="AS48" s="448"/>
      <c r="AT48" s="448"/>
      <c r="AU48" s="448"/>
      <c r="AV48" s="448"/>
      <c r="AW48" s="448"/>
      <c r="AX48" s="448"/>
      <c r="AY48" s="448"/>
      <c r="AZ48" s="448"/>
      <c r="BA48" s="448"/>
      <c r="BB48" s="448"/>
      <c r="BC48" s="448"/>
      <c r="BD48" s="448"/>
      <c r="BE48" s="448"/>
      <c r="BF48" s="448"/>
      <c r="BG48" s="448"/>
      <c r="BH48" s="524" t="s">
        <v>158</v>
      </c>
      <c r="BI48" s="485" t="s">
        <v>405</v>
      </c>
      <c r="BJ48" s="498" t="s">
        <v>443</v>
      </c>
      <c r="BK48" s="448"/>
      <c r="BL48" s="448"/>
      <c r="BM48" s="448"/>
      <c r="BN48" s="448"/>
      <c r="BO48" s="448"/>
      <c r="BP48" s="448"/>
      <c r="BQ48" s="448"/>
      <c r="BR48" s="448"/>
      <c r="BS48" s="448"/>
      <c r="BT48" s="448"/>
      <c r="BU48" s="448"/>
      <c r="BV48" s="448"/>
      <c r="BW48" s="448"/>
      <c r="BX48" s="448"/>
      <c r="BY48" s="448"/>
      <c r="BZ48" s="448"/>
      <c r="CA48" s="448"/>
      <c r="CB48" s="448"/>
      <c r="CC48" s="448"/>
      <c r="CD48" s="448"/>
      <c r="CF48" s="448"/>
      <c r="CG48" s="448"/>
      <c r="CH48" s="448"/>
      <c r="CI48" s="577"/>
      <c r="CJ48" s="448"/>
      <c r="CK48" s="603"/>
      <c r="CL48" s="777"/>
      <c r="CM48" s="448"/>
      <c r="CN48" s="448"/>
      <c r="CO48" s="448"/>
      <c r="CP48" s="448"/>
      <c r="CQ48" s="448"/>
      <c r="CR48" s="448"/>
      <c r="CS48" s="448"/>
      <c r="CT48" s="448"/>
      <c r="CU48" s="448"/>
      <c r="CV48" s="448"/>
      <c r="CW48" s="448"/>
      <c r="CX48" s="448"/>
      <c r="CY48" s="448"/>
      <c r="CZ48" s="448"/>
      <c r="DA48" s="448"/>
      <c r="DB48" s="448"/>
      <c r="DC48" s="448"/>
      <c r="DD48" s="448"/>
      <c r="DE48" s="448"/>
      <c r="DF48" s="448"/>
      <c r="DG48" s="448"/>
      <c r="DH48" s="448"/>
      <c r="DI48" s="448"/>
      <c r="DJ48" s="448"/>
      <c r="DK48" s="448"/>
      <c r="DL48" s="448"/>
      <c r="DM48" s="448"/>
      <c r="DN48" s="448"/>
      <c r="DO48" s="448"/>
      <c r="DP48" s="448"/>
      <c r="DQ48" s="448"/>
      <c r="DR48" s="448"/>
      <c r="DS48" s="448"/>
      <c r="DT48" s="448"/>
      <c r="DU48" s="448"/>
      <c r="DV48" s="448"/>
      <c r="DW48" s="448"/>
      <c r="DX48" s="448"/>
      <c r="DY48" s="448"/>
      <c r="DZ48" s="448"/>
      <c r="EA48" s="448"/>
      <c r="EB48" s="448"/>
      <c r="EC48" s="448"/>
      <c r="ED48" s="448"/>
      <c r="EE48" s="448"/>
      <c r="EF48" s="448"/>
      <c r="EG48" s="448"/>
      <c r="EH48" s="448"/>
      <c r="EI48" s="448"/>
      <c r="EJ48" s="448"/>
      <c r="EK48" s="448"/>
      <c r="EL48" s="448"/>
      <c r="EM48" s="448"/>
      <c r="EN48" s="448"/>
      <c r="EO48" s="448"/>
      <c r="EP48" s="448"/>
      <c r="EQ48" s="448"/>
      <c r="ER48" s="448"/>
      <c r="ES48" s="448"/>
      <c r="ET48" s="448"/>
      <c r="EU48" s="448"/>
      <c r="EV48" s="448"/>
      <c r="EW48" s="448"/>
      <c r="EX48" s="448"/>
      <c r="EY48" s="448"/>
      <c r="EZ48" s="448"/>
      <c r="FA48" s="448"/>
      <c r="FB48" s="448"/>
      <c r="FC48" s="448"/>
      <c r="FD48" s="448"/>
      <c r="FE48" s="448"/>
      <c r="FF48" s="448"/>
      <c r="FG48" s="448"/>
      <c r="FH48" s="443"/>
      <c r="FI48" s="438"/>
      <c r="FJ48" s="438"/>
      <c r="FK48" s="438"/>
      <c r="FL48" s="438"/>
      <c r="FM48" s="438"/>
      <c r="FN48" s="438"/>
      <c r="FO48" s="438"/>
      <c r="FP48" s="438"/>
      <c r="FQ48" s="438"/>
      <c r="FR48" s="438"/>
      <c r="FS48" s="438"/>
      <c r="FT48" s="438"/>
      <c r="FU48" s="438"/>
      <c r="FV48" s="438"/>
      <c r="FW48" s="438"/>
      <c r="FX48" s="438"/>
      <c r="FY48" s="438"/>
      <c r="FZ48" s="438"/>
      <c r="GA48" s="438"/>
      <c r="GB48" s="438"/>
      <c r="GC48" s="438"/>
      <c r="GD48" s="438"/>
      <c r="GE48" s="448"/>
      <c r="GF48" s="448"/>
      <c r="GG48" s="448"/>
      <c r="GH48" s="448"/>
      <c r="GI48" s="448"/>
      <c r="GJ48" s="448"/>
      <c r="GK48" s="448"/>
      <c r="GL48" s="448"/>
      <c r="GM48" s="448"/>
      <c r="GN48" s="448"/>
      <c r="GO48" s="448"/>
      <c r="GP48" s="448"/>
      <c r="GQ48" s="448"/>
      <c r="GR48" s="448"/>
      <c r="GS48" s="448"/>
      <c r="GT48" s="448"/>
      <c r="GU48" s="448"/>
      <c r="GV48" s="448"/>
      <c r="GW48" s="448"/>
      <c r="GX48" s="448"/>
      <c r="GY48" s="448"/>
      <c r="GZ48" s="448"/>
      <c r="HA48" s="448"/>
      <c r="HB48" s="448"/>
      <c r="HC48" s="448"/>
      <c r="HD48" s="448"/>
      <c r="HE48" s="448"/>
      <c r="HF48" s="448"/>
      <c r="HG48" s="448"/>
      <c r="HH48" s="448"/>
      <c r="HI48" s="448"/>
      <c r="HJ48" s="448"/>
      <c r="HK48" s="448"/>
      <c r="HL48" s="448"/>
      <c r="HM48" s="448"/>
      <c r="HN48" s="448"/>
      <c r="HO48" s="448"/>
      <c r="HP48" s="448"/>
      <c r="HQ48" s="448"/>
      <c r="HR48" s="448"/>
      <c r="HS48" s="448"/>
      <c r="HT48" s="448"/>
      <c r="HU48" s="448"/>
      <c r="HV48" s="448"/>
      <c r="HW48" s="448"/>
      <c r="HX48" s="448"/>
      <c r="HY48" s="448"/>
      <c r="HZ48" s="448"/>
      <c r="IA48" s="448"/>
      <c r="IB48" s="448"/>
      <c r="IC48" s="448"/>
      <c r="ID48" s="448"/>
    </row>
    <row r="49" spans="1:238" s="71" customFormat="1" ht="25.2" thickBot="1" x14ac:dyDescent="0.35">
      <c r="B49" s="261">
        <f>IF(O49=1,SUM($O$41:O49),0)</f>
        <v>0</v>
      </c>
      <c r="C49" s="254">
        <v>3</v>
      </c>
      <c r="D49" s="827" t="s">
        <v>195</v>
      </c>
      <c r="E49" s="827"/>
      <c r="F49" s="240" t="s">
        <v>107</v>
      </c>
      <c r="G49" s="241"/>
      <c r="H49" s="242"/>
      <c r="I49" s="237">
        <f>SUMIF($U14:$U$23,"Ral 1015",$HU$14:$HU$23)/100</f>
        <v>0</v>
      </c>
      <c r="J49" s="254">
        <v>0</v>
      </c>
      <c r="K49" s="254"/>
      <c r="L49" s="254">
        <f>'قائمة الأسعار'!$F$74</f>
        <v>1</v>
      </c>
      <c r="M49" s="238">
        <f t="shared" si="195"/>
        <v>0</v>
      </c>
      <c r="N49" s="411"/>
      <c r="O49" s="239">
        <f t="shared" si="196"/>
        <v>0</v>
      </c>
      <c r="Q49" s="93"/>
      <c r="R49" s="818"/>
      <c r="S49" s="818"/>
      <c r="T49" s="818"/>
      <c r="U49" s="818"/>
      <c r="V49" s="818"/>
      <c r="W49" s="818"/>
      <c r="X49" s="818"/>
      <c r="Y49" s="818"/>
      <c r="Z49" s="818"/>
      <c r="AA49" s="818"/>
      <c r="AB49" s="818"/>
      <c r="AC49" s="818"/>
      <c r="AD49" s="818"/>
      <c r="AE49" s="818"/>
      <c r="AF49" s="818"/>
      <c r="AG49" s="818"/>
      <c r="AH49" s="818"/>
      <c r="AI49" s="819"/>
      <c r="AJ49" s="72"/>
      <c r="AK49" s="72"/>
      <c r="AM49" s="448"/>
      <c r="AN49" s="448"/>
      <c r="AO49" s="448"/>
      <c r="AP49" s="448"/>
      <c r="AQ49" s="448"/>
      <c r="AR49" s="448"/>
      <c r="AS49" s="448"/>
      <c r="AT49" s="448"/>
      <c r="AU49" s="448"/>
      <c r="AV49" s="448"/>
      <c r="AW49" s="448"/>
      <c r="AX49" s="448"/>
      <c r="AY49" s="448"/>
      <c r="AZ49" s="448"/>
      <c r="BA49" s="448"/>
      <c r="BB49" s="448"/>
      <c r="BC49" s="448"/>
      <c r="BD49" s="448"/>
      <c r="BE49" s="448"/>
      <c r="BF49" s="448"/>
      <c r="BG49" s="448"/>
      <c r="BH49" s="524" t="s">
        <v>128</v>
      </c>
      <c r="BI49" s="535"/>
      <c r="BJ49" s="734" t="s">
        <v>562</v>
      </c>
      <c r="BK49" s="448"/>
      <c r="BL49" s="448"/>
      <c r="BM49" s="448"/>
      <c r="BN49" s="448"/>
      <c r="BO49" s="448"/>
      <c r="BP49" s="448"/>
      <c r="BQ49" s="448"/>
      <c r="BR49" s="448"/>
      <c r="BS49" s="448"/>
      <c r="BT49" s="448"/>
      <c r="BU49" s="448"/>
      <c r="BV49" s="448"/>
      <c r="BW49" s="448"/>
      <c r="BX49" s="448"/>
      <c r="BY49" s="448"/>
      <c r="BZ49" s="448"/>
      <c r="CA49" s="448"/>
      <c r="CB49" s="448"/>
      <c r="CC49" s="448"/>
      <c r="CD49" s="448"/>
      <c r="CE49" s="448"/>
      <c r="CF49" s="448"/>
      <c r="CG49" s="448"/>
      <c r="CH49" s="448"/>
      <c r="CI49" s="577"/>
      <c r="CJ49" s="448"/>
      <c r="CK49" s="603"/>
      <c r="CL49" s="777"/>
      <c r="CM49" s="448"/>
      <c r="CN49" s="448">
        <f>IF(W15&lt;=126,18,IF(AND(W15&gt;126,W15&lt;=167),20,IF(AND(W15&gt;167,W15&lt;=219),22.5,IF(AND(W15&gt;219,W15&lt;=297),25,30))))</f>
        <v>20</v>
      </c>
      <c r="CO49" s="448"/>
      <c r="CP49" s="448"/>
      <c r="CQ49" s="448"/>
      <c r="CR49" s="448"/>
      <c r="CS49" s="448"/>
      <c r="CT49" s="448"/>
      <c r="CU49" s="448"/>
      <c r="CV49" s="448"/>
      <c r="CW49" s="448"/>
      <c r="CX49" s="448"/>
      <c r="CY49" s="448"/>
      <c r="CZ49" s="448"/>
      <c r="DA49" s="448"/>
      <c r="DB49" s="448"/>
      <c r="DC49" s="448"/>
      <c r="DD49" s="448"/>
      <c r="DE49" s="448"/>
      <c r="DF49" s="448"/>
      <c r="DG49" s="448"/>
      <c r="DH49" s="448"/>
      <c r="DI49" s="448"/>
      <c r="DJ49" s="448"/>
      <c r="DK49" s="448"/>
      <c r="DL49" s="448"/>
      <c r="DM49" s="448"/>
      <c r="DN49" s="448"/>
      <c r="DO49" s="448"/>
      <c r="DP49" s="448"/>
      <c r="DQ49" s="448"/>
      <c r="DR49" s="448"/>
      <c r="DS49" s="448"/>
      <c r="DT49" s="448"/>
      <c r="DU49" s="448"/>
      <c r="DV49" s="448"/>
      <c r="DW49" s="448"/>
      <c r="DX49" s="448"/>
      <c r="DY49" s="448"/>
      <c r="DZ49" s="448"/>
      <c r="EA49" s="448"/>
      <c r="EB49" s="448"/>
      <c r="EC49" s="448"/>
      <c r="ED49" s="448"/>
      <c r="EE49" s="448"/>
      <c r="EF49" s="448"/>
      <c r="EG49" s="448"/>
      <c r="EH49" s="448"/>
      <c r="EI49" s="448"/>
      <c r="EJ49" s="448"/>
      <c r="EK49" s="448"/>
      <c r="EL49" s="448"/>
      <c r="EM49" s="448"/>
      <c r="EN49" s="448"/>
      <c r="EO49" s="448"/>
      <c r="EP49" s="448"/>
      <c r="EQ49" s="448"/>
      <c r="ER49" s="448"/>
      <c r="ES49" s="448"/>
      <c r="ET49" s="448"/>
      <c r="EU49" s="448"/>
      <c r="EV49" s="448"/>
      <c r="EW49" s="448"/>
      <c r="EX49" s="448"/>
      <c r="EY49" s="448"/>
      <c r="EZ49" s="448"/>
      <c r="FA49" s="448"/>
      <c r="FB49" s="448"/>
      <c r="FC49" s="448"/>
      <c r="FD49" s="448"/>
      <c r="FE49" s="448"/>
      <c r="FF49" s="448"/>
      <c r="FG49" s="448"/>
      <c r="FH49" s="538"/>
      <c r="FI49" s="448"/>
      <c r="FJ49" s="448"/>
      <c r="FK49" s="448"/>
      <c r="FL49" s="448"/>
      <c r="FM49" s="448"/>
      <c r="FN49" s="448"/>
      <c r="FO49" s="448"/>
      <c r="FP49" s="448"/>
      <c r="FQ49" s="448"/>
      <c r="FR49" s="448"/>
      <c r="FS49" s="448"/>
      <c r="FT49" s="448"/>
      <c r="FU49" s="448"/>
      <c r="FV49" s="448"/>
      <c r="FW49" s="448"/>
      <c r="FX49" s="448"/>
      <c r="FY49" s="448"/>
      <c r="FZ49" s="448"/>
      <c r="GA49" s="448"/>
      <c r="GB49" s="448"/>
      <c r="GC49" s="448"/>
      <c r="GD49" s="448"/>
      <c r="GE49" s="448"/>
      <c r="GF49" s="448"/>
      <c r="GG49" s="448"/>
      <c r="GH49" s="448"/>
      <c r="GI49" s="448"/>
      <c r="GJ49" s="448"/>
      <c r="GK49" s="448"/>
      <c r="GL49" s="448"/>
      <c r="GM49" s="448"/>
      <c r="GN49" s="448"/>
      <c r="GO49" s="448"/>
      <c r="GP49" s="448"/>
      <c r="GQ49" s="448"/>
      <c r="GR49" s="448"/>
      <c r="GS49" s="448"/>
      <c r="GT49" s="448"/>
      <c r="GU49" s="448"/>
      <c r="GV49" s="448"/>
      <c r="GW49" s="448"/>
      <c r="GX49" s="448"/>
      <c r="GY49" s="448"/>
      <c r="GZ49" s="448"/>
      <c r="HA49" s="448"/>
      <c r="HB49" s="448"/>
      <c r="HC49" s="448"/>
      <c r="HD49" s="448"/>
      <c r="HE49" s="448"/>
      <c r="HF49" s="448"/>
      <c r="HG49" s="448"/>
      <c r="HH49" s="448"/>
      <c r="HI49" s="448"/>
      <c r="HJ49" s="448"/>
      <c r="HK49" s="448"/>
      <c r="HL49" s="448"/>
      <c r="HM49" s="448"/>
      <c r="HN49" s="448"/>
      <c r="HO49" s="448"/>
      <c r="HP49" s="448"/>
      <c r="HQ49" s="448"/>
      <c r="HR49" s="448"/>
      <c r="HS49" s="448"/>
      <c r="HT49" s="448"/>
      <c r="HU49" s="448"/>
      <c r="HV49" s="448"/>
      <c r="HW49" s="448"/>
      <c r="HX49" s="448"/>
      <c r="HY49" s="448"/>
      <c r="HZ49" s="448"/>
      <c r="IA49" s="448"/>
      <c r="IB49" s="448"/>
      <c r="IC49" s="448"/>
      <c r="ID49" s="448"/>
    </row>
    <row r="50" spans="1:238" s="71" customFormat="1" ht="18" x14ac:dyDescent="0.3">
      <c r="B50" s="261">
        <f>IF(O50=1,SUM($O$41:O50),0)</f>
        <v>0</v>
      </c>
      <c r="C50" s="254">
        <v>4</v>
      </c>
      <c r="D50" s="827" t="s">
        <v>195</v>
      </c>
      <c r="E50" s="827"/>
      <c r="F50" s="240" t="s">
        <v>149</v>
      </c>
      <c r="G50" s="241"/>
      <c r="H50" s="242"/>
      <c r="I50" s="237">
        <f>SUMIF($U14:$U$23,"Mill Finish",$HU$14:$HU$23)/100</f>
        <v>0</v>
      </c>
      <c r="J50" s="254">
        <v>0</v>
      </c>
      <c r="K50" s="254"/>
      <c r="L50" s="254">
        <f>'قائمة الأسعار'!$F$74</f>
        <v>1</v>
      </c>
      <c r="M50" s="238">
        <f t="shared" si="195"/>
        <v>0</v>
      </c>
      <c r="N50" s="411"/>
      <c r="O50" s="239">
        <f t="shared" si="196"/>
        <v>0</v>
      </c>
      <c r="Q50" s="93"/>
      <c r="R50" s="818"/>
      <c r="S50" s="818"/>
      <c r="T50" s="818"/>
      <c r="U50" s="818"/>
      <c r="V50" s="818"/>
      <c r="W50" s="818"/>
      <c r="X50" s="818"/>
      <c r="Y50" s="818"/>
      <c r="Z50" s="818"/>
      <c r="AA50" s="818"/>
      <c r="AB50" s="818"/>
      <c r="AC50" s="818"/>
      <c r="AD50" s="818"/>
      <c r="AE50" s="818"/>
      <c r="AF50" s="818"/>
      <c r="AG50" s="818"/>
      <c r="AH50" s="818"/>
      <c r="AI50" s="819"/>
      <c r="AJ50" s="72"/>
      <c r="AK50" s="72"/>
      <c r="AM50" s="448"/>
      <c r="AN50" s="448"/>
      <c r="AO50" s="448"/>
      <c r="AP50" s="448"/>
      <c r="AQ50" s="448"/>
      <c r="AR50" s="448"/>
      <c r="AS50" s="448"/>
      <c r="AT50" s="448"/>
      <c r="AU50" s="448"/>
      <c r="AV50" s="448"/>
      <c r="AW50" s="448"/>
      <c r="AX50" s="448"/>
      <c r="AY50" s="448"/>
      <c r="AZ50" s="448"/>
      <c r="BA50" s="448"/>
      <c r="BB50" s="448"/>
      <c r="BC50" s="448"/>
      <c r="BD50" s="448"/>
      <c r="BE50" s="448"/>
      <c r="BF50" s="448"/>
      <c r="BG50" s="448"/>
      <c r="BH50" s="448"/>
      <c r="BI50" s="448"/>
      <c r="BJ50" s="448"/>
      <c r="BK50" s="448"/>
      <c r="BL50" s="448"/>
      <c r="BM50" s="448"/>
      <c r="BN50" s="448"/>
      <c r="BO50" s="448"/>
      <c r="BP50" s="448"/>
      <c r="BQ50" s="448"/>
      <c r="BR50" s="448"/>
      <c r="BS50" s="448"/>
      <c r="BT50" s="448"/>
      <c r="BU50" s="448"/>
      <c r="BV50" s="448"/>
      <c r="BW50" s="448"/>
      <c r="BX50" s="448"/>
      <c r="BY50" s="448"/>
      <c r="BZ50" s="448"/>
      <c r="CA50" s="448"/>
      <c r="CB50" s="448"/>
      <c r="CC50" s="448"/>
      <c r="CD50" s="448"/>
      <c r="CE50" s="448"/>
      <c r="CF50" s="448"/>
      <c r="CG50" s="448"/>
      <c r="CH50" s="448"/>
      <c r="CI50" s="448"/>
      <c r="CJ50" s="448"/>
      <c r="CK50" s="448"/>
      <c r="CL50" s="777"/>
      <c r="CM50" s="448"/>
      <c r="CN50" s="448"/>
      <c r="CO50" s="448"/>
      <c r="CP50" s="448"/>
      <c r="CQ50" s="448"/>
      <c r="CR50" s="448"/>
      <c r="CS50" s="448"/>
      <c r="CT50" s="448"/>
      <c r="CU50" s="448"/>
      <c r="CV50" s="448"/>
      <c r="CW50" s="448"/>
      <c r="CX50" s="448"/>
      <c r="CY50" s="448"/>
      <c r="CZ50" s="448"/>
      <c r="DA50" s="448"/>
      <c r="DB50" s="448"/>
      <c r="DC50" s="448"/>
      <c r="DD50" s="448"/>
      <c r="DE50" s="448"/>
      <c r="DF50" s="448"/>
      <c r="DG50" s="448"/>
      <c r="DH50" s="448"/>
      <c r="DI50" s="448"/>
      <c r="DJ50" s="448"/>
      <c r="DK50" s="448"/>
      <c r="DL50" s="448"/>
      <c r="DM50" s="448"/>
      <c r="DN50" s="448"/>
      <c r="DO50" s="448"/>
      <c r="DP50" s="448"/>
      <c r="DQ50" s="448"/>
      <c r="DR50" s="448"/>
      <c r="DS50" s="448"/>
      <c r="DT50" s="448"/>
      <c r="DU50" s="448"/>
      <c r="DV50" s="448"/>
      <c r="DW50" s="448"/>
      <c r="DX50" s="448"/>
      <c r="DY50" s="448"/>
      <c r="DZ50" s="448"/>
      <c r="EA50" s="448"/>
      <c r="EB50" s="448"/>
      <c r="EC50" s="448"/>
      <c r="ED50" s="448"/>
      <c r="EE50" s="448"/>
      <c r="EF50" s="448"/>
      <c r="EG50" s="448"/>
      <c r="EH50" s="448"/>
      <c r="EI50" s="448"/>
      <c r="EJ50" s="448"/>
      <c r="EK50" s="448"/>
      <c r="EL50" s="448"/>
      <c r="EM50" s="448"/>
      <c r="EN50" s="448"/>
      <c r="EO50" s="448"/>
      <c r="EP50" s="448"/>
      <c r="EQ50" s="448"/>
      <c r="ER50" s="448"/>
      <c r="ES50" s="448"/>
      <c r="ET50" s="448"/>
      <c r="EU50" s="448"/>
      <c r="EV50" s="448"/>
      <c r="EW50" s="448"/>
      <c r="EX50" s="448"/>
      <c r="EY50" s="448"/>
      <c r="EZ50" s="448"/>
      <c r="FA50" s="448"/>
      <c r="FB50" s="448"/>
      <c r="FC50" s="448"/>
      <c r="FD50" s="448"/>
      <c r="FE50" s="448"/>
      <c r="FF50" s="448"/>
      <c r="FG50" s="448"/>
      <c r="FH50" s="538"/>
      <c r="FI50" s="448"/>
      <c r="FJ50" s="448"/>
      <c r="FK50" s="448"/>
      <c r="FL50" s="448"/>
      <c r="FM50" s="448"/>
      <c r="FN50" s="448"/>
      <c r="FO50" s="448"/>
      <c r="FP50" s="448"/>
      <c r="FQ50" s="448"/>
      <c r="FR50" s="448"/>
      <c r="FS50" s="448"/>
      <c r="FT50" s="448"/>
      <c r="FU50" s="448"/>
      <c r="FV50" s="448"/>
      <c r="FW50" s="448"/>
      <c r="FX50" s="448"/>
      <c r="FY50" s="448"/>
      <c r="FZ50" s="448"/>
      <c r="GA50" s="448"/>
      <c r="GB50" s="448"/>
      <c r="GC50" s="448"/>
      <c r="GD50" s="448"/>
      <c r="GE50" s="448"/>
      <c r="GF50" s="448"/>
      <c r="GG50" s="448"/>
      <c r="GH50" s="448"/>
      <c r="GI50" s="448"/>
      <c r="GJ50" s="448"/>
      <c r="GK50" s="448"/>
      <c r="GL50" s="448"/>
      <c r="GM50" s="448"/>
      <c r="GN50" s="448"/>
      <c r="GO50" s="448"/>
      <c r="GP50" s="448"/>
      <c r="GQ50" s="448"/>
      <c r="GR50" s="448"/>
      <c r="GS50" s="448"/>
      <c r="GT50" s="448"/>
      <c r="GU50" s="448"/>
      <c r="GV50" s="448"/>
      <c r="GW50" s="448"/>
      <c r="GX50" s="448"/>
      <c r="GY50" s="448"/>
      <c r="GZ50" s="448"/>
      <c r="HA50" s="448"/>
      <c r="HB50" s="448"/>
      <c r="HC50" s="448"/>
      <c r="HD50" s="448"/>
      <c r="HE50" s="448"/>
      <c r="HF50" s="448"/>
      <c r="HG50" s="448"/>
      <c r="HH50" s="448"/>
      <c r="HI50" s="448"/>
      <c r="HJ50" s="448"/>
      <c r="HK50" s="448"/>
      <c r="HL50" s="448"/>
      <c r="HM50" s="448"/>
      <c r="HN50" s="448"/>
      <c r="HO50" s="448"/>
      <c r="HP50" s="448"/>
      <c r="HQ50" s="448"/>
      <c r="HR50" s="448"/>
      <c r="HS50" s="448"/>
      <c r="HT50" s="448"/>
      <c r="HU50" s="448"/>
      <c r="HV50" s="448"/>
      <c r="HW50" s="448"/>
      <c r="HX50" s="448"/>
      <c r="HY50" s="448"/>
      <c r="HZ50" s="448"/>
      <c r="IA50" s="448"/>
      <c r="IB50" s="448"/>
      <c r="IC50" s="448"/>
      <c r="ID50" s="448"/>
    </row>
    <row r="51" spans="1:238" s="71" customFormat="1" ht="18" x14ac:dyDescent="0.3">
      <c r="B51" s="261">
        <f>IF(O51=1,SUM($O$41:O51),0)</f>
        <v>0</v>
      </c>
      <c r="C51" s="254">
        <v>5</v>
      </c>
      <c r="D51" s="827" t="s">
        <v>195</v>
      </c>
      <c r="E51" s="827"/>
      <c r="F51" s="243" t="s">
        <v>143</v>
      </c>
      <c r="G51" s="241"/>
      <c r="H51" s="242"/>
      <c r="I51" s="237">
        <f>SUMIF($U14:$U$23,"لون خاص",$HU$14:$HU$23)/100</f>
        <v>0</v>
      </c>
      <c r="J51" s="254">
        <v>0</v>
      </c>
      <c r="K51" s="254"/>
      <c r="L51" s="254">
        <f>'قائمة الأسعار'!$F$74*1.2</f>
        <v>1.2</v>
      </c>
      <c r="M51" s="238">
        <f t="shared" si="195"/>
        <v>0</v>
      </c>
      <c r="N51" s="411"/>
      <c r="O51" s="239">
        <f t="shared" si="196"/>
        <v>0</v>
      </c>
      <c r="Q51" s="93"/>
      <c r="R51" s="818"/>
      <c r="S51" s="818"/>
      <c r="T51" s="818"/>
      <c r="U51" s="818"/>
      <c r="V51" s="818"/>
      <c r="W51" s="818"/>
      <c r="X51" s="818"/>
      <c r="Y51" s="818"/>
      <c r="Z51" s="818"/>
      <c r="AA51" s="818"/>
      <c r="AB51" s="818"/>
      <c r="AC51" s="818"/>
      <c r="AD51" s="818"/>
      <c r="AE51" s="818"/>
      <c r="AF51" s="818"/>
      <c r="AG51" s="818"/>
      <c r="AH51" s="818"/>
      <c r="AI51" s="819"/>
      <c r="AJ51" s="72"/>
      <c r="AK51" s="72"/>
      <c r="AM51" s="448"/>
      <c r="AN51" s="448"/>
      <c r="AO51" s="448"/>
      <c r="AP51" s="448"/>
      <c r="AQ51" s="448"/>
      <c r="AR51" s="448"/>
      <c r="AS51" s="448"/>
      <c r="AT51" s="448"/>
      <c r="AU51" s="448"/>
      <c r="AV51" s="448"/>
      <c r="AW51" s="448"/>
      <c r="AX51" s="448"/>
      <c r="AY51" s="448"/>
      <c r="AZ51" s="448"/>
      <c r="BA51" s="448"/>
      <c r="BB51" s="448"/>
      <c r="BC51" s="448"/>
      <c r="BD51" s="448"/>
      <c r="BE51" s="448"/>
      <c r="BF51" s="448"/>
      <c r="BG51" s="448"/>
      <c r="BH51" s="448"/>
      <c r="BI51" s="448"/>
      <c r="BJ51" s="448"/>
      <c r="BK51" s="448"/>
      <c r="BL51" s="448"/>
      <c r="BM51" s="448"/>
      <c r="BN51" s="448"/>
      <c r="BO51" s="448"/>
      <c r="BP51" s="448"/>
      <c r="BQ51" s="448"/>
      <c r="BR51" s="448"/>
      <c r="BS51" s="448"/>
      <c r="BT51" s="448"/>
      <c r="BU51" s="448"/>
      <c r="BV51" s="448"/>
      <c r="BW51" s="448"/>
      <c r="BX51" s="448"/>
      <c r="BY51" s="448"/>
      <c r="BZ51" s="448"/>
      <c r="CA51" s="448"/>
      <c r="CB51" s="448"/>
      <c r="CC51" s="448"/>
      <c r="CD51" s="448"/>
      <c r="CE51" s="448"/>
      <c r="CF51" s="448"/>
      <c r="CG51" s="448"/>
      <c r="CH51" s="448"/>
      <c r="CI51" s="448"/>
      <c r="CJ51" s="448"/>
      <c r="CK51" s="448"/>
      <c r="CL51" s="777"/>
      <c r="CM51" s="448"/>
      <c r="CN51" s="448"/>
      <c r="CO51" s="448"/>
      <c r="CP51" s="448"/>
      <c r="CQ51" s="448"/>
      <c r="CR51" s="448"/>
      <c r="CS51" s="448"/>
      <c r="CT51" s="448"/>
      <c r="CU51" s="448"/>
      <c r="CV51" s="448"/>
      <c r="CW51" s="448"/>
      <c r="CX51" s="448"/>
      <c r="CY51" s="448"/>
      <c r="CZ51" s="448"/>
      <c r="DA51" s="448"/>
      <c r="DB51" s="448"/>
      <c r="DC51" s="448"/>
      <c r="DD51" s="448"/>
      <c r="DE51" s="448"/>
      <c r="DF51" s="448"/>
      <c r="DG51" s="448"/>
      <c r="DH51" s="448"/>
      <c r="DI51" s="448"/>
      <c r="DJ51" s="448"/>
      <c r="DK51" s="448"/>
      <c r="DL51" s="448"/>
      <c r="DM51" s="448"/>
      <c r="DN51" s="448"/>
      <c r="DO51" s="448"/>
      <c r="DP51" s="448"/>
      <c r="DQ51" s="448"/>
      <c r="DR51" s="448"/>
      <c r="DS51" s="448"/>
      <c r="DT51" s="448"/>
      <c r="DU51" s="448"/>
      <c r="DV51" s="448"/>
      <c r="DW51" s="448"/>
      <c r="DX51" s="448"/>
      <c r="DY51" s="448"/>
      <c r="DZ51" s="448"/>
      <c r="EA51" s="448"/>
      <c r="EB51" s="448"/>
      <c r="EC51" s="448"/>
      <c r="ED51" s="448"/>
      <c r="EE51" s="448"/>
      <c r="EF51" s="448"/>
      <c r="EG51" s="448"/>
      <c r="EH51" s="448"/>
      <c r="EI51" s="448"/>
      <c r="EJ51" s="448"/>
      <c r="EK51" s="448"/>
      <c r="EL51" s="448"/>
      <c r="EM51" s="448"/>
      <c r="EN51" s="448"/>
      <c r="EO51" s="448"/>
      <c r="EP51" s="448"/>
      <c r="EQ51" s="448"/>
      <c r="ER51" s="448"/>
      <c r="ES51" s="448"/>
      <c r="ET51" s="448"/>
      <c r="EU51" s="448"/>
      <c r="EV51" s="448"/>
      <c r="EW51" s="448"/>
      <c r="EX51" s="448"/>
      <c r="EY51" s="448"/>
      <c r="EZ51" s="448"/>
      <c r="FA51" s="448"/>
      <c r="FB51" s="448"/>
      <c r="FC51" s="448"/>
      <c r="FD51" s="448"/>
      <c r="FE51" s="448"/>
      <c r="FF51" s="448"/>
      <c r="FG51" s="448"/>
      <c r="FH51" s="538"/>
      <c r="FI51" s="448"/>
      <c r="FJ51" s="448"/>
      <c r="FK51" s="448"/>
      <c r="FL51" s="448"/>
      <c r="FM51" s="448"/>
      <c r="FN51" s="448"/>
      <c r="FO51" s="448"/>
      <c r="FP51" s="448"/>
      <c r="FQ51" s="448"/>
      <c r="FR51" s="448"/>
      <c r="FS51" s="448"/>
      <c r="FT51" s="448"/>
      <c r="FU51" s="448"/>
      <c r="FV51" s="448"/>
      <c r="FW51" s="448"/>
      <c r="FX51" s="448"/>
      <c r="FY51" s="448"/>
      <c r="FZ51" s="448"/>
      <c r="GA51" s="448"/>
      <c r="GB51" s="448"/>
      <c r="GC51" s="448"/>
      <c r="GD51" s="448"/>
      <c r="GE51" s="448"/>
      <c r="GF51" s="448"/>
      <c r="GG51" s="448"/>
      <c r="GH51" s="448"/>
      <c r="GI51" s="448"/>
      <c r="GJ51" s="448"/>
      <c r="GK51" s="448"/>
      <c r="GL51" s="448"/>
      <c r="GM51" s="448"/>
      <c r="GN51" s="448"/>
      <c r="GO51" s="448"/>
      <c r="GP51" s="448"/>
      <c r="GQ51" s="448"/>
      <c r="GR51" s="448"/>
      <c r="GS51" s="448"/>
      <c r="GT51" s="448"/>
      <c r="GU51" s="448"/>
      <c r="GV51" s="448"/>
      <c r="GW51" s="448"/>
      <c r="GX51" s="448"/>
      <c r="GY51" s="448"/>
      <c r="GZ51" s="448"/>
      <c r="HA51" s="448"/>
      <c r="HB51" s="448"/>
      <c r="HC51" s="448"/>
      <c r="HD51" s="448"/>
      <c r="HE51" s="448"/>
      <c r="HF51" s="448"/>
      <c r="HG51" s="448"/>
      <c r="HH51" s="448"/>
      <c r="HI51" s="448"/>
      <c r="HJ51" s="448"/>
      <c r="HK51" s="448"/>
      <c r="HL51" s="448"/>
      <c r="HM51" s="448"/>
      <c r="HN51" s="448"/>
      <c r="HO51" s="448"/>
      <c r="HP51" s="448"/>
      <c r="HQ51" s="448"/>
      <c r="HR51" s="448"/>
      <c r="HS51" s="448"/>
      <c r="HT51" s="448"/>
      <c r="HU51" s="448"/>
      <c r="HV51" s="448"/>
      <c r="HW51" s="448"/>
      <c r="HX51" s="448"/>
      <c r="HY51" s="448"/>
      <c r="HZ51" s="448"/>
      <c r="IA51" s="448"/>
      <c r="IB51" s="448"/>
      <c r="IC51" s="448"/>
      <c r="ID51" s="448"/>
    </row>
    <row r="52" spans="1:238" s="73" customFormat="1" ht="18" x14ac:dyDescent="0.3">
      <c r="A52" s="276"/>
      <c r="B52" s="277">
        <f>IF(O52=1,SUM($O$41:O52),0)</f>
        <v>0</v>
      </c>
      <c r="C52" s="274">
        <v>6</v>
      </c>
      <c r="D52" s="815" t="s">
        <v>217</v>
      </c>
      <c r="E52" s="815"/>
      <c r="F52" s="278" t="s">
        <v>106</v>
      </c>
      <c r="G52" s="279"/>
      <c r="H52" s="280"/>
      <c r="I52" s="281">
        <f>SUMIFS($AY$14:$AY$38,$AW$14:$AW$38,4.5,$U$14:$U$38,"Ral 9016")/100</f>
        <v>0</v>
      </c>
      <c r="J52" s="274">
        <v>2</v>
      </c>
      <c r="K52" s="274"/>
      <c r="L52" s="274">
        <f>VLOOKUP(D52,'قائمة الأسعار'!$D$13:$F$103,3,0)</f>
        <v>1</v>
      </c>
      <c r="M52" s="282">
        <f t="shared" si="195"/>
        <v>0</v>
      </c>
      <c r="N52" s="412" t="e">
        <f>VLOOKUP(D52,'قائمة الأسعار'!$D$13:$G$103,5,0)</f>
        <v>#REF!</v>
      </c>
      <c r="O52" s="276">
        <f t="shared" si="196"/>
        <v>0</v>
      </c>
      <c r="P52" s="37"/>
      <c r="Q52" s="93"/>
      <c r="R52" s="818"/>
      <c r="S52" s="818"/>
      <c r="T52" s="818"/>
      <c r="U52" s="818"/>
      <c r="V52" s="818"/>
      <c r="W52" s="818"/>
      <c r="X52" s="818"/>
      <c r="Y52" s="818"/>
      <c r="Z52" s="818"/>
      <c r="AA52" s="818"/>
      <c r="AB52" s="818"/>
      <c r="AC52" s="818"/>
      <c r="AD52" s="818"/>
      <c r="AE52" s="818"/>
      <c r="AF52" s="818"/>
      <c r="AG52" s="818"/>
      <c r="AH52" s="818"/>
      <c r="AI52" s="819"/>
      <c r="AJ52" s="37"/>
      <c r="AK52" s="37"/>
      <c r="AL52" s="71"/>
      <c r="AM52" s="448"/>
      <c r="AN52" s="484"/>
      <c r="AO52" s="484"/>
      <c r="AP52" s="484"/>
      <c r="AQ52" s="484"/>
      <c r="AR52" s="484"/>
      <c r="AS52" s="484"/>
      <c r="AT52" s="484"/>
      <c r="AU52" s="484"/>
      <c r="AV52" s="484"/>
      <c r="AW52" s="484"/>
      <c r="AX52" s="484"/>
      <c r="AY52" s="484"/>
      <c r="AZ52" s="484"/>
      <c r="BA52" s="484"/>
      <c r="BB52" s="484"/>
      <c r="BC52" s="484"/>
      <c r="BD52" s="484"/>
      <c r="BE52" s="484"/>
      <c r="BF52" s="484"/>
      <c r="BG52" s="484"/>
      <c r="BH52" s="484"/>
      <c r="BI52" s="484"/>
      <c r="BJ52" s="484"/>
      <c r="BK52" s="484"/>
      <c r="BL52" s="484"/>
      <c r="BM52" s="484"/>
      <c r="BN52" s="484"/>
      <c r="BO52" s="484"/>
      <c r="BP52" s="484"/>
      <c r="BQ52" s="484"/>
      <c r="BR52" s="484"/>
      <c r="BS52" s="484"/>
      <c r="BT52" s="484"/>
      <c r="BU52" s="484"/>
      <c r="BV52" s="484"/>
      <c r="BW52" s="484"/>
      <c r="BX52" s="484"/>
      <c r="BY52" s="484"/>
      <c r="BZ52" s="484"/>
      <c r="CA52" s="484"/>
      <c r="CB52" s="484"/>
      <c r="CC52" s="484"/>
      <c r="CD52" s="484"/>
      <c r="CE52" s="484"/>
      <c r="CF52" s="484"/>
      <c r="CG52" s="484"/>
      <c r="CH52" s="484"/>
      <c r="CI52" s="484"/>
      <c r="CJ52" s="484"/>
      <c r="CK52" s="484"/>
      <c r="CL52" s="777"/>
      <c r="CM52" s="484"/>
      <c r="CN52" s="484"/>
      <c r="CO52" s="484"/>
      <c r="CP52" s="484"/>
      <c r="CQ52" s="484"/>
      <c r="CR52" s="484"/>
      <c r="CS52" s="484"/>
      <c r="CT52" s="484"/>
      <c r="CU52" s="484"/>
      <c r="CV52" s="484"/>
      <c r="CW52" s="484"/>
      <c r="CX52" s="484"/>
      <c r="CY52" s="484"/>
      <c r="CZ52" s="484"/>
      <c r="DA52" s="484"/>
      <c r="DB52" s="484"/>
      <c r="DC52" s="484"/>
      <c r="DD52" s="484"/>
      <c r="DE52" s="484"/>
      <c r="DF52" s="484"/>
      <c r="DG52" s="484"/>
      <c r="DH52" s="484"/>
      <c r="DI52" s="484"/>
      <c r="DJ52" s="484"/>
      <c r="DK52" s="484"/>
      <c r="DL52" s="484"/>
      <c r="DM52" s="484"/>
      <c r="DN52" s="484"/>
      <c r="DO52" s="484"/>
      <c r="DP52" s="484"/>
      <c r="DQ52" s="484"/>
      <c r="DR52" s="484"/>
      <c r="DS52" s="484"/>
      <c r="DT52" s="484"/>
      <c r="DU52" s="484"/>
      <c r="DV52" s="484"/>
      <c r="DW52" s="484"/>
      <c r="DX52" s="484"/>
      <c r="DY52" s="484"/>
      <c r="DZ52" s="484"/>
      <c r="EA52" s="484"/>
      <c r="EB52" s="484"/>
      <c r="EC52" s="484"/>
      <c r="ED52" s="484"/>
      <c r="EE52" s="484"/>
      <c r="EF52" s="484"/>
      <c r="EG52" s="484"/>
      <c r="EH52" s="484"/>
      <c r="EI52" s="484"/>
      <c r="EJ52" s="484"/>
      <c r="EK52" s="484"/>
      <c r="EL52" s="484"/>
      <c r="EM52" s="484"/>
      <c r="EN52" s="484"/>
      <c r="EO52" s="484"/>
      <c r="EP52" s="484"/>
      <c r="EQ52" s="484"/>
      <c r="ER52" s="484"/>
      <c r="ES52" s="484"/>
      <c r="ET52" s="484"/>
      <c r="EU52" s="484"/>
      <c r="EV52" s="484"/>
      <c r="EW52" s="484"/>
      <c r="EX52" s="484"/>
      <c r="EY52" s="484"/>
      <c r="EZ52" s="484"/>
      <c r="FA52" s="484"/>
      <c r="FB52" s="484"/>
      <c r="FC52" s="484"/>
      <c r="FD52" s="484"/>
      <c r="FE52" s="484"/>
      <c r="FF52" s="484"/>
      <c r="FG52" s="484"/>
      <c r="FH52" s="539"/>
      <c r="FI52" s="484"/>
      <c r="FJ52" s="484"/>
      <c r="FK52" s="484"/>
      <c r="FL52" s="484"/>
      <c r="FM52" s="484"/>
      <c r="FN52" s="484"/>
      <c r="FO52" s="484"/>
      <c r="FP52" s="484"/>
      <c r="FQ52" s="484"/>
      <c r="FR52" s="484"/>
      <c r="FS52" s="484"/>
      <c r="FT52" s="484"/>
      <c r="FU52" s="484"/>
      <c r="FV52" s="484"/>
      <c r="FW52" s="484"/>
      <c r="FX52" s="484"/>
      <c r="FY52" s="484"/>
      <c r="FZ52" s="484"/>
      <c r="GA52" s="484"/>
      <c r="GB52" s="484"/>
      <c r="GC52" s="484"/>
      <c r="GD52" s="484"/>
      <c r="GE52" s="484"/>
      <c r="GF52" s="484"/>
      <c r="GG52" s="484"/>
      <c r="GH52" s="484"/>
      <c r="GI52" s="484"/>
      <c r="GJ52" s="484"/>
      <c r="GK52" s="484"/>
      <c r="GL52" s="484"/>
      <c r="GM52" s="484"/>
      <c r="GN52" s="484"/>
      <c r="GO52" s="484"/>
      <c r="GP52" s="484"/>
      <c r="GQ52" s="484"/>
      <c r="GR52" s="484"/>
      <c r="GS52" s="484"/>
      <c r="GT52" s="484"/>
      <c r="GU52" s="484"/>
      <c r="GV52" s="484"/>
      <c r="GW52" s="484"/>
      <c r="GX52" s="484"/>
      <c r="GY52" s="484"/>
      <c r="GZ52" s="484"/>
      <c r="HA52" s="484"/>
      <c r="HB52" s="484"/>
      <c r="HC52" s="484"/>
      <c r="HD52" s="484"/>
      <c r="HE52" s="484"/>
      <c r="HF52" s="484"/>
      <c r="HG52" s="484"/>
      <c r="HH52" s="484"/>
      <c r="HI52" s="484"/>
      <c r="HJ52" s="484"/>
      <c r="HK52" s="484"/>
      <c r="HL52" s="484"/>
      <c r="HM52" s="484"/>
      <c r="HN52" s="484"/>
      <c r="HO52" s="484"/>
      <c r="HP52" s="484"/>
      <c r="HQ52" s="484"/>
      <c r="HR52" s="484"/>
      <c r="HS52" s="484"/>
      <c r="HT52" s="484"/>
      <c r="HU52" s="484"/>
      <c r="HV52" s="484"/>
      <c r="HW52" s="484"/>
      <c r="HX52" s="484"/>
      <c r="HY52" s="484"/>
      <c r="HZ52" s="484"/>
      <c r="IA52" s="484"/>
      <c r="IB52" s="484"/>
      <c r="IC52" s="484"/>
      <c r="ID52" s="484"/>
    </row>
    <row r="53" spans="1:238" s="40" customFormat="1" ht="18" x14ac:dyDescent="0.35">
      <c r="A53" s="275"/>
      <c r="B53" s="283">
        <f>IF(O53=1,SUM($O$41:O53),0)</f>
        <v>0</v>
      </c>
      <c r="C53" s="274">
        <v>7</v>
      </c>
      <c r="D53" s="815" t="s">
        <v>217</v>
      </c>
      <c r="E53" s="815"/>
      <c r="F53" s="284" t="s">
        <v>105</v>
      </c>
      <c r="G53" s="285"/>
      <c r="H53" s="286"/>
      <c r="I53" s="281">
        <f>SUMIFS($AY$14:$AY$38,$AW$14:$AW$38,4.5,$U$14:$U$38,"Ral 1013")/100</f>
        <v>0</v>
      </c>
      <c r="J53" s="274">
        <v>2</v>
      </c>
      <c r="K53" s="274"/>
      <c r="L53" s="274">
        <f>VLOOKUP(D53,'قائمة الأسعار'!$D$13:$F$103,3,0)</f>
        <v>1</v>
      </c>
      <c r="M53" s="282">
        <f t="shared" si="195"/>
        <v>0</v>
      </c>
      <c r="N53" s="412" t="e">
        <f>VLOOKUP(D53,'قائمة الأسعار'!$D$13:$G$103,5,0)</f>
        <v>#REF!</v>
      </c>
      <c r="O53" s="275">
        <f t="shared" si="196"/>
        <v>0</v>
      </c>
      <c r="P53" s="37"/>
      <c r="Q53" s="37"/>
      <c r="AF53" s="187"/>
      <c r="AG53" s="187"/>
      <c r="AH53" s="187"/>
      <c r="AI53" s="187"/>
      <c r="AJ53" s="37"/>
      <c r="AK53" s="37"/>
      <c r="AL53" s="37"/>
      <c r="AM53" s="438"/>
      <c r="AN53" s="485"/>
      <c r="AO53" s="485"/>
      <c r="AP53" s="485"/>
      <c r="AQ53" s="485"/>
      <c r="AR53" s="485"/>
      <c r="AS53" s="485"/>
      <c r="AT53" s="485"/>
      <c r="AU53" s="485"/>
      <c r="AV53" s="485"/>
      <c r="AW53" s="485"/>
      <c r="AX53" s="485"/>
      <c r="AY53" s="485"/>
      <c r="AZ53" s="485"/>
      <c r="BA53" s="485"/>
      <c r="BB53" s="485"/>
      <c r="BC53" s="485"/>
      <c r="BD53" s="485"/>
      <c r="BE53" s="485"/>
      <c r="BF53" s="485"/>
      <c r="BG53" s="485"/>
      <c r="BH53" s="485"/>
      <c r="BI53" s="485"/>
      <c r="BJ53" s="485"/>
      <c r="BK53" s="485"/>
      <c r="BL53" s="485"/>
      <c r="BM53" s="485"/>
      <c r="BN53" s="485"/>
      <c r="BO53" s="485"/>
      <c r="BP53" s="485"/>
      <c r="BQ53" s="485"/>
      <c r="BR53" s="485"/>
      <c r="BS53" s="485"/>
      <c r="BT53" s="485"/>
      <c r="BU53" s="485"/>
      <c r="BV53" s="485"/>
      <c r="BW53" s="485"/>
      <c r="BX53" s="485"/>
      <c r="BY53" s="485"/>
      <c r="BZ53" s="485"/>
      <c r="CA53" s="485"/>
      <c r="CB53" s="485"/>
      <c r="CC53" s="485"/>
      <c r="CD53" s="485"/>
      <c r="CE53" s="485"/>
      <c r="CF53" s="485"/>
      <c r="CG53" s="485"/>
      <c r="CH53" s="485"/>
      <c r="CI53" s="485"/>
      <c r="CJ53" s="485"/>
      <c r="CK53" s="485"/>
      <c r="CL53" s="777"/>
      <c r="CM53" s="485"/>
      <c r="CN53" s="485"/>
      <c r="CO53" s="485"/>
      <c r="CP53" s="485"/>
      <c r="CQ53" s="485"/>
      <c r="CR53" s="485"/>
      <c r="CS53" s="485"/>
      <c r="CT53" s="485"/>
      <c r="CU53" s="485"/>
      <c r="CV53" s="485"/>
      <c r="CW53" s="485"/>
      <c r="CX53" s="485"/>
      <c r="CY53" s="485"/>
      <c r="CZ53" s="485"/>
      <c r="DA53" s="485"/>
      <c r="DB53" s="485"/>
      <c r="DC53" s="485"/>
      <c r="DD53" s="485"/>
      <c r="DE53" s="485"/>
      <c r="DF53" s="485"/>
      <c r="DG53" s="485"/>
      <c r="DH53" s="485"/>
      <c r="DI53" s="485"/>
      <c r="DJ53" s="485"/>
      <c r="DK53" s="485"/>
      <c r="DL53" s="485"/>
      <c r="DM53" s="485"/>
      <c r="DN53" s="485"/>
      <c r="DO53" s="485"/>
      <c r="DP53" s="485"/>
      <c r="DQ53" s="485"/>
      <c r="DR53" s="485"/>
      <c r="DS53" s="485"/>
      <c r="DT53" s="485"/>
      <c r="DU53" s="485"/>
      <c r="DV53" s="485"/>
      <c r="DW53" s="484"/>
      <c r="DX53" s="484"/>
      <c r="DY53" s="484"/>
      <c r="DZ53" s="484"/>
      <c r="EA53" s="484"/>
      <c r="EB53" s="484"/>
      <c r="EC53" s="484"/>
      <c r="ED53" s="484"/>
      <c r="EE53" s="484"/>
      <c r="EF53" s="484"/>
      <c r="EG53" s="484"/>
      <c r="EH53" s="484"/>
      <c r="EI53" s="484"/>
      <c r="EJ53" s="484"/>
      <c r="EK53" s="484"/>
      <c r="EL53" s="484"/>
      <c r="EM53" s="484"/>
      <c r="EN53" s="484"/>
      <c r="EO53" s="484"/>
      <c r="EP53" s="484"/>
      <c r="EQ53" s="484"/>
      <c r="ER53" s="484"/>
      <c r="ES53" s="484"/>
      <c r="ET53" s="484"/>
      <c r="EU53" s="484"/>
      <c r="EV53" s="484"/>
      <c r="EW53" s="484"/>
      <c r="EX53" s="484"/>
      <c r="EY53" s="484"/>
      <c r="EZ53" s="484"/>
      <c r="FA53" s="484"/>
      <c r="FB53" s="484"/>
      <c r="FC53" s="484"/>
      <c r="FD53" s="484"/>
      <c r="FE53" s="484"/>
      <c r="FF53" s="484"/>
      <c r="FG53" s="484"/>
      <c r="FH53" s="486"/>
      <c r="FI53" s="485"/>
      <c r="FJ53" s="485"/>
      <c r="FK53" s="485"/>
      <c r="FL53" s="485"/>
      <c r="FM53" s="485"/>
      <c r="FN53" s="485"/>
      <c r="FO53" s="485"/>
      <c r="FP53" s="485"/>
      <c r="FQ53" s="485"/>
      <c r="FR53" s="485"/>
      <c r="FS53" s="485"/>
      <c r="FT53" s="485"/>
      <c r="FU53" s="485"/>
      <c r="FV53" s="485"/>
      <c r="FW53" s="485"/>
      <c r="FX53" s="485"/>
      <c r="FY53" s="485"/>
      <c r="FZ53" s="485"/>
      <c r="GA53" s="485"/>
      <c r="GB53" s="485"/>
      <c r="GC53" s="485"/>
      <c r="GD53" s="485"/>
      <c r="GE53" s="485"/>
      <c r="GF53" s="485"/>
      <c r="GG53" s="485"/>
      <c r="GH53" s="485"/>
      <c r="GI53" s="485"/>
      <c r="GJ53" s="485"/>
      <c r="GK53" s="485"/>
      <c r="GL53" s="485"/>
      <c r="GM53" s="485"/>
      <c r="GN53" s="485"/>
      <c r="GO53" s="485"/>
      <c r="GP53" s="485"/>
      <c r="GQ53" s="485"/>
      <c r="GR53" s="485"/>
      <c r="GS53" s="485"/>
      <c r="GT53" s="485"/>
      <c r="GU53" s="485"/>
      <c r="GV53" s="485"/>
      <c r="GW53" s="485"/>
      <c r="GX53" s="485"/>
      <c r="GY53" s="485"/>
      <c r="GZ53" s="485"/>
      <c r="HA53" s="485"/>
      <c r="HB53" s="485"/>
      <c r="HC53" s="485"/>
      <c r="HD53" s="485"/>
      <c r="HE53" s="485"/>
      <c r="HF53" s="485"/>
      <c r="HG53" s="485"/>
      <c r="HH53" s="485"/>
      <c r="HI53" s="485"/>
      <c r="HJ53" s="485"/>
      <c r="HK53" s="485"/>
      <c r="HL53" s="485"/>
      <c r="HM53" s="485"/>
      <c r="HN53" s="485"/>
      <c r="HO53" s="485"/>
      <c r="HP53" s="485"/>
      <c r="HQ53" s="485"/>
      <c r="HR53" s="485"/>
      <c r="HS53" s="485"/>
      <c r="HT53" s="485"/>
      <c r="HU53" s="485"/>
      <c r="HV53" s="485"/>
      <c r="HW53" s="485"/>
      <c r="HX53" s="485"/>
      <c r="HY53" s="485"/>
      <c r="HZ53" s="485"/>
      <c r="IA53" s="485"/>
      <c r="IB53" s="485"/>
      <c r="IC53" s="485"/>
      <c r="ID53" s="485"/>
    </row>
    <row r="54" spans="1:238" s="40" customFormat="1" ht="18" x14ac:dyDescent="0.35">
      <c r="A54" s="275"/>
      <c r="B54" s="283">
        <f>IF(O54=1,SUM($O$41:O54),0)</f>
        <v>0</v>
      </c>
      <c r="C54" s="274">
        <v>8</v>
      </c>
      <c r="D54" s="815" t="s">
        <v>217</v>
      </c>
      <c r="E54" s="815"/>
      <c r="F54" s="284" t="s">
        <v>107</v>
      </c>
      <c r="G54" s="285"/>
      <c r="H54" s="286"/>
      <c r="I54" s="281">
        <f>SUMIFS($AY$14:$AY$38,$AW$14:$AW$38,4.5,$U$14:$U$38,"Ral 1015")/100</f>
        <v>0</v>
      </c>
      <c r="J54" s="274">
        <v>2</v>
      </c>
      <c r="K54" s="274"/>
      <c r="L54" s="274">
        <f>VLOOKUP(D54,'قائمة الأسعار'!$D$13:$F$103,3,0)</f>
        <v>1</v>
      </c>
      <c r="M54" s="282">
        <f t="shared" si="195"/>
        <v>0</v>
      </c>
      <c r="N54" s="412" t="e">
        <f>VLOOKUP(D54,'قائمة الأسعار'!$D$13:$G$103,5,0)</f>
        <v>#REF!</v>
      </c>
      <c r="O54" s="275">
        <f t="shared" si="196"/>
        <v>0</v>
      </c>
      <c r="P54" s="37"/>
      <c r="Q54" s="37"/>
      <c r="AF54" s="187"/>
      <c r="AG54" s="187"/>
      <c r="AH54" s="187"/>
      <c r="AI54" s="187"/>
      <c r="AJ54" s="37"/>
      <c r="AK54" s="37"/>
      <c r="AL54" s="37"/>
      <c r="AM54" s="438"/>
      <c r="AN54" s="485"/>
      <c r="AO54" s="485"/>
      <c r="AP54" s="485"/>
      <c r="AQ54" s="485"/>
      <c r="AR54" s="485"/>
      <c r="AS54" s="485"/>
      <c r="AT54" s="485"/>
      <c r="AU54" s="485"/>
      <c r="AV54" s="485"/>
      <c r="AW54" s="485"/>
      <c r="AX54" s="485"/>
      <c r="AY54" s="485"/>
      <c r="AZ54" s="485"/>
      <c r="BA54" s="485"/>
      <c r="BB54" s="485"/>
      <c r="BC54" s="485"/>
      <c r="BD54" s="485"/>
      <c r="BE54" s="485"/>
      <c r="BF54" s="485"/>
      <c r="BG54" s="485"/>
      <c r="BH54" s="485"/>
      <c r="BI54" s="485"/>
      <c r="BJ54" s="485"/>
      <c r="BK54" s="485"/>
      <c r="BL54" s="485"/>
      <c r="BM54" s="485"/>
      <c r="BN54" s="485"/>
      <c r="BO54" s="485"/>
      <c r="BP54" s="485"/>
      <c r="BQ54" s="485"/>
      <c r="BR54" s="485"/>
      <c r="BS54" s="485"/>
      <c r="BT54" s="485"/>
      <c r="BU54" s="485"/>
      <c r="BV54" s="485"/>
      <c r="BW54" s="485"/>
      <c r="BX54" s="485"/>
      <c r="BY54" s="485"/>
      <c r="BZ54" s="485"/>
      <c r="CA54" s="485"/>
      <c r="CB54" s="485"/>
      <c r="CC54" s="485"/>
      <c r="CD54" s="485"/>
      <c r="CE54" s="485"/>
      <c r="CF54" s="485"/>
      <c r="CG54" s="485"/>
      <c r="CH54" s="485"/>
      <c r="CI54" s="485"/>
      <c r="CJ54" s="485"/>
      <c r="CK54" s="485"/>
      <c r="CL54" s="777"/>
      <c r="CM54" s="485"/>
      <c r="CN54" s="485"/>
      <c r="CO54" s="485"/>
      <c r="CP54" s="485"/>
      <c r="CQ54" s="485"/>
      <c r="CR54" s="485"/>
      <c r="CS54" s="485"/>
      <c r="CT54" s="485"/>
      <c r="CU54" s="485"/>
      <c r="CV54" s="485"/>
      <c r="CW54" s="485"/>
      <c r="CX54" s="485"/>
      <c r="CY54" s="485"/>
      <c r="CZ54" s="485"/>
      <c r="DA54" s="485"/>
      <c r="DB54" s="485"/>
      <c r="DC54" s="485"/>
      <c r="DD54" s="485"/>
      <c r="DE54" s="485"/>
      <c r="DF54" s="485"/>
      <c r="DG54" s="485"/>
      <c r="DH54" s="485"/>
      <c r="DI54" s="485"/>
      <c r="DJ54" s="485"/>
      <c r="DK54" s="485"/>
      <c r="DL54" s="485"/>
      <c r="DM54" s="485"/>
      <c r="DN54" s="485"/>
      <c r="DO54" s="485"/>
      <c r="DP54" s="485"/>
      <c r="DQ54" s="485"/>
      <c r="DR54" s="485"/>
      <c r="DS54" s="485"/>
      <c r="DT54" s="485"/>
      <c r="DU54" s="485"/>
      <c r="DV54" s="485"/>
      <c r="DW54" s="484"/>
      <c r="DX54" s="484"/>
      <c r="DY54" s="484"/>
      <c r="DZ54" s="484"/>
      <c r="EA54" s="484"/>
      <c r="EB54" s="484"/>
      <c r="EC54" s="484"/>
      <c r="ED54" s="484"/>
      <c r="EE54" s="484"/>
      <c r="EF54" s="484"/>
      <c r="EG54" s="484"/>
      <c r="EH54" s="484"/>
      <c r="EI54" s="484"/>
      <c r="EJ54" s="484"/>
      <c r="EK54" s="484"/>
      <c r="EL54" s="484"/>
      <c r="EM54" s="484"/>
      <c r="EN54" s="484"/>
      <c r="EO54" s="484"/>
      <c r="EP54" s="484"/>
      <c r="EQ54" s="484"/>
      <c r="ER54" s="484"/>
      <c r="ES54" s="484"/>
      <c r="ET54" s="484"/>
      <c r="EU54" s="484"/>
      <c r="EV54" s="484"/>
      <c r="EW54" s="484"/>
      <c r="EX54" s="484"/>
      <c r="EY54" s="484"/>
      <c r="EZ54" s="484"/>
      <c r="FA54" s="484"/>
      <c r="FB54" s="484"/>
      <c r="FC54" s="484"/>
      <c r="FD54" s="484"/>
      <c r="FE54" s="484"/>
      <c r="FF54" s="484"/>
      <c r="FG54" s="484"/>
      <c r="FH54" s="486"/>
      <c r="FI54" s="485"/>
      <c r="FJ54" s="485"/>
      <c r="FK54" s="485"/>
      <c r="FL54" s="485"/>
      <c r="FM54" s="485"/>
      <c r="FN54" s="485"/>
      <c r="FO54" s="485"/>
      <c r="FP54" s="485"/>
      <c r="FQ54" s="485"/>
      <c r="FR54" s="485"/>
      <c r="FS54" s="485"/>
      <c r="FT54" s="485"/>
      <c r="FU54" s="485"/>
      <c r="FV54" s="485"/>
      <c r="FW54" s="485"/>
      <c r="FX54" s="485"/>
      <c r="FY54" s="485"/>
      <c r="FZ54" s="485"/>
      <c r="GA54" s="485"/>
      <c r="GB54" s="485"/>
      <c r="GC54" s="485"/>
      <c r="GD54" s="485"/>
      <c r="GE54" s="485"/>
      <c r="GF54" s="485"/>
      <c r="GG54" s="485"/>
      <c r="GH54" s="485"/>
      <c r="GI54" s="485"/>
      <c r="GJ54" s="485"/>
      <c r="GK54" s="485"/>
      <c r="GL54" s="485"/>
      <c r="GM54" s="485"/>
      <c r="GN54" s="485"/>
      <c r="GO54" s="485"/>
      <c r="GP54" s="485"/>
      <c r="GQ54" s="485"/>
      <c r="GR54" s="485"/>
      <c r="GS54" s="485"/>
      <c r="GT54" s="485"/>
      <c r="GU54" s="485"/>
      <c r="GV54" s="485"/>
      <c r="GW54" s="485"/>
      <c r="GX54" s="485"/>
      <c r="GY54" s="485"/>
      <c r="GZ54" s="485"/>
      <c r="HA54" s="485"/>
      <c r="HB54" s="485"/>
      <c r="HC54" s="485"/>
      <c r="HD54" s="485"/>
      <c r="HE54" s="485"/>
      <c r="HF54" s="485"/>
      <c r="HG54" s="485"/>
      <c r="HH54" s="485"/>
      <c r="HI54" s="485"/>
      <c r="HJ54" s="485"/>
      <c r="HK54" s="485"/>
      <c r="HL54" s="485"/>
      <c r="HM54" s="485"/>
      <c r="HN54" s="485"/>
      <c r="HO54" s="485"/>
      <c r="HP54" s="485"/>
      <c r="HQ54" s="485"/>
      <c r="HR54" s="485"/>
      <c r="HS54" s="485"/>
      <c r="HT54" s="485"/>
      <c r="HU54" s="485"/>
      <c r="HV54" s="485"/>
      <c r="HW54" s="485"/>
      <c r="HX54" s="485"/>
      <c r="HY54" s="485"/>
      <c r="HZ54" s="485"/>
      <c r="IA54" s="485"/>
      <c r="IB54" s="485"/>
      <c r="IC54" s="485"/>
      <c r="ID54" s="485"/>
    </row>
    <row r="55" spans="1:238" ht="18" x14ac:dyDescent="0.35">
      <c r="A55" s="275"/>
      <c r="B55" s="283">
        <f>IF(O55=1,SUM($O$41:O55),0)</f>
        <v>0</v>
      </c>
      <c r="C55" s="274">
        <v>9</v>
      </c>
      <c r="D55" s="815" t="s">
        <v>217</v>
      </c>
      <c r="E55" s="815"/>
      <c r="F55" s="287" t="s">
        <v>149</v>
      </c>
      <c r="G55" s="285"/>
      <c r="H55" s="286"/>
      <c r="I55" s="281">
        <f>SUMIFS($AY$14:$AY$38,$AW$14:$AW$38,4.5,$U$14:$U$38,"Mill Finish")/100</f>
        <v>0</v>
      </c>
      <c r="J55" s="274">
        <v>2</v>
      </c>
      <c r="K55" s="274"/>
      <c r="L55" s="274">
        <f>VLOOKUP(D55,'قائمة الأسعار'!$D$13:$F$103,3,0)*0.94</f>
        <v>0.94</v>
      </c>
      <c r="M55" s="282">
        <f t="shared" si="195"/>
        <v>0</v>
      </c>
      <c r="N55" s="412" t="e">
        <f>VLOOKUP(D55,'قائمة الأسعار'!$D$13:$G$103,5,0)</f>
        <v>#REF!</v>
      </c>
      <c r="O55" s="275">
        <f t="shared" si="196"/>
        <v>0</v>
      </c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G55" s="187"/>
      <c r="AJ55" s="37"/>
      <c r="CL55" s="777"/>
    </row>
    <row r="56" spans="1:238" ht="18" x14ac:dyDescent="0.35">
      <c r="A56" s="275"/>
      <c r="B56" s="283">
        <f>IF(O56=1,SUM($O$41:O56),0)</f>
        <v>0</v>
      </c>
      <c r="C56" s="274">
        <v>10</v>
      </c>
      <c r="D56" s="815" t="s">
        <v>217</v>
      </c>
      <c r="E56" s="815"/>
      <c r="F56" s="284" t="s">
        <v>143</v>
      </c>
      <c r="G56" s="285"/>
      <c r="H56" s="286"/>
      <c r="I56" s="281">
        <f>SUMIFS($AY$14:$AY$38,$AW$14:$AW$38,4.5,$U$14:$U$38,"لون خاص")/100</f>
        <v>0</v>
      </c>
      <c r="J56" s="274">
        <v>2</v>
      </c>
      <c r="K56" s="274"/>
      <c r="L56" s="274">
        <f>VLOOKUP(D56,'قائمة الأسعار'!$D$13:$F$103,3,0)*1.2</f>
        <v>1.2</v>
      </c>
      <c r="M56" s="282">
        <f t="shared" si="195"/>
        <v>0</v>
      </c>
      <c r="N56" s="412" t="e">
        <f>VLOOKUP(D56,'قائمة الأسعار'!$D$13:$G$103,5,0)</f>
        <v>#REF!</v>
      </c>
      <c r="O56" s="275">
        <f t="shared" si="196"/>
        <v>0</v>
      </c>
      <c r="Q56" s="37"/>
      <c r="AG56" s="187"/>
      <c r="AJ56" s="37"/>
      <c r="CL56" s="777"/>
    </row>
    <row r="57" spans="1:238" ht="18" x14ac:dyDescent="0.35">
      <c r="A57" s="275"/>
      <c r="B57" s="283">
        <f>IF(O57=1,SUM($O$41:O57),0)</f>
        <v>0</v>
      </c>
      <c r="C57" s="274">
        <v>11</v>
      </c>
      <c r="D57" s="815" t="s">
        <v>218</v>
      </c>
      <c r="E57" s="815"/>
      <c r="F57" s="287" t="s">
        <v>106</v>
      </c>
      <c r="G57" s="285"/>
      <c r="H57" s="286"/>
      <c r="I57" s="281">
        <f>SUMIFS($AY$14:$AY$38,$AW$14:$AW$38,5.8,$U$14:$U$38,"Ral 9016")/100</f>
        <v>0</v>
      </c>
      <c r="J57" s="274">
        <v>2</v>
      </c>
      <c r="K57" s="274"/>
      <c r="L57" s="274">
        <f>VLOOKUP(D57,'قائمة الأسعار'!D14:F104,3,0)</f>
        <v>1</v>
      </c>
      <c r="M57" s="282">
        <f t="shared" si="195"/>
        <v>0</v>
      </c>
      <c r="N57" s="412" t="e">
        <f>VLOOKUP(D57,'قائمة الأسعار'!$D$13:$G$103,5,0)</f>
        <v>#REF!</v>
      </c>
      <c r="O57" s="275">
        <f t="shared" si="196"/>
        <v>0</v>
      </c>
      <c r="Q57" s="37"/>
      <c r="AG57" s="187"/>
      <c r="AJ57" s="37"/>
      <c r="CL57" s="777"/>
    </row>
    <row r="58" spans="1:238" ht="18" x14ac:dyDescent="0.35">
      <c r="A58" s="275"/>
      <c r="B58" s="283">
        <f>IF(O58=1,SUM($O$41:O58),0)</f>
        <v>0</v>
      </c>
      <c r="C58" s="274">
        <v>12</v>
      </c>
      <c r="D58" s="815" t="s">
        <v>218</v>
      </c>
      <c r="E58" s="815"/>
      <c r="F58" s="287" t="s">
        <v>105</v>
      </c>
      <c r="G58" s="285"/>
      <c r="H58" s="286"/>
      <c r="I58" s="281">
        <f>SUMIFS($AY$14:$AY$38,$AW$14:$AW$38,5.8,$U$14:$U$38,"Ral 1013")/100</f>
        <v>0</v>
      </c>
      <c r="J58" s="274">
        <v>2</v>
      </c>
      <c r="K58" s="274"/>
      <c r="L58" s="274">
        <f>VLOOKUP(D58,'قائمة الأسعار'!D15:F105,3,0)</f>
        <v>1</v>
      </c>
      <c r="M58" s="282">
        <f t="shared" si="195"/>
        <v>0</v>
      </c>
      <c r="N58" s="412" t="e">
        <f>VLOOKUP(D58,'قائمة الأسعار'!$D$13:$G$103,5,0)</f>
        <v>#REF!</v>
      </c>
      <c r="O58" s="275">
        <f t="shared" si="196"/>
        <v>0</v>
      </c>
      <c r="CL58" s="777"/>
    </row>
    <row r="59" spans="1:238" ht="18" x14ac:dyDescent="0.35">
      <c r="A59" s="275"/>
      <c r="B59" s="283">
        <f>IF(O59=1,SUM($O$41:O59),0)</f>
        <v>0</v>
      </c>
      <c r="C59" s="274">
        <v>13</v>
      </c>
      <c r="D59" s="815" t="s">
        <v>218</v>
      </c>
      <c r="E59" s="815"/>
      <c r="F59" s="287" t="s">
        <v>107</v>
      </c>
      <c r="G59" s="285"/>
      <c r="H59" s="286"/>
      <c r="I59" s="281">
        <f>SUMIFS($AY$14:$AY$38,$AW$14:$AW$38,5.8,$U$14:$U$38,"Ral 1015")/100</f>
        <v>0</v>
      </c>
      <c r="J59" s="274">
        <v>2</v>
      </c>
      <c r="K59" s="274"/>
      <c r="L59" s="274">
        <f>VLOOKUP(D59,'قائمة الأسعار'!D16:F106,3,0)</f>
        <v>1</v>
      </c>
      <c r="M59" s="282">
        <f t="shared" si="195"/>
        <v>0</v>
      </c>
      <c r="N59" s="412" t="e">
        <f>VLOOKUP(D59,'قائمة الأسعار'!$D$13:$G$103,5,0)</f>
        <v>#REF!</v>
      </c>
      <c r="O59" s="275">
        <f t="shared" si="196"/>
        <v>0</v>
      </c>
      <c r="CL59" s="777"/>
    </row>
    <row r="60" spans="1:238" ht="18" x14ac:dyDescent="0.35">
      <c r="A60" s="275"/>
      <c r="B60" s="283">
        <f>IF(O60=1,SUM($O$41:O60),0)</f>
        <v>0</v>
      </c>
      <c r="C60" s="274">
        <v>14</v>
      </c>
      <c r="D60" s="815" t="s">
        <v>218</v>
      </c>
      <c r="E60" s="815"/>
      <c r="F60" s="287" t="s">
        <v>149</v>
      </c>
      <c r="G60" s="285"/>
      <c r="H60" s="286"/>
      <c r="I60" s="281">
        <f>SUMIFS($AY$14:$AY$38,$AW$14:$AW$38,5.8,$U$14:$U$38,"Mill Finish")/100</f>
        <v>0</v>
      </c>
      <c r="J60" s="274">
        <v>2</v>
      </c>
      <c r="K60" s="274"/>
      <c r="L60" s="274">
        <f>VLOOKUP(D60,'قائمة الأسعار'!D17:F107,3,0)</f>
        <v>1</v>
      </c>
      <c r="M60" s="282">
        <f t="shared" si="195"/>
        <v>0</v>
      </c>
      <c r="N60" s="412" t="e">
        <f>VLOOKUP(D60,'قائمة الأسعار'!$D$13:$G$103,5,0)</f>
        <v>#REF!</v>
      </c>
      <c r="O60" s="275">
        <f t="shared" si="196"/>
        <v>0</v>
      </c>
      <c r="CL60" s="777"/>
    </row>
    <row r="61" spans="1:238" ht="18" x14ac:dyDescent="0.35">
      <c r="A61" s="275"/>
      <c r="B61" s="283">
        <f>IF(O61=1,SUM($O$41:O61),0)</f>
        <v>0</v>
      </c>
      <c r="C61" s="274">
        <v>15</v>
      </c>
      <c r="D61" s="815" t="s">
        <v>218</v>
      </c>
      <c r="E61" s="815"/>
      <c r="F61" s="284" t="s">
        <v>143</v>
      </c>
      <c r="G61" s="285"/>
      <c r="H61" s="286"/>
      <c r="I61" s="281">
        <f>SUMIFS($AY$14:$AY$38,$AW$14:$AW$38,5.8,$U$14:$U$38,"لون خاص")/100</f>
        <v>0</v>
      </c>
      <c r="J61" s="274">
        <v>2</v>
      </c>
      <c r="K61" s="274"/>
      <c r="L61" s="274">
        <f>VLOOKUP(D61,'قائمة الأسعار'!D15:F105,3,0)*1.2</f>
        <v>1.2</v>
      </c>
      <c r="M61" s="282">
        <f t="shared" si="195"/>
        <v>0</v>
      </c>
      <c r="N61" s="412" t="e">
        <f>VLOOKUP(D61,'قائمة الأسعار'!$D$13:$G$103,5,0)</f>
        <v>#REF!</v>
      </c>
      <c r="O61" s="275">
        <f t="shared" ref="O61:O66" si="197">IF(M61&gt;0,1,0)</f>
        <v>0</v>
      </c>
      <c r="CL61" s="777"/>
    </row>
    <row r="62" spans="1:238" s="40" customFormat="1" ht="18" x14ac:dyDescent="0.35">
      <c r="A62" s="288"/>
      <c r="B62" s="289">
        <f>IF(O62=1,SUM($O$41:O62),0)</f>
        <v>0</v>
      </c>
      <c r="C62" s="274">
        <v>16</v>
      </c>
      <c r="D62" s="290" t="s">
        <v>214</v>
      </c>
      <c r="E62" s="291"/>
      <c r="F62" s="292" t="s">
        <v>20</v>
      </c>
      <c r="G62" s="293"/>
      <c r="H62" s="294"/>
      <c r="I62" s="295" t="s">
        <v>20</v>
      </c>
      <c r="J62" s="295">
        <f>IE39</f>
        <v>0</v>
      </c>
      <c r="K62" s="295"/>
      <c r="L62" s="295">
        <f>VLOOKUP(D62,'قائمة الأسعار'!$D$13:$F$210,3,0)</f>
        <v>1</v>
      </c>
      <c r="M62" s="296">
        <f>L62*J62</f>
        <v>0</v>
      </c>
      <c r="N62" s="413" t="e">
        <f>VLOOKUP(D62,'قائمة الأسعار'!$D$13:$G$210,5,0)</f>
        <v>#REF!</v>
      </c>
      <c r="O62" s="288">
        <f t="shared" si="197"/>
        <v>0</v>
      </c>
      <c r="Q62" s="63"/>
      <c r="AF62" s="95"/>
      <c r="AG62" s="188"/>
      <c r="AH62" s="95"/>
      <c r="AI62" s="95"/>
      <c r="AJ62" s="63"/>
      <c r="AM62" s="485"/>
      <c r="AN62" s="485"/>
      <c r="AO62" s="485"/>
      <c r="AP62" s="485"/>
      <c r="AQ62" s="485"/>
      <c r="AR62" s="485"/>
      <c r="AS62" s="485"/>
      <c r="AT62" s="485"/>
      <c r="AU62" s="485"/>
      <c r="AV62" s="485"/>
      <c r="AW62" s="485"/>
      <c r="AX62" s="485"/>
      <c r="AY62" s="485"/>
      <c r="AZ62" s="485"/>
      <c r="BA62" s="485"/>
      <c r="BB62" s="485"/>
      <c r="BC62" s="485"/>
      <c r="BD62" s="485"/>
      <c r="BE62" s="485"/>
      <c r="BF62" s="485"/>
      <c r="BG62" s="485"/>
      <c r="BH62" s="485"/>
      <c r="BI62" s="485"/>
      <c r="BJ62" s="485"/>
      <c r="BK62" s="485"/>
      <c r="BL62" s="485"/>
      <c r="BM62" s="485"/>
      <c r="BN62" s="485"/>
      <c r="BO62" s="485"/>
      <c r="BP62" s="485"/>
      <c r="BQ62" s="485"/>
      <c r="BR62" s="485"/>
      <c r="BS62" s="485"/>
      <c r="BT62" s="485"/>
      <c r="BU62" s="485"/>
      <c r="BV62" s="485"/>
      <c r="BW62" s="485"/>
      <c r="BX62" s="485"/>
      <c r="BY62" s="485"/>
      <c r="BZ62" s="485"/>
      <c r="CA62" s="485"/>
      <c r="CB62" s="485"/>
      <c r="CC62" s="485"/>
      <c r="CD62" s="485"/>
      <c r="CE62" s="485"/>
      <c r="CF62" s="485"/>
      <c r="CG62" s="485"/>
      <c r="CH62" s="485"/>
      <c r="CI62" s="485"/>
      <c r="CJ62" s="485"/>
      <c r="CK62" s="485"/>
      <c r="CL62" s="777"/>
      <c r="CM62" s="485"/>
      <c r="CN62" s="485"/>
      <c r="CO62" s="485"/>
      <c r="CP62" s="485"/>
      <c r="CQ62" s="485"/>
      <c r="CR62" s="485"/>
      <c r="CS62" s="485"/>
      <c r="CT62" s="485"/>
      <c r="CU62" s="485"/>
      <c r="CV62" s="485"/>
      <c r="CW62" s="485"/>
      <c r="CX62" s="485"/>
      <c r="CY62" s="485"/>
      <c r="CZ62" s="485"/>
      <c r="DA62" s="485"/>
      <c r="DB62" s="485"/>
      <c r="DC62" s="485"/>
      <c r="DD62" s="485"/>
      <c r="DE62" s="485"/>
      <c r="DF62" s="485"/>
      <c r="DG62" s="485"/>
      <c r="DH62" s="485"/>
      <c r="DI62" s="485"/>
      <c r="DJ62" s="485"/>
      <c r="DK62" s="485"/>
      <c r="DL62" s="485"/>
      <c r="DM62" s="485"/>
      <c r="DN62" s="485"/>
      <c r="DO62" s="485"/>
      <c r="DP62" s="485"/>
      <c r="DQ62" s="485"/>
      <c r="DR62" s="485"/>
      <c r="DS62" s="485"/>
      <c r="DT62" s="485"/>
      <c r="DU62" s="485"/>
      <c r="DV62" s="485"/>
      <c r="DW62" s="484"/>
      <c r="DX62" s="484"/>
      <c r="DY62" s="484"/>
      <c r="DZ62" s="484"/>
      <c r="EA62" s="484"/>
      <c r="EB62" s="484"/>
      <c r="EC62" s="484"/>
      <c r="ED62" s="484"/>
      <c r="EE62" s="484"/>
      <c r="EF62" s="484"/>
      <c r="EG62" s="484"/>
      <c r="EH62" s="484"/>
      <c r="EI62" s="484"/>
      <c r="EJ62" s="484"/>
      <c r="EK62" s="484"/>
      <c r="EL62" s="484"/>
      <c r="EM62" s="484"/>
      <c r="EN62" s="484"/>
      <c r="EO62" s="484"/>
      <c r="EP62" s="484"/>
      <c r="EQ62" s="484"/>
      <c r="ER62" s="484"/>
      <c r="ES62" s="484"/>
      <c r="ET62" s="484"/>
      <c r="EU62" s="484"/>
      <c r="EV62" s="484"/>
      <c r="EW62" s="484"/>
      <c r="EX62" s="484"/>
      <c r="EY62" s="484"/>
      <c r="EZ62" s="484"/>
      <c r="FA62" s="484"/>
      <c r="FB62" s="484"/>
      <c r="FC62" s="484"/>
      <c r="FD62" s="484"/>
      <c r="FE62" s="484"/>
      <c r="FF62" s="484"/>
      <c r="FG62" s="484"/>
      <c r="FH62" s="486"/>
      <c r="FI62" s="485"/>
      <c r="FJ62" s="485"/>
      <c r="FK62" s="485"/>
      <c r="FL62" s="485"/>
      <c r="FM62" s="485"/>
      <c r="FN62" s="485"/>
      <c r="FO62" s="485"/>
      <c r="FP62" s="485"/>
      <c r="FQ62" s="485"/>
      <c r="FR62" s="485"/>
      <c r="FS62" s="485"/>
      <c r="FT62" s="485"/>
      <c r="FU62" s="485"/>
      <c r="FV62" s="485"/>
      <c r="FW62" s="485"/>
      <c r="FX62" s="485"/>
      <c r="FY62" s="485"/>
      <c r="FZ62" s="485"/>
      <c r="GA62" s="485"/>
      <c r="GB62" s="485"/>
      <c r="GC62" s="485"/>
      <c r="GD62" s="485"/>
      <c r="GE62" s="485"/>
      <c r="GF62" s="485"/>
      <c r="GG62" s="485"/>
      <c r="GH62" s="485"/>
      <c r="GI62" s="485"/>
      <c r="GJ62" s="485"/>
      <c r="GK62" s="485"/>
      <c r="GL62" s="485"/>
      <c r="GM62" s="485"/>
      <c r="GN62" s="485"/>
      <c r="GO62" s="485"/>
      <c r="GP62" s="485"/>
      <c r="GQ62" s="485"/>
      <c r="GR62" s="485"/>
      <c r="GS62" s="485"/>
      <c r="GT62" s="485"/>
      <c r="GU62" s="485"/>
      <c r="GV62" s="485"/>
      <c r="GW62" s="485"/>
      <c r="GX62" s="485"/>
      <c r="GY62" s="485"/>
      <c r="GZ62" s="485"/>
      <c r="HA62" s="485"/>
      <c r="HB62" s="485"/>
      <c r="HC62" s="485"/>
      <c r="HD62" s="485"/>
      <c r="HE62" s="485"/>
      <c r="HF62" s="485"/>
      <c r="HG62" s="485"/>
      <c r="HH62" s="485"/>
      <c r="HI62" s="485"/>
      <c r="HJ62" s="485"/>
      <c r="HK62" s="485"/>
      <c r="HL62" s="485"/>
      <c r="HM62" s="485"/>
      <c r="HN62" s="485"/>
      <c r="HO62" s="485"/>
      <c r="HP62" s="485"/>
      <c r="HQ62" s="485"/>
      <c r="HR62" s="485"/>
      <c r="HS62" s="485"/>
      <c r="HT62" s="485"/>
      <c r="HU62" s="485"/>
      <c r="HV62" s="485"/>
      <c r="HW62" s="485"/>
      <c r="HX62" s="485"/>
      <c r="HY62" s="485"/>
      <c r="HZ62" s="485"/>
      <c r="IA62" s="485"/>
      <c r="IB62" s="485"/>
      <c r="IC62" s="485"/>
      <c r="ID62" s="485"/>
    </row>
    <row r="63" spans="1:238" s="40" customFormat="1" ht="18" x14ac:dyDescent="0.35">
      <c r="A63" s="288"/>
      <c r="B63" s="289">
        <f>IF(O63=1,SUM($O$41:O63),0)</f>
        <v>0</v>
      </c>
      <c r="C63" s="274">
        <v>17</v>
      </c>
      <c r="D63" s="290" t="s">
        <v>219</v>
      </c>
      <c r="E63" s="291">
        <v>15</v>
      </c>
      <c r="F63" s="292" t="s">
        <v>106</v>
      </c>
      <c r="G63" s="293"/>
      <c r="H63" s="294"/>
      <c r="I63" s="288">
        <f>SUMIFS($AU$14:$AU$38,$AS$14:$AS$38,E63,$U$14:$U$38,F63)/100</f>
        <v>0</v>
      </c>
      <c r="J63" s="295">
        <v>1</v>
      </c>
      <c r="K63" s="295"/>
      <c r="L63" s="295">
        <f>VLOOKUP(D63,'قائمة الأسعار'!D4:F101,3,0)</f>
        <v>1</v>
      </c>
      <c r="M63" s="297">
        <f>L63*J63*I63</f>
        <v>0</v>
      </c>
      <c r="N63" s="413"/>
      <c r="O63" s="288">
        <f t="shared" si="197"/>
        <v>0</v>
      </c>
      <c r="Q63" s="63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188"/>
      <c r="AH63" s="95"/>
      <c r="AI63" s="95"/>
      <c r="AJ63" s="65"/>
      <c r="AK63" s="61"/>
      <c r="AL63" s="61"/>
      <c r="AM63" s="485"/>
      <c r="AN63" s="485"/>
      <c r="AO63" s="485"/>
      <c r="AP63" s="485"/>
      <c r="AQ63" s="485"/>
      <c r="AR63" s="485"/>
      <c r="AS63" s="485"/>
      <c r="AT63" s="485"/>
      <c r="AU63" s="485"/>
      <c r="AV63" s="485"/>
      <c r="AW63" s="485"/>
      <c r="AX63" s="485"/>
      <c r="AY63" s="485"/>
      <c r="AZ63" s="485"/>
      <c r="BA63" s="485"/>
      <c r="BB63" s="485"/>
      <c r="BC63" s="485"/>
      <c r="BD63" s="485"/>
      <c r="BE63" s="485"/>
      <c r="BF63" s="485"/>
      <c r="BG63" s="485"/>
      <c r="BH63" s="485"/>
      <c r="BI63" s="485"/>
      <c r="BJ63" s="485"/>
      <c r="BK63" s="485"/>
      <c r="BL63" s="485"/>
      <c r="BM63" s="485"/>
      <c r="BN63" s="485"/>
      <c r="BO63" s="485"/>
      <c r="BP63" s="485"/>
      <c r="BQ63" s="485"/>
      <c r="BR63" s="485"/>
      <c r="BS63" s="485"/>
      <c r="BT63" s="485"/>
      <c r="BU63" s="485"/>
      <c r="BV63" s="485"/>
      <c r="BW63" s="485"/>
      <c r="BX63" s="485"/>
      <c r="BY63" s="485"/>
      <c r="BZ63" s="485"/>
      <c r="CA63" s="485"/>
      <c r="CB63" s="485"/>
      <c r="CC63" s="485"/>
      <c r="CD63" s="485"/>
      <c r="CE63" s="485"/>
      <c r="CF63" s="485"/>
      <c r="CG63" s="485"/>
      <c r="CH63" s="485"/>
      <c r="CI63" s="485"/>
      <c r="CJ63" s="485"/>
      <c r="CK63" s="485"/>
      <c r="CL63" s="777"/>
      <c r="CM63" s="485"/>
      <c r="CN63" s="485"/>
      <c r="CO63" s="485"/>
      <c r="CP63" s="485"/>
      <c r="CQ63" s="485"/>
      <c r="CR63" s="485"/>
      <c r="CS63" s="485"/>
      <c r="CT63" s="485"/>
      <c r="CU63" s="485"/>
      <c r="CV63" s="485"/>
      <c r="CW63" s="485"/>
      <c r="CX63" s="485"/>
      <c r="CY63" s="485"/>
      <c r="CZ63" s="485"/>
      <c r="DA63" s="485"/>
      <c r="DB63" s="485"/>
      <c r="DC63" s="485"/>
      <c r="DD63" s="485"/>
      <c r="DE63" s="485"/>
      <c r="DF63" s="485"/>
      <c r="DG63" s="485"/>
      <c r="DH63" s="485"/>
      <c r="DI63" s="485"/>
      <c r="DJ63" s="485"/>
      <c r="DK63" s="485"/>
      <c r="DL63" s="485"/>
      <c r="DM63" s="485"/>
      <c r="DN63" s="485"/>
      <c r="DO63" s="485"/>
      <c r="DP63" s="485"/>
      <c r="DQ63" s="485"/>
      <c r="DR63" s="485"/>
      <c r="DS63" s="485"/>
      <c r="DT63" s="485"/>
      <c r="DU63" s="485"/>
      <c r="DV63" s="485"/>
      <c r="DW63" s="484"/>
      <c r="DX63" s="484"/>
      <c r="DY63" s="484"/>
      <c r="DZ63" s="484"/>
      <c r="EA63" s="484"/>
      <c r="EB63" s="484"/>
      <c r="EC63" s="484"/>
      <c r="ED63" s="484"/>
      <c r="EE63" s="484"/>
      <c r="EF63" s="484"/>
      <c r="EG63" s="484"/>
      <c r="EH63" s="484"/>
      <c r="EI63" s="484"/>
      <c r="EJ63" s="484"/>
      <c r="EK63" s="484"/>
      <c r="EL63" s="484"/>
      <c r="EM63" s="484"/>
      <c r="EN63" s="484"/>
      <c r="EO63" s="484"/>
      <c r="EP63" s="484"/>
      <c r="EQ63" s="484"/>
      <c r="ER63" s="484"/>
      <c r="ES63" s="484"/>
      <c r="ET63" s="484"/>
      <c r="EU63" s="484"/>
      <c r="EV63" s="484"/>
      <c r="EW63" s="484"/>
      <c r="EX63" s="484"/>
      <c r="EY63" s="484"/>
      <c r="EZ63" s="484"/>
      <c r="FA63" s="484"/>
      <c r="FB63" s="484"/>
      <c r="FC63" s="484"/>
      <c r="FD63" s="484"/>
      <c r="FE63" s="484"/>
      <c r="FF63" s="484"/>
      <c r="FG63" s="484"/>
      <c r="FH63" s="486"/>
      <c r="FI63" s="485"/>
      <c r="FJ63" s="485"/>
      <c r="FK63" s="485"/>
      <c r="FL63" s="485"/>
      <c r="FM63" s="485"/>
      <c r="FN63" s="485"/>
      <c r="FO63" s="485"/>
      <c r="FP63" s="485"/>
      <c r="FQ63" s="485"/>
      <c r="FR63" s="485"/>
      <c r="FS63" s="485"/>
      <c r="FT63" s="485"/>
      <c r="FU63" s="485"/>
      <c r="FV63" s="485"/>
      <c r="FW63" s="485"/>
      <c r="FX63" s="485"/>
      <c r="FY63" s="485"/>
      <c r="FZ63" s="485"/>
      <c r="GA63" s="485"/>
      <c r="GB63" s="485"/>
      <c r="GC63" s="485"/>
      <c r="GD63" s="485"/>
      <c r="GE63" s="485"/>
      <c r="GF63" s="485"/>
      <c r="GG63" s="485"/>
      <c r="GH63" s="485"/>
      <c r="GI63" s="485"/>
      <c r="GJ63" s="485"/>
      <c r="GK63" s="485"/>
      <c r="GL63" s="485"/>
      <c r="GM63" s="485"/>
      <c r="GN63" s="485"/>
      <c r="GO63" s="485"/>
      <c r="GP63" s="485"/>
      <c r="GQ63" s="485"/>
      <c r="GR63" s="485"/>
      <c r="GS63" s="485"/>
      <c r="GT63" s="485"/>
      <c r="GU63" s="485"/>
      <c r="GV63" s="485"/>
      <c r="GW63" s="485"/>
      <c r="GX63" s="485"/>
      <c r="GY63" s="485"/>
      <c r="GZ63" s="485"/>
      <c r="HA63" s="485"/>
      <c r="HB63" s="485"/>
      <c r="HC63" s="485"/>
      <c r="HD63" s="485"/>
      <c r="HE63" s="485"/>
      <c r="HF63" s="485"/>
      <c r="HG63" s="485"/>
      <c r="HH63" s="485"/>
      <c r="HI63" s="485"/>
      <c r="HJ63" s="485"/>
      <c r="HK63" s="485"/>
      <c r="HL63" s="485"/>
      <c r="HM63" s="485"/>
      <c r="HN63" s="485"/>
      <c r="HO63" s="485"/>
      <c r="HP63" s="485"/>
      <c r="HQ63" s="485"/>
      <c r="HR63" s="485"/>
      <c r="HS63" s="485"/>
      <c r="HT63" s="485"/>
      <c r="HU63" s="485"/>
      <c r="HV63" s="485"/>
      <c r="HW63" s="485"/>
      <c r="HX63" s="485"/>
      <c r="HY63" s="485"/>
      <c r="HZ63" s="485"/>
      <c r="IA63" s="485"/>
      <c r="IB63" s="485"/>
      <c r="IC63" s="485"/>
      <c r="ID63" s="485"/>
    </row>
    <row r="64" spans="1:238" s="40" customFormat="1" ht="18" x14ac:dyDescent="0.35">
      <c r="A64" s="288"/>
      <c r="B64" s="289">
        <f>IF(O64=1,SUM($O$41:O64),0)</f>
        <v>0</v>
      </c>
      <c r="C64" s="274">
        <v>18</v>
      </c>
      <c r="D64" s="290" t="s">
        <v>220</v>
      </c>
      <c r="E64" s="291">
        <v>15</v>
      </c>
      <c r="F64" s="292" t="s">
        <v>106</v>
      </c>
      <c r="G64" s="293"/>
      <c r="H64" s="294"/>
      <c r="I64" s="298" t="s">
        <v>20</v>
      </c>
      <c r="J64" s="288">
        <f>SUMIFS($HV$14:$HV$38,$AS$14:$AS$38,E64,$U$14:$U$38,F64)</f>
        <v>0</v>
      </c>
      <c r="K64" s="288"/>
      <c r="L64" s="295">
        <f>VLOOKUP(D64,'قائمة الأسعار'!D4:F101,3,0)</f>
        <v>1</v>
      </c>
      <c r="M64" s="296">
        <f>L64*J64</f>
        <v>0</v>
      </c>
      <c r="N64" s="413"/>
      <c r="O64" s="288">
        <f t="shared" si="197"/>
        <v>0</v>
      </c>
      <c r="Q64" s="63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188"/>
      <c r="AH64" s="95"/>
      <c r="AI64" s="95"/>
      <c r="AJ64" s="65"/>
      <c r="AM64" s="485"/>
      <c r="AN64" s="485"/>
      <c r="AO64" s="485"/>
      <c r="AP64" s="485"/>
      <c r="AQ64" s="485"/>
      <c r="AR64" s="485"/>
      <c r="AS64" s="485"/>
      <c r="AT64" s="485"/>
      <c r="AU64" s="485"/>
      <c r="AV64" s="485"/>
      <c r="AW64" s="485"/>
      <c r="AX64" s="485"/>
      <c r="AY64" s="485"/>
      <c r="AZ64" s="485"/>
      <c r="BA64" s="485"/>
      <c r="BB64" s="485"/>
      <c r="BC64" s="485"/>
      <c r="BD64" s="485"/>
      <c r="BE64" s="485"/>
      <c r="BF64" s="485"/>
      <c r="BG64" s="485"/>
      <c r="BH64" s="485"/>
      <c r="BI64" s="485"/>
      <c r="BJ64" s="485"/>
      <c r="BK64" s="485"/>
      <c r="BL64" s="485"/>
      <c r="BM64" s="485"/>
      <c r="BN64" s="485"/>
      <c r="BO64" s="485"/>
      <c r="BP64" s="485"/>
      <c r="BQ64" s="485"/>
      <c r="BR64" s="485"/>
      <c r="BS64" s="485"/>
      <c r="BT64" s="485"/>
      <c r="BU64" s="485"/>
      <c r="BV64" s="485"/>
      <c r="BW64" s="485"/>
      <c r="BX64" s="485"/>
      <c r="BY64" s="485"/>
      <c r="BZ64" s="485"/>
      <c r="CA64" s="485"/>
      <c r="CB64" s="485"/>
      <c r="CC64" s="485"/>
      <c r="CD64" s="485"/>
      <c r="CE64" s="485"/>
      <c r="CF64" s="485"/>
      <c r="CG64" s="485"/>
      <c r="CH64" s="485"/>
      <c r="CI64" s="485"/>
      <c r="CJ64" s="485"/>
      <c r="CK64" s="485"/>
      <c r="CL64" s="777"/>
      <c r="CM64" s="485"/>
      <c r="CN64" s="485"/>
      <c r="CO64" s="485"/>
      <c r="CP64" s="485"/>
      <c r="CQ64" s="485"/>
      <c r="CR64" s="485"/>
      <c r="CS64" s="485"/>
      <c r="CT64" s="485"/>
      <c r="CU64" s="485"/>
      <c r="CV64" s="485"/>
      <c r="CW64" s="485"/>
      <c r="CX64" s="485"/>
      <c r="CY64" s="485"/>
      <c r="CZ64" s="485"/>
      <c r="DA64" s="485"/>
      <c r="DB64" s="485"/>
      <c r="DC64" s="485"/>
      <c r="DD64" s="485"/>
      <c r="DE64" s="485"/>
      <c r="DF64" s="485"/>
      <c r="DG64" s="485"/>
      <c r="DH64" s="485"/>
      <c r="DI64" s="485"/>
      <c r="DJ64" s="485"/>
      <c r="DK64" s="485"/>
      <c r="DL64" s="485"/>
      <c r="DM64" s="485"/>
      <c r="DN64" s="485"/>
      <c r="DO64" s="485"/>
      <c r="DP64" s="485"/>
      <c r="DQ64" s="485"/>
      <c r="DR64" s="485"/>
      <c r="DS64" s="485"/>
      <c r="DT64" s="485"/>
      <c r="DU64" s="485"/>
      <c r="DV64" s="485"/>
      <c r="DW64" s="484"/>
      <c r="DX64" s="484"/>
      <c r="DY64" s="484"/>
      <c r="DZ64" s="484"/>
      <c r="EA64" s="484"/>
      <c r="EB64" s="484"/>
      <c r="EC64" s="484"/>
      <c r="ED64" s="484"/>
      <c r="EE64" s="484"/>
      <c r="EF64" s="484"/>
      <c r="EG64" s="484"/>
      <c r="EH64" s="484"/>
      <c r="EI64" s="484"/>
      <c r="EJ64" s="484"/>
      <c r="EK64" s="484"/>
      <c r="EL64" s="484"/>
      <c r="EM64" s="484"/>
      <c r="EN64" s="484"/>
      <c r="EO64" s="484"/>
      <c r="EP64" s="484"/>
      <c r="EQ64" s="484"/>
      <c r="ER64" s="484"/>
      <c r="ES64" s="484"/>
      <c r="ET64" s="484"/>
      <c r="EU64" s="484"/>
      <c r="EV64" s="484"/>
      <c r="EW64" s="484"/>
      <c r="EX64" s="484"/>
      <c r="EY64" s="484"/>
      <c r="EZ64" s="484"/>
      <c r="FA64" s="484"/>
      <c r="FB64" s="484"/>
      <c r="FC64" s="484"/>
      <c r="FD64" s="484"/>
      <c r="FE64" s="484"/>
      <c r="FF64" s="484"/>
      <c r="FG64" s="484"/>
      <c r="FH64" s="486"/>
      <c r="FI64" s="485"/>
      <c r="FJ64" s="485"/>
      <c r="FK64" s="485"/>
      <c r="FL64" s="485"/>
      <c r="FM64" s="485"/>
      <c r="FN64" s="485"/>
      <c r="FO64" s="485"/>
      <c r="FP64" s="485"/>
      <c r="FQ64" s="485"/>
      <c r="FR64" s="485"/>
      <c r="FS64" s="485"/>
      <c r="FT64" s="485"/>
      <c r="FU64" s="485"/>
      <c r="FV64" s="485"/>
      <c r="FW64" s="485"/>
      <c r="FX64" s="485"/>
      <c r="FY64" s="485"/>
      <c r="FZ64" s="485"/>
      <c r="GA64" s="485"/>
      <c r="GB64" s="485"/>
      <c r="GC64" s="485"/>
      <c r="GD64" s="485"/>
      <c r="GE64" s="485"/>
      <c r="GF64" s="485"/>
      <c r="GG64" s="485"/>
      <c r="GH64" s="485"/>
      <c r="GI64" s="485"/>
      <c r="GJ64" s="485"/>
      <c r="GK64" s="485"/>
      <c r="GL64" s="485"/>
      <c r="GM64" s="485"/>
      <c r="GN64" s="485"/>
      <c r="GO64" s="485"/>
      <c r="GP64" s="485"/>
      <c r="GQ64" s="485"/>
      <c r="GR64" s="485"/>
      <c r="GS64" s="485"/>
      <c r="GT64" s="485"/>
      <c r="GU64" s="485"/>
      <c r="GV64" s="485"/>
      <c r="GW64" s="485"/>
      <c r="GX64" s="485"/>
      <c r="GY64" s="485"/>
      <c r="GZ64" s="485"/>
      <c r="HA64" s="485"/>
      <c r="HB64" s="485"/>
      <c r="HC64" s="485"/>
      <c r="HD64" s="485"/>
      <c r="HE64" s="485"/>
      <c r="HF64" s="485"/>
      <c r="HG64" s="485"/>
      <c r="HH64" s="485"/>
      <c r="HI64" s="485"/>
      <c r="HJ64" s="485"/>
      <c r="HK64" s="485"/>
      <c r="HL64" s="485"/>
      <c r="HM64" s="485"/>
      <c r="HN64" s="485"/>
      <c r="HO64" s="485"/>
      <c r="HP64" s="485"/>
      <c r="HQ64" s="485"/>
      <c r="HR64" s="485"/>
      <c r="HS64" s="485"/>
      <c r="HT64" s="485"/>
      <c r="HU64" s="485"/>
      <c r="HV64" s="485"/>
      <c r="HW64" s="485"/>
      <c r="HX64" s="485"/>
      <c r="HY64" s="485"/>
      <c r="HZ64" s="485"/>
      <c r="IA64" s="485"/>
      <c r="IB64" s="485"/>
      <c r="IC64" s="485"/>
      <c r="ID64" s="485"/>
    </row>
    <row r="65" spans="1:238" s="40" customFormat="1" ht="18" x14ac:dyDescent="0.35">
      <c r="A65" s="288"/>
      <c r="B65" s="289">
        <f>IF(O65=1,SUM($O$41:O65),0)</f>
        <v>0</v>
      </c>
      <c r="C65" s="274">
        <v>19</v>
      </c>
      <c r="D65" s="290" t="s">
        <v>219</v>
      </c>
      <c r="E65" s="291">
        <v>15</v>
      </c>
      <c r="F65" s="292" t="s">
        <v>105</v>
      </c>
      <c r="G65" s="293"/>
      <c r="H65" s="294"/>
      <c r="I65" s="288">
        <f>SUMIFS($AU$14:$AU$38,$AS$14:$AS$38,E65,$U$14:$U$38,F65)/100</f>
        <v>0</v>
      </c>
      <c r="J65" s="295">
        <v>1</v>
      </c>
      <c r="K65" s="295"/>
      <c r="L65" s="295">
        <f>VLOOKUP(D65,'قائمة الأسعار'!D4:F101,3,0)</f>
        <v>1</v>
      </c>
      <c r="M65" s="299">
        <f>L65*J65*I65</f>
        <v>0</v>
      </c>
      <c r="N65" s="413"/>
      <c r="O65" s="288">
        <f t="shared" si="197"/>
        <v>0</v>
      </c>
      <c r="Q65" s="63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188"/>
      <c r="AH65" s="95"/>
      <c r="AI65" s="95"/>
      <c r="AJ65" s="65"/>
      <c r="AK65" s="61"/>
      <c r="AL65" s="61"/>
      <c r="AM65" s="485"/>
      <c r="AN65" s="485"/>
      <c r="AO65" s="485"/>
      <c r="AP65" s="485"/>
      <c r="AQ65" s="485"/>
      <c r="AR65" s="485"/>
      <c r="AS65" s="485"/>
      <c r="AT65" s="485"/>
      <c r="AU65" s="485"/>
      <c r="AV65" s="485"/>
      <c r="AW65" s="485"/>
      <c r="AX65" s="485"/>
      <c r="AY65" s="485"/>
      <c r="AZ65" s="485"/>
      <c r="BA65" s="485"/>
      <c r="BB65" s="485"/>
      <c r="BC65" s="485"/>
      <c r="BD65" s="485"/>
      <c r="BE65" s="485"/>
      <c r="BF65" s="485"/>
      <c r="BG65" s="485"/>
      <c r="BH65" s="485"/>
      <c r="BI65" s="485"/>
      <c r="BJ65" s="485"/>
      <c r="BK65" s="485"/>
      <c r="BL65" s="485"/>
      <c r="BM65" s="485"/>
      <c r="BN65" s="485"/>
      <c r="BO65" s="485"/>
      <c r="BP65" s="485"/>
      <c r="BQ65" s="485"/>
      <c r="BR65" s="485"/>
      <c r="BS65" s="485"/>
      <c r="BT65" s="485"/>
      <c r="BU65" s="485"/>
      <c r="BV65" s="485"/>
      <c r="BW65" s="485"/>
      <c r="BX65" s="485"/>
      <c r="BY65" s="485"/>
      <c r="BZ65" s="485"/>
      <c r="CA65" s="485"/>
      <c r="CB65" s="485"/>
      <c r="CC65" s="485"/>
      <c r="CD65" s="485"/>
      <c r="CE65" s="485"/>
      <c r="CF65" s="485"/>
      <c r="CG65" s="485"/>
      <c r="CH65" s="485"/>
      <c r="CI65" s="485"/>
      <c r="CJ65" s="485"/>
      <c r="CK65" s="485"/>
      <c r="CL65" s="777"/>
      <c r="CM65" s="485"/>
      <c r="CN65" s="485"/>
      <c r="CO65" s="485"/>
      <c r="CP65" s="485"/>
      <c r="CQ65" s="485"/>
      <c r="CR65" s="485"/>
      <c r="CS65" s="485"/>
      <c r="CT65" s="485"/>
      <c r="CU65" s="485"/>
      <c r="CV65" s="485"/>
      <c r="CW65" s="485"/>
      <c r="CX65" s="485"/>
      <c r="CY65" s="485"/>
      <c r="CZ65" s="485"/>
      <c r="DA65" s="485"/>
      <c r="DB65" s="485"/>
      <c r="DC65" s="485"/>
      <c r="DD65" s="485"/>
      <c r="DE65" s="485"/>
      <c r="DF65" s="485"/>
      <c r="DG65" s="485"/>
      <c r="DH65" s="485"/>
      <c r="DI65" s="485"/>
      <c r="DJ65" s="485"/>
      <c r="DK65" s="485"/>
      <c r="DL65" s="485"/>
      <c r="DM65" s="485"/>
      <c r="DN65" s="485"/>
      <c r="DO65" s="485"/>
      <c r="DP65" s="485"/>
      <c r="DQ65" s="485"/>
      <c r="DR65" s="485"/>
      <c r="DS65" s="485"/>
      <c r="DT65" s="485"/>
      <c r="DU65" s="485"/>
      <c r="DV65" s="485"/>
      <c r="DW65" s="484"/>
      <c r="DX65" s="484"/>
      <c r="DY65" s="484"/>
      <c r="DZ65" s="484"/>
      <c r="EA65" s="484"/>
      <c r="EB65" s="484"/>
      <c r="EC65" s="484"/>
      <c r="ED65" s="484"/>
      <c r="EE65" s="484"/>
      <c r="EF65" s="484"/>
      <c r="EG65" s="484"/>
      <c r="EH65" s="484"/>
      <c r="EI65" s="484"/>
      <c r="EJ65" s="484"/>
      <c r="EK65" s="484"/>
      <c r="EL65" s="484"/>
      <c r="EM65" s="484"/>
      <c r="EN65" s="484"/>
      <c r="EO65" s="484"/>
      <c r="EP65" s="484"/>
      <c r="EQ65" s="484"/>
      <c r="ER65" s="484"/>
      <c r="ES65" s="484"/>
      <c r="ET65" s="484"/>
      <c r="EU65" s="484"/>
      <c r="EV65" s="484"/>
      <c r="EW65" s="484"/>
      <c r="EX65" s="484"/>
      <c r="EY65" s="484"/>
      <c r="EZ65" s="484"/>
      <c r="FA65" s="484"/>
      <c r="FB65" s="484"/>
      <c r="FC65" s="484"/>
      <c r="FD65" s="484"/>
      <c r="FE65" s="484"/>
      <c r="FF65" s="484"/>
      <c r="FG65" s="484"/>
      <c r="FH65" s="486"/>
      <c r="FI65" s="485"/>
      <c r="FJ65" s="485"/>
      <c r="FK65" s="485"/>
      <c r="FL65" s="485"/>
      <c r="FM65" s="485"/>
      <c r="FN65" s="485"/>
      <c r="FO65" s="485"/>
      <c r="FP65" s="485"/>
      <c r="FQ65" s="485"/>
      <c r="FR65" s="485"/>
      <c r="FS65" s="485"/>
      <c r="FT65" s="485"/>
      <c r="FU65" s="485"/>
      <c r="FV65" s="485"/>
      <c r="FW65" s="485"/>
      <c r="FX65" s="485"/>
      <c r="FY65" s="485"/>
      <c r="FZ65" s="485"/>
      <c r="GA65" s="485"/>
      <c r="GB65" s="485"/>
      <c r="GC65" s="485"/>
      <c r="GD65" s="485"/>
      <c r="GE65" s="485"/>
      <c r="GF65" s="485"/>
      <c r="GG65" s="485"/>
      <c r="GH65" s="485"/>
      <c r="GI65" s="485"/>
      <c r="GJ65" s="485"/>
      <c r="GK65" s="485"/>
      <c r="GL65" s="485"/>
      <c r="GM65" s="485"/>
      <c r="GN65" s="485"/>
      <c r="GO65" s="485"/>
      <c r="GP65" s="485"/>
      <c r="GQ65" s="485"/>
      <c r="GR65" s="485"/>
      <c r="GS65" s="485"/>
      <c r="GT65" s="485"/>
      <c r="GU65" s="485"/>
      <c r="GV65" s="485"/>
      <c r="GW65" s="485"/>
      <c r="GX65" s="485"/>
      <c r="GY65" s="485"/>
      <c r="GZ65" s="485"/>
      <c r="HA65" s="485"/>
      <c r="HB65" s="485"/>
      <c r="HC65" s="485"/>
      <c r="HD65" s="485"/>
      <c r="HE65" s="485"/>
      <c r="HF65" s="485"/>
      <c r="HG65" s="485"/>
      <c r="HH65" s="485"/>
      <c r="HI65" s="485"/>
      <c r="HJ65" s="485"/>
      <c r="HK65" s="485"/>
      <c r="HL65" s="485"/>
      <c r="HM65" s="485"/>
      <c r="HN65" s="485"/>
      <c r="HO65" s="485"/>
      <c r="HP65" s="485"/>
      <c r="HQ65" s="485"/>
      <c r="HR65" s="485"/>
      <c r="HS65" s="485"/>
      <c r="HT65" s="485"/>
      <c r="HU65" s="485"/>
      <c r="HV65" s="485"/>
      <c r="HW65" s="485"/>
      <c r="HX65" s="485"/>
      <c r="HY65" s="485"/>
      <c r="HZ65" s="485"/>
      <c r="IA65" s="485"/>
      <c r="IB65" s="485"/>
      <c r="IC65" s="485"/>
      <c r="ID65" s="485"/>
    </row>
    <row r="66" spans="1:238" s="40" customFormat="1" ht="18" x14ac:dyDescent="0.35">
      <c r="A66" s="288"/>
      <c r="B66" s="289">
        <f>IF(O66=1,SUM($O$41:O66),0)</f>
        <v>0</v>
      </c>
      <c r="C66" s="274">
        <v>20</v>
      </c>
      <c r="D66" s="290" t="s">
        <v>220</v>
      </c>
      <c r="E66" s="291">
        <v>15</v>
      </c>
      <c r="F66" s="292" t="s">
        <v>105</v>
      </c>
      <c r="G66" s="293"/>
      <c r="H66" s="294"/>
      <c r="I66" s="298" t="s">
        <v>20</v>
      </c>
      <c r="J66" s="288">
        <f>SUMIFS($HV$14:$HV$38,$AS$14:$AS$38,E66,$U$14:$U$38,F66)</f>
        <v>0</v>
      </c>
      <c r="K66" s="288"/>
      <c r="L66" s="295">
        <f>VLOOKUP(D66,'قائمة الأسعار'!D4:F101,3,0)</f>
        <v>1</v>
      </c>
      <c r="M66" s="296">
        <f>L66*J66</f>
        <v>0</v>
      </c>
      <c r="N66" s="413"/>
      <c r="O66" s="288">
        <f t="shared" si="197"/>
        <v>0</v>
      </c>
      <c r="Q66" s="63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188"/>
      <c r="AH66" s="95"/>
      <c r="AI66" s="95"/>
      <c r="AJ66" s="65"/>
      <c r="AM66" s="485"/>
      <c r="AN66" s="485"/>
      <c r="AO66" s="485"/>
      <c r="AP66" s="485"/>
      <c r="AQ66" s="485"/>
      <c r="AR66" s="485"/>
      <c r="AS66" s="485"/>
      <c r="AT66" s="485"/>
      <c r="AU66" s="485"/>
      <c r="AV66" s="485"/>
      <c r="AW66" s="485"/>
      <c r="AX66" s="485"/>
      <c r="AY66" s="485"/>
      <c r="AZ66" s="485"/>
      <c r="BA66" s="485"/>
      <c r="BB66" s="485"/>
      <c r="BC66" s="485"/>
      <c r="BD66" s="485"/>
      <c r="BE66" s="485"/>
      <c r="BF66" s="485"/>
      <c r="BG66" s="485"/>
      <c r="BH66" s="485"/>
      <c r="BI66" s="485"/>
      <c r="BJ66" s="485"/>
      <c r="BK66" s="485"/>
      <c r="BL66" s="485"/>
      <c r="BM66" s="485"/>
      <c r="BN66" s="485"/>
      <c r="BO66" s="485"/>
      <c r="BP66" s="485"/>
      <c r="BQ66" s="485"/>
      <c r="BR66" s="485"/>
      <c r="BS66" s="485"/>
      <c r="BT66" s="485"/>
      <c r="BU66" s="485"/>
      <c r="BV66" s="485"/>
      <c r="BW66" s="485"/>
      <c r="BX66" s="485"/>
      <c r="BY66" s="485"/>
      <c r="BZ66" s="485"/>
      <c r="CA66" s="485"/>
      <c r="CB66" s="485"/>
      <c r="CC66" s="485"/>
      <c r="CD66" s="485"/>
      <c r="CE66" s="485"/>
      <c r="CF66" s="485"/>
      <c r="CG66" s="485"/>
      <c r="CH66" s="485"/>
      <c r="CI66" s="485"/>
      <c r="CJ66" s="485"/>
      <c r="CK66" s="485"/>
      <c r="CL66" s="777"/>
      <c r="CM66" s="485"/>
      <c r="CN66" s="485"/>
      <c r="CO66" s="485"/>
      <c r="CP66" s="485"/>
      <c r="CQ66" s="485"/>
      <c r="CR66" s="485"/>
      <c r="CS66" s="485"/>
      <c r="CT66" s="485"/>
      <c r="CU66" s="485"/>
      <c r="CV66" s="485"/>
      <c r="CW66" s="485"/>
      <c r="CX66" s="485"/>
      <c r="CY66" s="485"/>
      <c r="CZ66" s="485"/>
      <c r="DA66" s="485"/>
      <c r="DB66" s="485"/>
      <c r="DC66" s="485"/>
      <c r="DD66" s="485"/>
      <c r="DE66" s="485"/>
      <c r="DF66" s="485"/>
      <c r="DG66" s="485"/>
      <c r="DH66" s="485"/>
      <c r="DI66" s="485"/>
      <c r="DJ66" s="485"/>
      <c r="DK66" s="485"/>
      <c r="DL66" s="485"/>
      <c r="DM66" s="485"/>
      <c r="DN66" s="485"/>
      <c r="DO66" s="485"/>
      <c r="DP66" s="485"/>
      <c r="DQ66" s="485"/>
      <c r="DR66" s="485"/>
      <c r="DS66" s="485"/>
      <c r="DT66" s="485"/>
      <c r="DU66" s="485"/>
      <c r="DV66" s="485"/>
      <c r="DW66" s="484"/>
      <c r="DX66" s="484"/>
      <c r="DY66" s="484"/>
      <c r="DZ66" s="484"/>
      <c r="EA66" s="484"/>
      <c r="EB66" s="484"/>
      <c r="EC66" s="484"/>
      <c r="ED66" s="484"/>
      <c r="EE66" s="484"/>
      <c r="EF66" s="484"/>
      <c r="EG66" s="484"/>
      <c r="EH66" s="484"/>
      <c r="EI66" s="484"/>
      <c r="EJ66" s="484"/>
      <c r="EK66" s="484"/>
      <c r="EL66" s="484"/>
      <c r="EM66" s="484"/>
      <c r="EN66" s="484"/>
      <c r="EO66" s="484"/>
      <c r="EP66" s="484"/>
      <c r="EQ66" s="484"/>
      <c r="ER66" s="484"/>
      <c r="ES66" s="484"/>
      <c r="ET66" s="484"/>
      <c r="EU66" s="484"/>
      <c r="EV66" s="484"/>
      <c r="EW66" s="484"/>
      <c r="EX66" s="484"/>
      <c r="EY66" s="484"/>
      <c r="EZ66" s="484"/>
      <c r="FA66" s="484"/>
      <c r="FB66" s="484"/>
      <c r="FC66" s="484"/>
      <c r="FD66" s="484"/>
      <c r="FE66" s="484"/>
      <c r="FF66" s="484"/>
      <c r="FG66" s="484"/>
      <c r="FH66" s="486"/>
      <c r="FI66" s="485"/>
      <c r="FJ66" s="485"/>
      <c r="FK66" s="485"/>
      <c r="FL66" s="485"/>
      <c r="FM66" s="485"/>
      <c r="FN66" s="485"/>
      <c r="FO66" s="485"/>
      <c r="FP66" s="485"/>
      <c r="FQ66" s="485"/>
      <c r="FR66" s="485"/>
      <c r="FS66" s="485"/>
      <c r="FT66" s="485"/>
      <c r="FU66" s="485"/>
      <c r="FV66" s="485"/>
      <c r="FW66" s="485"/>
      <c r="FX66" s="485"/>
      <c r="FY66" s="485"/>
      <c r="FZ66" s="485"/>
      <c r="GA66" s="485"/>
      <c r="GB66" s="485"/>
      <c r="GC66" s="485"/>
      <c r="GD66" s="485"/>
      <c r="GE66" s="485"/>
      <c r="GF66" s="485"/>
      <c r="GG66" s="485"/>
      <c r="GH66" s="485"/>
      <c r="GI66" s="485"/>
      <c r="GJ66" s="485"/>
      <c r="GK66" s="485"/>
      <c r="GL66" s="485"/>
      <c r="GM66" s="485"/>
      <c r="GN66" s="485"/>
      <c r="GO66" s="485"/>
      <c r="GP66" s="485"/>
      <c r="GQ66" s="485"/>
      <c r="GR66" s="485"/>
      <c r="GS66" s="485"/>
      <c r="GT66" s="485"/>
      <c r="GU66" s="485"/>
      <c r="GV66" s="485"/>
      <c r="GW66" s="485"/>
      <c r="GX66" s="485"/>
      <c r="GY66" s="485"/>
      <c r="GZ66" s="485"/>
      <c r="HA66" s="485"/>
      <c r="HB66" s="485"/>
      <c r="HC66" s="485"/>
      <c r="HD66" s="485"/>
      <c r="HE66" s="485"/>
      <c r="HF66" s="485"/>
      <c r="HG66" s="485"/>
      <c r="HH66" s="485"/>
      <c r="HI66" s="485"/>
      <c r="HJ66" s="485"/>
      <c r="HK66" s="485"/>
      <c r="HL66" s="485"/>
      <c r="HM66" s="485"/>
      <c r="HN66" s="485"/>
      <c r="HO66" s="485"/>
      <c r="HP66" s="485"/>
      <c r="HQ66" s="485"/>
      <c r="HR66" s="485"/>
      <c r="HS66" s="485"/>
      <c r="HT66" s="485"/>
      <c r="HU66" s="485"/>
      <c r="HV66" s="485"/>
      <c r="HW66" s="485"/>
      <c r="HX66" s="485"/>
      <c r="HY66" s="485"/>
      <c r="HZ66" s="485"/>
      <c r="IA66" s="485"/>
      <c r="IB66" s="485"/>
      <c r="IC66" s="485"/>
      <c r="ID66" s="485"/>
    </row>
    <row r="67" spans="1:238" s="40" customFormat="1" ht="18" x14ac:dyDescent="0.35">
      <c r="A67" s="288"/>
      <c r="B67" s="289">
        <f>IF(O67=1,SUM($O$41:O67),0)</f>
        <v>0</v>
      </c>
      <c r="C67" s="274">
        <v>21</v>
      </c>
      <c r="D67" s="290" t="s">
        <v>219</v>
      </c>
      <c r="E67" s="291">
        <v>15</v>
      </c>
      <c r="F67" s="292" t="s">
        <v>107</v>
      </c>
      <c r="G67" s="293"/>
      <c r="H67" s="294"/>
      <c r="I67" s="288">
        <f>SUMIFS($AU$14:$AU$38,$AS$14:$AS$38,E67,$U$14:$U$38,F67)/100</f>
        <v>0</v>
      </c>
      <c r="J67" s="295">
        <v>1</v>
      </c>
      <c r="K67" s="295"/>
      <c r="L67" s="295">
        <f>VLOOKUP(D67,'قائمة الأسعار'!D9:F102,3,0)</f>
        <v>1</v>
      </c>
      <c r="M67" s="296">
        <f>L67*J67*I67</f>
        <v>0</v>
      </c>
      <c r="N67" s="413"/>
      <c r="O67" s="288">
        <f t="shared" ref="O67:O87" si="198">IF(M67&gt;0,1,0)</f>
        <v>0</v>
      </c>
      <c r="Q67" s="63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188"/>
      <c r="AH67" s="95"/>
      <c r="AI67" s="95"/>
      <c r="AJ67" s="65"/>
      <c r="AK67" s="61"/>
      <c r="AL67" s="61"/>
      <c r="AM67" s="485"/>
      <c r="AN67" s="485"/>
      <c r="AO67" s="485"/>
      <c r="AP67" s="485"/>
      <c r="AQ67" s="485"/>
      <c r="AR67" s="485"/>
      <c r="AS67" s="485"/>
      <c r="AT67" s="485"/>
      <c r="AU67" s="485"/>
      <c r="AV67" s="485"/>
      <c r="AW67" s="485"/>
      <c r="AX67" s="485"/>
      <c r="AY67" s="485"/>
      <c r="AZ67" s="485"/>
      <c r="BA67" s="485"/>
      <c r="BB67" s="485"/>
      <c r="BC67" s="485"/>
      <c r="BD67" s="485"/>
      <c r="BE67" s="485"/>
      <c r="BF67" s="485"/>
      <c r="BG67" s="485"/>
      <c r="BH67" s="485"/>
      <c r="BI67" s="485"/>
      <c r="BJ67" s="485"/>
      <c r="BK67" s="485"/>
      <c r="BL67" s="485"/>
      <c r="BM67" s="485"/>
      <c r="BN67" s="485"/>
      <c r="BO67" s="485"/>
      <c r="BP67" s="485"/>
      <c r="BQ67" s="485"/>
      <c r="BR67" s="485"/>
      <c r="BS67" s="485"/>
      <c r="BT67" s="485"/>
      <c r="BU67" s="485"/>
      <c r="BV67" s="485"/>
      <c r="BW67" s="485"/>
      <c r="BX67" s="485"/>
      <c r="BY67" s="485"/>
      <c r="BZ67" s="485"/>
      <c r="CA67" s="485"/>
      <c r="CB67" s="485"/>
      <c r="CC67" s="485"/>
      <c r="CD67" s="485"/>
      <c r="CE67" s="485"/>
      <c r="CF67" s="485"/>
      <c r="CG67" s="485"/>
      <c r="CH67" s="485"/>
      <c r="CI67" s="485"/>
      <c r="CJ67" s="485"/>
      <c r="CK67" s="485"/>
      <c r="CL67" s="777"/>
      <c r="CM67" s="485"/>
      <c r="CN67" s="485"/>
      <c r="CO67" s="485"/>
      <c r="CP67" s="485"/>
      <c r="CQ67" s="485"/>
      <c r="CR67" s="485"/>
      <c r="CS67" s="485"/>
      <c r="CT67" s="485"/>
      <c r="CU67" s="485"/>
      <c r="CV67" s="485"/>
      <c r="CW67" s="485"/>
      <c r="CX67" s="485"/>
      <c r="CY67" s="485"/>
      <c r="CZ67" s="485"/>
      <c r="DA67" s="485"/>
      <c r="DB67" s="485"/>
      <c r="DC67" s="485"/>
      <c r="DD67" s="485"/>
      <c r="DE67" s="485"/>
      <c r="DF67" s="485"/>
      <c r="DG67" s="485"/>
      <c r="DH67" s="485"/>
      <c r="DI67" s="485"/>
      <c r="DJ67" s="485"/>
      <c r="DK67" s="485"/>
      <c r="DL67" s="485"/>
      <c r="DM67" s="485"/>
      <c r="DN67" s="485"/>
      <c r="DO67" s="485"/>
      <c r="DP67" s="485"/>
      <c r="DQ67" s="485"/>
      <c r="DR67" s="485"/>
      <c r="DS67" s="485"/>
      <c r="DT67" s="485"/>
      <c r="DU67" s="485"/>
      <c r="DV67" s="485"/>
      <c r="DW67" s="484"/>
      <c r="DX67" s="484"/>
      <c r="DY67" s="484"/>
      <c r="DZ67" s="484"/>
      <c r="EA67" s="484"/>
      <c r="EB67" s="484"/>
      <c r="EC67" s="484"/>
      <c r="ED67" s="484"/>
      <c r="EE67" s="484"/>
      <c r="EF67" s="484"/>
      <c r="EG67" s="484"/>
      <c r="EH67" s="484"/>
      <c r="EI67" s="484"/>
      <c r="EJ67" s="484"/>
      <c r="EK67" s="484"/>
      <c r="EL67" s="484"/>
      <c r="EM67" s="484"/>
      <c r="EN67" s="484"/>
      <c r="EO67" s="484"/>
      <c r="EP67" s="484"/>
      <c r="EQ67" s="484"/>
      <c r="ER67" s="484"/>
      <c r="ES67" s="484"/>
      <c r="ET67" s="484"/>
      <c r="EU67" s="484"/>
      <c r="EV67" s="484"/>
      <c r="EW67" s="484"/>
      <c r="EX67" s="484"/>
      <c r="EY67" s="484"/>
      <c r="EZ67" s="484"/>
      <c r="FA67" s="484"/>
      <c r="FB67" s="484"/>
      <c r="FC67" s="484"/>
      <c r="FD67" s="484"/>
      <c r="FE67" s="484"/>
      <c r="FF67" s="484"/>
      <c r="FG67" s="484"/>
      <c r="FH67" s="486"/>
      <c r="FI67" s="485"/>
      <c r="FJ67" s="485"/>
      <c r="FK67" s="485"/>
      <c r="FL67" s="485"/>
      <c r="FM67" s="485"/>
      <c r="FN67" s="485"/>
      <c r="FO67" s="485"/>
      <c r="FP67" s="485"/>
      <c r="FQ67" s="485"/>
      <c r="FR67" s="485"/>
      <c r="FS67" s="485"/>
      <c r="FT67" s="485"/>
      <c r="FU67" s="485"/>
      <c r="FV67" s="485"/>
      <c r="FW67" s="485"/>
      <c r="FX67" s="485"/>
      <c r="FY67" s="485"/>
      <c r="FZ67" s="485"/>
      <c r="GA67" s="485"/>
      <c r="GB67" s="485"/>
      <c r="GC67" s="485"/>
      <c r="GD67" s="485"/>
      <c r="GE67" s="485"/>
      <c r="GF67" s="485"/>
      <c r="GG67" s="485"/>
      <c r="GH67" s="485"/>
      <c r="GI67" s="485"/>
      <c r="GJ67" s="485"/>
      <c r="GK67" s="485"/>
      <c r="GL67" s="485"/>
      <c r="GM67" s="485"/>
      <c r="GN67" s="485"/>
      <c r="GO67" s="485"/>
      <c r="GP67" s="485"/>
      <c r="GQ67" s="485"/>
      <c r="GR67" s="485"/>
      <c r="GS67" s="485"/>
      <c r="GT67" s="485"/>
      <c r="GU67" s="485"/>
      <c r="GV67" s="485"/>
      <c r="GW67" s="485"/>
      <c r="GX67" s="485"/>
      <c r="GY67" s="485"/>
      <c r="GZ67" s="485"/>
      <c r="HA67" s="485"/>
      <c r="HB67" s="485"/>
      <c r="HC67" s="485"/>
      <c r="HD67" s="485"/>
      <c r="HE67" s="485"/>
      <c r="HF67" s="485"/>
      <c r="HG67" s="485"/>
      <c r="HH67" s="485"/>
      <c r="HI67" s="485"/>
      <c r="HJ67" s="485"/>
      <c r="HK67" s="485"/>
      <c r="HL67" s="485"/>
      <c r="HM67" s="485"/>
      <c r="HN67" s="485"/>
      <c r="HO67" s="485"/>
      <c r="HP67" s="485"/>
      <c r="HQ67" s="485"/>
      <c r="HR67" s="485"/>
      <c r="HS67" s="485"/>
      <c r="HT67" s="485"/>
      <c r="HU67" s="485"/>
      <c r="HV67" s="485"/>
      <c r="HW67" s="485"/>
      <c r="HX67" s="485"/>
      <c r="HY67" s="485"/>
      <c r="HZ67" s="485"/>
      <c r="IA67" s="485"/>
      <c r="IB67" s="485"/>
      <c r="IC67" s="485"/>
      <c r="ID67" s="485"/>
    </row>
    <row r="68" spans="1:238" s="40" customFormat="1" ht="18" x14ac:dyDescent="0.35">
      <c r="A68" s="288"/>
      <c r="B68" s="289">
        <f>IF(O68=1,SUM($O$41:O68),0)</f>
        <v>0</v>
      </c>
      <c r="C68" s="274">
        <v>22</v>
      </c>
      <c r="D68" s="290" t="s">
        <v>220</v>
      </c>
      <c r="E68" s="291">
        <v>15</v>
      </c>
      <c r="F68" s="292" t="s">
        <v>107</v>
      </c>
      <c r="G68" s="293"/>
      <c r="H68" s="294"/>
      <c r="I68" s="298" t="s">
        <v>20</v>
      </c>
      <c r="J68" s="288">
        <f>SUMIFS($HV$14:$HV$38,$AS$14:$AS$38,E68,$U$14:$U$38,F68)</f>
        <v>0</v>
      </c>
      <c r="K68" s="288"/>
      <c r="L68" s="295">
        <f>VLOOKUP(D68,'قائمة الأسعار'!D9:F102,3,0)</f>
        <v>1</v>
      </c>
      <c r="M68" s="296">
        <f>L68*J68</f>
        <v>0</v>
      </c>
      <c r="N68" s="413"/>
      <c r="O68" s="288">
        <f t="shared" si="198"/>
        <v>0</v>
      </c>
      <c r="Q68" s="63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188"/>
      <c r="AH68" s="95"/>
      <c r="AI68" s="95"/>
      <c r="AJ68" s="65"/>
      <c r="AM68" s="485"/>
      <c r="AN68" s="485"/>
      <c r="AO68" s="485"/>
      <c r="AP68" s="485"/>
      <c r="AQ68" s="485"/>
      <c r="AR68" s="485"/>
      <c r="AS68" s="485"/>
      <c r="AT68" s="485"/>
      <c r="AU68" s="485"/>
      <c r="AV68" s="485"/>
      <c r="AW68" s="485"/>
      <c r="AX68" s="485"/>
      <c r="AY68" s="485"/>
      <c r="AZ68" s="485"/>
      <c r="BA68" s="485"/>
      <c r="BB68" s="485"/>
      <c r="BC68" s="485"/>
      <c r="BD68" s="485"/>
      <c r="BE68" s="485"/>
      <c r="BF68" s="485"/>
      <c r="BG68" s="485"/>
      <c r="BH68" s="485"/>
      <c r="BI68" s="485"/>
      <c r="BJ68" s="485"/>
      <c r="BK68" s="485"/>
      <c r="BL68" s="485"/>
      <c r="BM68" s="485"/>
      <c r="BN68" s="485"/>
      <c r="BO68" s="485"/>
      <c r="BP68" s="485"/>
      <c r="BQ68" s="485"/>
      <c r="BR68" s="485"/>
      <c r="BS68" s="485"/>
      <c r="BT68" s="485"/>
      <c r="BU68" s="485"/>
      <c r="BV68" s="485"/>
      <c r="BW68" s="485"/>
      <c r="BX68" s="485"/>
      <c r="BY68" s="485"/>
      <c r="BZ68" s="485"/>
      <c r="CA68" s="485"/>
      <c r="CB68" s="485"/>
      <c r="CC68" s="485"/>
      <c r="CD68" s="485"/>
      <c r="CE68" s="485"/>
      <c r="CF68" s="485"/>
      <c r="CG68" s="485"/>
      <c r="CH68" s="485"/>
      <c r="CI68" s="485"/>
      <c r="CJ68" s="485"/>
      <c r="CK68" s="485"/>
      <c r="CL68" s="777"/>
      <c r="CM68" s="485"/>
      <c r="CN68" s="485"/>
      <c r="CO68" s="485"/>
      <c r="CP68" s="485"/>
      <c r="CQ68" s="485"/>
      <c r="CR68" s="485"/>
      <c r="CS68" s="485"/>
      <c r="CT68" s="485"/>
      <c r="CU68" s="485"/>
      <c r="CV68" s="485"/>
      <c r="CW68" s="485"/>
      <c r="CX68" s="485"/>
      <c r="CY68" s="485"/>
      <c r="CZ68" s="485"/>
      <c r="DA68" s="485"/>
      <c r="DB68" s="485"/>
      <c r="DC68" s="485"/>
      <c r="DD68" s="485"/>
      <c r="DE68" s="485"/>
      <c r="DF68" s="485"/>
      <c r="DG68" s="485"/>
      <c r="DH68" s="485"/>
      <c r="DI68" s="485"/>
      <c r="DJ68" s="485"/>
      <c r="DK68" s="485"/>
      <c r="DL68" s="485"/>
      <c r="DM68" s="485"/>
      <c r="DN68" s="485"/>
      <c r="DO68" s="485"/>
      <c r="DP68" s="485"/>
      <c r="DQ68" s="485"/>
      <c r="DR68" s="485"/>
      <c r="DS68" s="485"/>
      <c r="DT68" s="485"/>
      <c r="DU68" s="485"/>
      <c r="DV68" s="485"/>
      <c r="DW68" s="484"/>
      <c r="DX68" s="484"/>
      <c r="DY68" s="484"/>
      <c r="DZ68" s="484"/>
      <c r="EA68" s="484"/>
      <c r="EB68" s="484"/>
      <c r="EC68" s="484"/>
      <c r="ED68" s="484"/>
      <c r="EE68" s="484"/>
      <c r="EF68" s="484"/>
      <c r="EG68" s="484"/>
      <c r="EH68" s="484"/>
      <c r="EI68" s="484"/>
      <c r="EJ68" s="484"/>
      <c r="EK68" s="484"/>
      <c r="EL68" s="484"/>
      <c r="EM68" s="484"/>
      <c r="EN68" s="484"/>
      <c r="EO68" s="484"/>
      <c r="EP68" s="484"/>
      <c r="EQ68" s="484"/>
      <c r="ER68" s="484"/>
      <c r="ES68" s="484"/>
      <c r="ET68" s="484"/>
      <c r="EU68" s="484"/>
      <c r="EV68" s="484"/>
      <c r="EW68" s="484"/>
      <c r="EX68" s="484"/>
      <c r="EY68" s="484"/>
      <c r="EZ68" s="484"/>
      <c r="FA68" s="484"/>
      <c r="FB68" s="484"/>
      <c r="FC68" s="484"/>
      <c r="FD68" s="484"/>
      <c r="FE68" s="484"/>
      <c r="FF68" s="484"/>
      <c r="FG68" s="484"/>
      <c r="FH68" s="486"/>
      <c r="FI68" s="485"/>
      <c r="FJ68" s="485"/>
      <c r="FK68" s="485"/>
      <c r="FL68" s="485"/>
      <c r="FM68" s="485"/>
      <c r="FN68" s="485"/>
      <c r="FO68" s="485"/>
      <c r="FP68" s="485"/>
      <c r="FQ68" s="485"/>
      <c r="FR68" s="485"/>
      <c r="FS68" s="485"/>
      <c r="FT68" s="485"/>
      <c r="FU68" s="485"/>
      <c r="FV68" s="485"/>
      <c r="FW68" s="485"/>
      <c r="FX68" s="485"/>
      <c r="FY68" s="485"/>
      <c r="FZ68" s="485"/>
      <c r="GA68" s="485"/>
      <c r="GB68" s="485"/>
      <c r="GC68" s="485"/>
      <c r="GD68" s="485"/>
      <c r="GE68" s="485"/>
      <c r="GF68" s="485"/>
      <c r="GG68" s="485"/>
      <c r="GH68" s="485"/>
      <c r="GI68" s="485"/>
      <c r="GJ68" s="485"/>
      <c r="GK68" s="485"/>
      <c r="GL68" s="485"/>
      <c r="GM68" s="485"/>
      <c r="GN68" s="485"/>
      <c r="GO68" s="485"/>
      <c r="GP68" s="485"/>
      <c r="GQ68" s="485"/>
      <c r="GR68" s="485"/>
      <c r="GS68" s="485"/>
      <c r="GT68" s="485"/>
      <c r="GU68" s="485"/>
      <c r="GV68" s="485"/>
      <c r="GW68" s="485"/>
      <c r="GX68" s="485"/>
      <c r="GY68" s="485"/>
      <c r="GZ68" s="485"/>
      <c r="HA68" s="485"/>
      <c r="HB68" s="485"/>
      <c r="HC68" s="485"/>
      <c r="HD68" s="485"/>
      <c r="HE68" s="485"/>
      <c r="HF68" s="485"/>
      <c r="HG68" s="485"/>
      <c r="HH68" s="485"/>
      <c r="HI68" s="485"/>
      <c r="HJ68" s="485"/>
      <c r="HK68" s="485"/>
      <c r="HL68" s="485"/>
      <c r="HM68" s="485"/>
      <c r="HN68" s="485"/>
      <c r="HO68" s="485"/>
      <c r="HP68" s="485"/>
      <c r="HQ68" s="485"/>
      <c r="HR68" s="485"/>
      <c r="HS68" s="485"/>
      <c r="HT68" s="485"/>
      <c r="HU68" s="485"/>
      <c r="HV68" s="485"/>
      <c r="HW68" s="485"/>
      <c r="HX68" s="485"/>
      <c r="HY68" s="485"/>
      <c r="HZ68" s="485"/>
      <c r="IA68" s="485"/>
      <c r="IB68" s="485"/>
      <c r="IC68" s="485"/>
      <c r="ID68" s="485"/>
    </row>
    <row r="69" spans="1:238" s="40" customFormat="1" ht="18" x14ac:dyDescent="0.35">
      <c r="A69" s="288"/>
      <c r="B69" s="289">
        <f>IF(O69=1,SUM($O$41:O69),0)</f>
        <v>0</v>
      </c>
      <c r="C69" s="274">
        <v>23</v>
      </c>
      <c r="D69" s="290" t="s">
        <v>219</v>
      </c>
      <c r="E69" s="291">
        <v>15</v>
      </c>
      <c r="F69" s="287" t="s">
        <v>149</v>
      </c>
      <c r="G69" s="293"/>
      <c r="H69" s="294"/>
      <c r="I69" s="288">
        <f>SUMIFS($AU$14:$AU$38,$AS$14:$AS$38,E69,$U$14:$U$38,F69)/100</f>
        <v>0</v>
      </c>
      <c r="J69" s="295">
        <v>1</v>
      </c>
      <c r="K69" s="295"/>
      <c r="L69" s="295">
        <f>VLOOKUP(D69,'قائمة الأسعار'!D11:F104,3,0)</f>
        <v>1</v>
      </c>
      <c r="M69" s="296">
        <f>L69*J69*I69</f>
        <v>0</v>
      </c>
      <c r="N69" s="413"/>
      <c r="O69" s="288">
        <f t="shared" si="198"/>
        <v>0</v>
      </c>
      <c r="Q69" s="63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188"/>
      <c r="AH69" s="95"/>
      <c r="AI69" s="95"/>
      <c r="AJ69" s="65"/>
      <c r="AK69" s="61"/>
      <c r="AL69" s="61"/>
      <c r="AM69" s="485"/>
      <c r="AN69" s="485"/>
      <c r="AO69" s="485"/>
      <c r="AP69" s="485"/>
      <c r="AQ69" s="485"/>
      <c r="AR69" s="485"/>
      <c r="AS69" s="485"/>
      <c r="AT69" s="485"/>
      <c r="AU69" s="485"/>
      <c r="AV69" s="485"/>
      <c r="AW69" s="485"/>
      <c r="AX69" s="485"/>
      <c r="AY69" s="485"/>
      <c r="AZ69" s="485"/>
      <c r="BA69" s="485"/>
      <c r="BB69" s="485"/>
      <c r="BC69" s="485"/>
      <c r="BD69" s="485"/>
      <c r="BE69" s="485"/>
      <c r="BF69" s="485"/>
      <c r="BG69" s="485"/>
      <c r="BH69" s="485"/>
      <c r="BI69" s="485"/>
      <c r="BJ69" s="485"/>
      <c r="BK69" s="485"/>
      <c r="BL69" s="485"/>
      <c r="BM69" s="485"/>
      <c r="BN69" s="485"/>
      <c r="BO69" s="485"/>
      <c r="BP69" s="485"/>
      <c r="BQ69" s="485"/>
      <c r="BR69" s="485"/>
      <c r="BS69" s="485"/>
      <c r="BT69" s="485"/>
      <c r="BU69" s="485"/>
      <c r="BV69" s="485"/>
      <c r="BW69" s="485"/>
      <c r="BX69" s="485"/>
      <c r="BY69" s="485"/>
      <c r="BZ69" s="485"/>
      <c r="CA69" s="485"/>
      <c r="CB69" s="485"/>
      <c r="CC69" s="485"/>
      <c r="CD69" s="485"/>
      <c r="CE69" s="485"/>
      <c r="CF69" s="485"/>
      <c r="CG69" s="485"/>
      <c r="CH69" s="485"/>
      <c r="CI69" s="485"/>
      <c r="CJ69" s="485"/>
      <c r="CK69" s="485"/>
      <c r="CL69" s="777"/>
      <c r="CM69" s="485"/>
      <c r="CN69" s="485"/>
      <c r="CO69" s="485"/>
      <c r="CP69" s="485"/>
      <c r="CQ69" s="485"/>
      <c r="CR69" s="485"/>
      <c r="CS69" s="485"/>
      <c r="CT69" s="485"/>
      <c r="CU69" s="485"/>
      <c r="CV69" s="485"/>
      <c r="CW69" s="485"/>
      <c r="CX69" s="485"/>
      <c r="CY69" s="485"/>
      <c r="CZ69" s="485"/>
      <c r="DA69" s="485"/>
      <c r="DB69" s="485"/>
      <c r="DC69" s="485"/>
      <c r="DD69" s="485"/>
      <c r="DE69" s="485"/>
      <c r="DF69" s="485"/>
      <c r="DG69" s="485"/>
      <c r="DH69" s="485"/>
      <c r="DI69" s="485"/>
      <c r="DJ69" s="485"/>
      <c r="DK69" s="485"/>
      <c r="DL69" s="485"/>
      <c r="DM69" s="485"/>
      <c r="DN69" s="485"/>
      <c r="DO69" s="485"/>
      <c r="DP69" s="485"/>
      <c r="DQ69" s="485"/>
      <c r="DR69" s="485"/>
      <c r="DS69" s="485"/>
      <c r="DT69" s="485"/>
      <c r="DU69" s="485"/>
      <c r="DV69" s="485"/>
      <c r="DW69" s="484"/>
      <c r="DX69" s="484"/>
      <c r="DY69" s="484"/>
      <c r="DZ69" s="484"/>
      <c r="EA69" s="484"/>
      <c r="EB69" s="484"/>
      <c r="EC69" s="484"/>
      <c r="ED69" s="484"/>
      <c r="EE69" s="484"/>
      <c r="EF69" s="484"/>
      <c r="EG69" s="484"/>
      <c r="EH69" s="484"/>
      <c r="EI69" s="484"/>
      <c r="EJ69" s="484"/>
      <c r="EK69" s="484"/>
      <c r="EL69" s="484"/>
      <c r="EM69" s="484"/>
      <c r="EN69" s="484"/>
      <c r="EO69" s="484"/>
      <c r="EP69" s="484"/>
      <c r="EQ69" s="484"/>
      <c r="ER69" s="484"/>
      <c r="ES69" s="484"/>
      <c r="ET69" s="484"/>
      <c r="EU69" s="484"/>
      <c r="EV69" s="484"/>
      <c r="EW69" s="484"/>
      <c r="EX69" s="484"/>
      <c r="EY69" s="484"/>
      <c r="EZ69" s="484"/>
      <c r="FA69" s="484"/>
      <c r="FB69" s="484"/>
      <c r="FC69" s="484"/>
      <c r="FD69" s="484"/>
      <c r="FE69" s="484"/>
      <c r="FF69" s="484"/>
      <c r="FG69" s="484"/>
      <c r="FH69" s="486"/>
      <c r="FI69" s="485"/>
      <c r="FJ69" s="485"/>
      <c r="FK69" s="485"/>
      <c r="FL69" s="485"/>
      <c r="FM69" s="485"/>
      <c r="FN69" s="485"/>
      <c r="FO69" s="485"/>
      <c r="FP69" s="485"/>
      <c r="FQ69" s="485"/>
      <c r="FR69" s="485"/>
      <c r="FS69" s="485"/>
      <c r="FT69" s="485"/>
      <c r="FU69" s="485"/>
      <c r="FV69" s="485"/>
      <c r="FW69" s="485"/>
      <c r="FX69" s="485"/>
      <c r="FY69" s="485"/>
      <c r="FZ69" s="485"/>
      <c r="GA69" s="485"/>
      <c r="GB69" s="485"/>
      <c r="GC69" s="485"/>
      <c r="GD69" s="485"/>
      <c r="GE69" s="485"/>
      <c r="GF69" s="485"/>
      <c r="GG69" s="485"/>
      <c r="GH69" s="485"/>
      <c r="GI69" s="485"/>
      <c r="GJ69" s="485"/>
      <c r="GK69" s="485"/>
      <c r="GL69" s="485"/>
      <c r="GM69" s="485"/>
      <c r="GN69" s="485"/>
      <c r="GO69" s="485"/>
      <c r="GP69" s="485"/>
      <c r="GQ69" s="485"/>
      <c r="GR69" s="485"/>
      <c r="GS69" s="485"/>
      <c r="GT69" s="485"/>
      <c r="GU69" s="485"/>
      <c r="GV69" s="485"/>
      <c r="GW69" s="485"/>
      <c r="GX69" s="485"/>
      <c r="GY69" s="485"/>
      <c r="GZ69" s="485"/>
      <c r="HA69" s="485"/>
      <c r="HB69" s="485"/>
      <c r="HC69" s="485"/>
      <c r="HD69" s="485"/>
      <c r="HE69" s="485"/>
      <c r="HF69" s="485"/>
      <c r="HG69" s="485"/>
      <c r="HH69" s="485"/>
      <c r="HI69" s="485"/>
      <c r="HJ69" s="485"/>
      <c r="HK69" s="485"/>
      <c r="HL69" s="485"/>
      <c r="HM69" s="485"/>
      <c r="HN69" s="485"/>
      <c r="HO69" s="485"/>
      <c r="HP69" s="485"/>
      <c r="HQ69" s="485"/>
      <c r="HR69" s="485"/>
      <c r="HS69" s="485"/>
      <c r="HT69" s="485"/>
      <c r="HU69" s="485"/>
      <c r="HV69" s="485"/>
      <c r="HW69" s="485"/>
      <c r="HX69" s="485"/>
      <c r="HY69" s="485"/>
      <c r="HZ69" s="485"/>
      <c r="IA69" s="485"/>
      <c r="IB69" s="485"/>
      <c r="IC69" s="485"/>
      <c r="ID69" s="485"/>
    </row>
    <row r="70" spans="1:238" s="40" customFormat="1" ht="18" x14ac:dyDescent="0.35">
      <c r="A70" s="288"/>
      <c r="B70" s="289">
        <f>IF(O70=1,SUM($O$41:O70),0)</f>
        <v>0</v>
      </c>
      <c r="C70" s="274">
        <v>24</v>
      </c>
      <c r="D70" s="290" t="s">
        <v>220</v>
      </c>
      <c r="E70" s="291">
        <v>15</v>
      </c>
      <c r="F70" s="287" t="s">
        <v>149</v>
      </c>
      <c r="G70" s="293"/>
      <c r="H70" s="294"/>
      <c r="I70" s="298" t="s">
        <v>20</v>
      </c>
      <c r="J70" s="288">
        <f>SUMIFS($HV$14:$HV$38,$AS$14:$AS$38,E70,$U$14:$U$38,F70)</f>
        <v>0</v>
      </c>
      <c r="K70" s="288"/>
      <c r="L70" s="295">
        <f>VLOOKUP(D70,'قائمة الأسعار'!D11:F104,3,0)</f>
        <v>1</v>
      </c>
      <c r="M70" s="296">
        <f>L70*J70</f>
        <v>0</v>
      </c>
      <c r="N70" s="413"/>
      <c r="O70" s="288">
        <f t="shared" si="198"/>
        <v>0</v>
      </c>
      <c r="Q70" s="63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188"/>
      <c r="AH70" s="95"/>
      <c r="AI70" s="95"/>
      <c r="AJ70" s="65"/>
      <c r="AM70" s="485"/>
      <c r="AN70" s="485"/>
      <c r="AO70" s="485"/>
      <c r="AP70" s="485"/>
      <c r="AQ70" s="485"/>
      <c r="AR70" s="485"/>
      <c r="AS70" s="485"/>
      <c r="AT70" s="485"/>
      <c r="AU70" s="485"/>
      <c r="AV70" s="485"/>
      <c r="AW70" s="485"/>
      <c r="AX70" s="485"/>
      <c r="AY70" s="485"/>
      <c r="AZ70" s="485"/>
      <c r="BA70" s="485"/>
      <c r="BB70" s="485"/>
      <c r="BC70" s="485"/>
      <c r="BD70" s="485"/>
      <c r="BE70" s="485"/>
      <c r="BF70" s="485"/>
      <c r="BG70" s="485"/>
      <c r="BH70" s="485"/>
      <c r="BI70" s="485"/>
      <c r="BJ70" s="485"/>
      <c r="BK70" s="485"/>
      <c r="BL70" s="485"/>
      <c r="BM70" s="485"/>
      <c r="BN70" s="485"/>
      <c r="BO70" s="485"/>
      <c r="BP70" s="485"/>
      <c r="BQ70" s="485"/>
      <c r="BR70" s="485"/>
      <c r="BS70" s="485"/>
      <c r="BT70" s="485"/>
      <c r="BU70" s="485"/>
      <c r="BV70" s="485"/>
      <c r="BW70" s="485"/>
      <c r="BX70" s="485"/>
      <c r="BY70" s="485"/>
      <c r="BZ70" s="485"/>
      <c r="CA70" s="485"/>
      <c r="CB70" s="485"/>
      <c r="CC70" s="485"/>
      <c r="CD70" s="485"/>
      <c r="CE70" s="485"/>
      <c r="CF70" s="485"/>
      <c r="CG70" s="485"/>
      <c r="CH70" s="485"/>
      <c r="CI70" s="485"/>
      <c r="CJ70" s="485"/>
      <c r="CK70" s="485"/>
      <c r="CL70" s="777"/>
      <c r="CM70" s="485"/>
      <c r="CN70" s="485"/>
      <c r="CO70" s="485"/>
      <c r="CP70" s="485"/>
      <c r="CQ70" s="485"/>
      <c r="CR70" s="485"/>
      <c r="CS70" s="485"/>
      <c r="CT70" s="485"/>
      <c r="CU70" s="485"/>
      <c r="CV70" s="485"/>
      <c r="CW70" s="485"/>
      <c r="CX70" s="485"/>
      <c r="CY70" s="485"/>
      <c r="CZ70" s="485"/>
      <c r="DA70" s="485"/>
      <c r="DB70" s="485"/>
      <c r="DC70" s="485"/>
      <c r="DD70" s="485"/>
      <c r="DE70" s="485"/>
      <c r="DF70" s="485"/>
      <c r="DG70" s="485"/>
      <c r="DH70" s="485"/>
      <c r="DI70" s="485"/>
      <c r="DJ70" s="485"/>
      <c r="DK70" s="485"/>
      <c r="DL70" s="485"/>
      <c r="DM70" s="485"/>
      <c r="DN70" s="485"/>
      <c r="DO70" s="485"/>
      <c r="DP70" s="485"/>
      <c r="DQ70" s="485"/>
      <c r="DR70" s="485"/>
      <c r="DS70" s="485"/>
      <c r="DT70" s="485"/>
      <c r="DU70" s="485"/>
      <c r="DV70" s="485"/>
      <c r="DW70" s="484"/>
      <c r="DX70" s="484"/>
      <c r="DY70" s="484"/>
      <c r="DZ70" s="484"/>
      <c r="EA70" s="484"/>
      <c r="EB70" s="484"/>
      <c r="EC70" s="484"/>
      <c r="ED70" s="484"/>
      <c r="EE70" s="484"/>
      <c r="EF70" s="484"/>
      <c r="EG70" s="484"/>
      <c r="EH70" s="484"/>
      <c r="EI70" s="484"/>
      <c r="EJ70" s="484"/>
      <c r="EK70" s="484"/>
      <c r="EL70" s="484"/>
      <c r="EM70" s="484"/>
      <c r="EN70" s="484"/>
      <c r="EO70" s="484"/>
      <c r="EP70" s="484"/>
      <c r="EQ70" s="484"/>
      <c r="ER70" s="484"/>
      <c r="ES70" s="484"/>
      <c r="ET70" s="484"/>
      <c r="EU70" s="484"/>
      <c r="EV70" s="484"/>
      <c r="EW70" s="484"/>
      <c r="EX70" s="484"/>
      <c r="EY70" s="484"/>
      <c r="EZ70" s="484"/>
      <c r="FA70" s="484"/>
      <c r="FB70" s="484"/>
      <c r="FC70" s="484"/>
      <c r="FD70" s="484"/>
      <c r="FE70" s="484"/>
      <c r="FF70" s="484"/>
      <c r="FG70" s="484"/>
      <c r="FH70" s="486"/>
      <c r="FI70" s="485"/>
      <c r="FJ70" s="485"/>
      <c r="FK70" s="485"/>
      <c r="FL70" s="485"/>
      <c r="FM70" s="485"/>
      <c r="FN70" s="485"/>
      <c r="FO70" s="485"/>
      <c r="FP70" s="485"/>
      <c r="FQ70" s="485"/>
      <c r="FR70" s="485"/>
      <c r="FS70" s="485"/>
      <c r="FT70" s="485"/>
      <c r="FU70" s="485"/>
      <c r="FV70" s="485"/>
      <c r="FW70" s="485"/>
      <c r="FX70" s="485"/>
      <c r="FY70" s="485"/>
      <c r="FZ70" s="485"/>
      <c r="GA70" s="485"/>
      <c r="GB70" s="485"/>
      <c r="GC70" s="485"/>
      <c r="GD70" s="485"/>
      <c r="GE70" s="485"/>
      <c r="GF70" s="485"/>
      <c r="GG70" s="485"/>
      <c r="GH70" s="485"/>
      <c r="GI70" s="485"/>
      <c r="GJ70" s="485"/>
      <c r="GK70" s="485"/>
      <c r="GL70" s="485"/>
      <c r="GM70" s="485"/>
      <c r="GN70" s="485"/>
      <c r="GO70" s="485"/>
      <c r="GP70" s="485"/>
      <c r="GQ70" s="485"/>
      <c r="GR70" s="485"/>
      <c r="GS70" s="485"/>
      <c r="GT70" s="485"/>
      <c r="GU70" s="485"/>
      <c r="GV70" s="485"/>
      <c r="GW70" s="485"/>
      <c r="GX70" s="485"/>
      <c r="GY70" s="485"/>
      <c r="GZ70" s="485"/>
      <c r="HA70" s="485"/>
      <c r="HB70" s="485"/>
      <c r="HC70" s="485"/>
      <c r="HD70" s="485"/>
      <c r="HE70" s="485"/>
      <c r="HF70" s="485"/>
      <c r="HG70" s="485"/>
      <c r="HH70" s="485"/>
      <c r="HI70" s="485"/>
      <c r="HJ70" s="485"/>
      <c r="HK70" s="485"/>
      <c r="HL70" s="485"/>
      <c r="HM70" s="485"/>
      <c r="HN70" s="485"/>
      <c r="HO70" s="485"/>
      <c r="HP70" s="485"/>
      <c r="HQ70" s="485"/>
      <c r="HR70" s="485"/>
      <c r="HS70" s="485"/>
      <c r="HT70" s="485"/>
      <c r="HU70" s="485"/>
      <c r="HV70" s="485"/>
      <c r="HW70" s="485"/>
      <c r="HX70" s="485"/>
      <c r="HY70" s="485"/>
      <c r="HZ70" s="485"/>
      <c r="IA70" s="485"/>
      <c r="IB70" s="485"/>
      <c r="IC70" s="485"/>
      <c r="ID70" s="485"/>
    </row>
    <row r="71" spans="1:238" s="40" customFormat="1" ht="18" x14ac:dyDescent="0.35">
      <c r="A71" s="288"/>
      <c r="B71" s="289">
        <f>IF(O71=1,SUM($O$41:O71),0)</f>
        <v>0</v>
      </c>
      <c r="C71" s="274">
        <v>25</v>
      </c>
      <c r="D71" s="290" t="s">
        <v>219</v>
      </c>
      <c r="E71" s="291">
        <v>15</v>
      </c>
      <c r="F71" s="284" t="s">
        <v>143</v>
      </c>
      <c r="G71" s="293"/>
      <c r="H71" s="294"/>
      <c r="I71" s="288">
        <f>SUMIFS($AU$14:$AU$38,$AS$14:$AS$38,E71,$U$14:$U$38,F71)/100</f>
        <v>0</v>
      </c>
      <c r="J71" s="295">
        <v>1</v>
      </c>
      <c r="K71" s="295"/>
      <c r="L71" s="295">
        <f>VLOOKUP(D71,'قائمة الأسعار'!D13:F106,3,0)</f>
        <v>1</v>
      </c>
      <c r="M71" s="296">
        <f>L71*J71*I71</f>
        <v>0</v>
      </c>
      <c r="N71" s="413"/>
      <c r="O71" s="288">
        <f t="shared" si="198"/>
        <v>0</v>
      </c>
      <c r="Q71" s="63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188"/>
      <c r="AH71" s="95"/>
      <c r="AI71" s="95"/>
      <c r="AJ71" s="65"/>
      <c r="AK71" s="61"/>
      <c r="AL71" s="61"/>
      <c r="AM71" s="485"/>
      <c r="AN71" s="485"/>
      <c r="AO71" s="485"/>
      <c r="AP71" s="485"/>
      <c r="AQ71" s="485"/>
      <c r="AR71" s="485"/>
      <c r="AS71" s="485"/>
      <c r="AT71" s="485"/>
      <c r="AU71" s="485"/>
      <c r="AV71" s="485"/>
      <c r="AW71" s="485"/>
      <c r="AX71" s="485"/>
      <c r="AY71" s="485"/>
      <c r="AZ71" s="485"/>
      <c r="BA71" s="485"/>
      <c r="BB71" s="485"/>
      <c r="BC71" s="485"/>
      <c r="BD71" s="485"/>
      <c r="BE71" s="485"/>
      <c r="BF71" s="485"/>
      <c r="BG71" s="485"/>
      <c r="BH71" s="485"/>
      <c r="BI71" s="485"/>
      <c r="BJ71" s="485"/>
      <c r="BK71" s="485"/>
      <c r="BL71" s="485"/>
      <c r="BM71" s="485"/>
      <c r="BN71" s="485"/>
      <c r="BO71" s="485"/>
      <c r="BP71" s="485"/>
      <c r="BQ71" s="485"/>
      <c r="BR71" s="485"/>
      <c r="BS71" s="485"/>
      <c r="BT71" s="485"/>
      <c r="BU71" s="485"/>
      <c r="BV71" s="485"/>
      <c r="BW71" s="485"/>
      <c r="BX71" s="485"/>
      <c r="BY71" s="485"/>
      <c r="BZ71" s="485"/>
      <c r="CA71" s="485"/>
      <c r="CB71" s="485"/>
      <c r="CC71" s="485"/>
      <c r="CD71" s="485"/>
      <c r="CE71" s="485"/>
      <c r="CF71" s="485"/>
      <c r="CG71" s="485"/>
      <c r="CH71" s="485"/>
      <c r="CI71" s="485"/>
      <c r="CJ71" s="485"/>
      <c r="CK71" s="485"/>
      <c r="CL71" s="777"/>
      <c r="CM71" s="485"/>
      <c r="CN71" s="485"/>
      <c r="CO71" s="485"/>
      <c r="CP71" s="485"/>
      <c r="CQ71" s="485"/>
      <c r="CR71" s="485"/>
      <c r="CS71" s="485"/>
      <c r="CT71" s="485"/>
      <c r="CU71" s="485"/>
      <c r="CV71" s="485"/>
      <c r="CW71" s="485"/>
      <c r="CX71" s="485"/>
      <c r="CY71" s="485"/>
      <c r="CZ71" s="485"/>
      <c r="DA71" s="485"/>
      <c r="DB71" s="485"/>
      <c r="DC71" s="485"/>
      <c r="DD71" s="485"/>
      <c r="DE71" s="485"/>
      <c r="DF71" s="485"/>
      <c r="DG71" s="485"/>
      <c r="DH71" s="485"/>
      <c r="DI71" s="485"/>
      <c r="DJ71" s="485"/>
      <c r="DK71" s="485"/>
      <c r="DL71" s="485"/>
      <c r="DM71" s="485"/>
      <c r="DN71" s="485"/>
      <c r="DO71" s="485"/>
      <c r="DP71" s="485"/>
      <c r="DQ71" s="485"/>
      <c r="DR71" s="485"/>
      <c r="DS71" s="485"/>
      <c r="DT71" s="485"/>
      <c r="DU71" s="485"/>
      <c r="DV71" s="485"/>
      <c r="DW71" s="484"/>
      <c r="DX71" s="484"/>
      <c r="DY71" s="484"/>
      <c r="DZ71" s="484"/>
      <c r="EA71" s="484"/>
      <c r="EB71" s="484"/>
      <c r="EC71" s="484"/>
      <c r="ED71" s="484"/>
      <c r="EE71" s="484"/>
      <c r="EF71" s="484"/>
      <c r="EG71" s="484"/>
      <c r="EH71" s="484"/>
      <c r="EI71" s="484"/>
      <c r="EJ71" s="484"/>
      <c r="EK71" s="484"/>
      <c r="EL71" s="484"/>
      <c r="EM71" s="484"/>
      <c r="EN71" s="484"/>
      <c r="EO71" s="484"/>
      <c r="EP71" s="484"/>
      <c r="EQ71" s="484"/>
      <c r="ER71" s="484"/>
      <c r="ES71" s="484"/>
      <c r="ET71" s="484"/>
      <c r="EU71" s="484"/>
      <c r="EV71" s="484"/>
      <c r="EW71" s="484"/>
      <c r="EX71" s="484"/>
      <c r="EY71" s="484"/>
      <c r="EZ71" s="484"/>
      <c r="FA71" s="484"/>
      <c r="FB71" s="484"/>
      <c r="FC71" s="484"/>
      <c r="FD71" s="484"/>
      <c r="FE71" s="484"/>
      <c r="FF71" s="484"/>
      <c r="FG71" s="484"/>
      <c r="FH71" s="486"/>
      <c r="FI71" s="485"/>
      <c r="FJ71" s="485"/>
      <c r="FK71" s="485"/>
      <c r="FL71" s="485"/>
      <c r="FM71" s="485"/>
      <c r="FN71" s="485"/>
      <c r="FO71" s="485"/>
      <c r="FP71" s="485"/>
      <c r="FQ71" s="485"/>
      <c r="FR71" s="485"/>
      <c r="FS71" s="485"/>
      <c r="FT71" s="485"/>
      <c r="FU71" s="485"/>
      <c r="FV71" s="485"/>
      <c r="FW71" s="485"/>
      <c r="FX71" s="485"/>
      <c r="FY71" s="485"/>
      <c r="FZ71" s="485"/>
      <c r="GA71" s="485"/>
      <c r="GB71" s="485"/>
      <c r="GC71" s="485"/>
      <c r="GD71" s="485"/>
      <c r="GE71" s="485"/>
      <c r="GF71" s="485"/>
      <c r="GG71" s="485"/>
      <c r="GH71" s="485"/>
      <c r="GI71" s="485"/>
      <c r="GJ71" s="485"/>
      <c r="GK71" s="485"/>
      <c r="GL71" s="485"/>
      <c r="GM71" s="485"/>
      <c r="GN71" s="485"/>
      <c r="GO71" s="485"/>
      <c r="GP71" s="485"/>
      <c r="GQ71" s="485"/>
      <c r="GR71" s="485"/>
      <c r="GS71" s="485"/>
      <c r="GT71" s="485"/>
      <c r="GU71" s="485"/>
      <c r="GV71" s="485"/>
      <c r="GW71" s="485"/>
      <c r="GX71" s="485"/>
      <c r="GY71" s="485"/>
      <c r="GZ71" s="485"/>
      <c r="HA71" s="485"/>
      <c r="HB71" s="485"/>
      <c r="HC71" s="485"/>
      <c r="HD71" s="485"/>
      <c r="HE71" s="485"/>
      <c r="HF71" s="485"/>
      <c r="HG71" s="485"/>
      <c r="HH71" s="485"/>
      <c r="HI71" s="485"/>
      <c r="HJ71" s="485"/>
      <c r="HK71" s="485"/>
      <c r="HL71" s="485"/>
      <c r="HM71" s="485"/>
      <c r="HN71" s="485"/>
      <c r="HO71" s="485"/>
      <c r="HP71" s="485"/>
      <c r="HQ71" s="485"/>
      <c r="HR71" s="485"/>
      <c r="HS71" s="485"/>
      <c r="HT71" s="485"/>
      <c r="HU71" s="485"/>
      <c r="HV71" s="485"/>
      <c r="HW71" s="485"/>
      <c r="HX71" s="485"/>
      <c r="HY71" s="485"/>
      <c r="HZ71" s="485"/>
      <c r="IA71" s="485"/>
      <c r="IB71" s="485"/>
      <c r="IC71" s="485"/>
      <c r="ID71" s="485"/>
    </row>
    <row r="72" spans="1:238" s="40" customFormat="1" ht="18" x14ac:dyDescent="0.35">
      <c r="A72" s="288"/>
      <c r="B72" s="289">
        <f>IF(O72=1,SUM($O$41:O72),0)</f>
        <v>0</v>
      </c>
      <c r="C72" s="274">
        <v>26</v>
      </c>
      <c r="D72" s="290" t="s">
        <v>220</v>
      </c>
      <c r="E72" s="291">
        <v>15</v>
      </c>
      <c r="F72" s="284" t="s">
        <v>143</v>
      </c>
      <c r="G72" s="293"/>
      <c r="H72" s="294"/>
      <c r="I72" s="298" t="s">
        <v>20</v>
      </c>
      <c r="J72" s="288">
        <f>SUMIFS($HV$14:$HV$38,$AS$14:$AS$38,E72,$U$14:$U$38,F72)</f>
        <v>0</v>
      </c>
      <c r="K72" s="288"/>
      <c r="L72" s="295">
        <f>VLOOKUP(D72,'قائمة الأسعار'!D13:F106,3,0)</f>
        <v>1</v>
      </c>
      <c r="M72" s="296">
        <f>L72*J72</f>
        <v>0</v>
      </c>
      <c r="N72" s="413"/>
      <c r="O72" s="288">
        <f t="shared" si="198"/>
        <v>0</v>
      </c>
      <c r="Q72" s="63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188"/>
      <c r="AH72" s="95"/>
      <c r="AI72" s="95"/>
      <c r="AJ72" s="65"/>
      <c r="AM72" s="485"/>
      <c r="AN72" s="485"/>
      <c r="AO72" s="485"/>
      <c r="AP72" s="485"/>
      <c r="AQ72" s="485"/>
      <c r="AR72" s="485"/>
      <c r="AS72" s="485"/>
      <c r="AT72" s="485"/>
      <c r="AU72" s="485"/>
      <c r="AV72" s="485"/>
      <c r="AW72" s="485"/>
      <c r="AX72" s="485"/>
      <c r="AY72" s="485"/>
      <c r="AZ72" s="485"/>
      <c r="BA72" s="485"/>
      <c r="BB72" s="485"/>
      <c r="BC72" s="485"/>
      <c r="BD72" s="485"/>
      <c r="BE72" s="485"/>
      <c r="BF72" s="485"/>
      <c r="BG72" s="485"/>
      <c r="BH72" s="485"/>
      <c r="BI72" s="485"/>
      <c r="BJ72" s="485"/>
      <c r="BK72" s="485"/>
      <c r="BL72" s="485"/>
      <c r="BM72" s="485"/>
      <c r="BN72" s="485"/>
      <c r="BO72" s="485"/>
      <c r="BP72" s="485"/>
      <c r="BQ72" s="485"/>
      <c r="BR72" s="485"/>
      <c r="BS72" s="485"/>
      <c r="BT72" s="485"/>
      <c r="BU72" s="485"/>
      <c r="BV72" s="485"/>
      <c r="BW72" s="485"/>
      <c r="BX72" s="485"/>
      <c r="BY72" s="485"/>
      <c r="BZ72" s="485"/>
      <c r="CA72" s="485"/>
      <c r="CB72" s="485"/>
      <c r="CC72" s="485"/>
      <c r="CD72" s="485"/>
      <c r="CE72" s="485"/>
      <c r="CF72" s="485"/>
      <c r="CG72" s="485"/>
      <c r="CH72" s="485"/>
      <c r="CI72" s="485"/>
      <c r="CJ72" s="485"/>
      <c r="CK72" s="485"/>
      <c r="CL72" s="777"/>
      <c r="CM72" s="485"/>
      <c r="CN72" s="485"/>
      <c r="CO72" s="485"/>
      <c r="CP72" s="485"/>
      <c r="CQ72" s="485"/>
      <c r="CR72" s="485"/>
      <c r="CS72" s="485"/>
      <c r="CT72" s="485"/>
      <c r="CU72" s="485"/>
      <c r="CV72" s="485"/>
      <c r="CW72" s="485"/>
      <c r="CX72" s="485"/>
      <c r="CY72" s="485"/>
      <c r="CZ72" s="485"/>
      <c r="DA72" s="485"/>
      <c r="DB72" s="485"/>
      <c r="DC72" s="485"/>
      <c r="DD72" s="485"/>
      <c r="DE72" s="485"/>
      <c r="DF72" s="485"/>
      <c r="DG72" s="485"/>
      <c r="DH72" s="485"/>
      <c r="DI72" s="485"/>
      <c r="DJ72" s="485"/>
      <c r="DK72" s="485"/>
      <c r="DL72" s="485"/>
      <c r="DM72" s="485"/>
      <c r="DN72" s="485"/>
      <c r="DO72" s="485"/>
      <c r="DP72" s="485"/>
      <c r="DQ72" s="485"/>
      <c r="DR72" s="485"/>
      <c r="DS72" s="485"/>
      <c r="DT72" s="485"/>
      <c r="DU72" s="485"/>
      <c r="DV72" s="485"/>
      <c r="DW72" s="484"/>
      <c r="DX72" s="484"/>
      <c r="DY72" s="484"/>
      <c r="DZ72" s="484"/>
      <c r="EA72" s="484"/>
      <c r="EB72" s="484"/>
      <c r="EC72" s="484"/>
      <c r="ED72" s="484"/>
      <c r="EE72" s="484"/>
      <c r="EF72" s="484"/>
      <c r="EG72" s="484"/>
      <c r="EH72" s="484"/>
      <c r="EI72" s="484"/>
      <c r="EJ72" s="484"/>
      <c r="EK72" s="484"/>
      <c r="EL72" s="484"/>
      <c r="EM72" s="484"/>
      <c r="EN72" s="484"/>
      <c r="EO72" s="484"/>
      <c r="EP72" s="484"/>
      <c r="EQ72" s="484"/>
      <c r="ER72" s="484"/>
      <c r="ES72" s="484"/>
      <c r="ET72" s="484"/>
      <c r="EU72" s="484"/>
      <c r="EV72" s="484"/>
      <c r="EW72" s="484"/>
      <c r="EX72" s="484"/>
      <c r="EY72" s="484"/>
      <c r="EZ72" s="484"/>
      <c r="FA72" s="484"/>
      <c r="FB72" s="484"/>
      <c r="FC72" s="484"/>
      <c r="FD72" s="484"/>
      <c r="FE72" s="484"/>
      <c r="FF72" s="484"/>
      <c r="FG72" s="484"/>
      <c r="FH72" s="486"/>
      <c r="FI72" s="485"/>
      <c r="FJ72" s="485"/>
      <c r="FK72" s="485"/>
      <c r="FL72" s="485"/>
      <c r="FM72" s="485"/>
      <c r="FN72" s="485"/>
      <c r="FO72" s="485"/>
      <c r="FP72" s="485"/>
      <c r="FQ72" s="485"/>
      <c r="FR72" s="485"/>
      <c r="FS72" s="485"/>
      <c r="FT72" s="485"/>
      <c r="FU72" s="485"/>
      <c r="FV72" s="485"/>
      <c r="FW72" s="485"/>
      <c r="FX72" s="485"/>
      <c r="FY72" s="485"/>
      <c r="FZ72" s="485"/>
      <c r="GA72" s="485"/>
      <c r="GB72" s="485"/>
      <c r="GC72" s="485"/>
      <c r="GD72" s="485"/>
      <c r="GE72" s="485"/>
      <c r="GF72" s="485"/>
      <c r="GG72" s="485"/>
      <c r="GH72" s="485"/>
      <c r="GI72" s="485"/>
      <c r="GJ72" s="485"/>
      <c r="GK72" s="485"/>
      <c r="GL72" s="485"/>
      <c r="GM72" s="485"/>
      <c r="GN72" s="485"/>
      <c r="GO72" s="485"/>
      <c r="GP72" s="485"/>
      <c r="GQ72" s="485"/>
      <c r="GR72" s="485"/>
      <c r="GS72" s="485"/>
      <c r="GT72" s="485"/>
      <c r="GU72" s="485"/>
      <c r="GV72" s="485"/>
      <c r="GW72" s="485"/>
      <c r="GX72" s="485"/>
      <c r="GY72" s="485"/>
      <c r="GZ72" s="485"/>
      <c r="HA72" s="485"/>
      <c r="HB72" s="485"/>
      <c r="HC72" s="485"/>
      <c r="HD72" s="485"/>
      <c r="HE72" s="485"/>
      <c r="HF72" s="485"/>
      <c r="HG72" s="485"/>
      <c r="HH72" s="485"/>
      <c r="HI72" s="485"/>
      <c r="HJ72" s="485"/>
      <c r="HK72" s="485"/>
      <c r="HL72" s="485"/>
      <c r="HM72" s="485"/>
      <c r="HN72" s="485"/>
      <c r="HO72" s="485"/>
      <c r="HP72" s="485"/>
      <c r="HQ72" s="485"/>
      <c r="HR72" s="485"/>
      <c r="HS72" s="485"/>
      <c r="HT72" s="485"/>
      <c r="HU72" s="485"/>
      <c r="HV72" s="485"/>
      <c r="HW72" s="485"/>
      <c r="HX72" s="485"/>
      <c r="HY72" s="485"/>
      <c r="HZ72" s="485"/>
      <c r="IA72" s="485"/>
      <c r="IB72" s="485"/>
      <c r="IC72" s="485"/>
      <c r="ID72" s="485"/>
    </row>
    <row r="73" spans="1:238" s="40" customFormat="1" ht="18" x14ac:dyDescent="0.35">
      <c r="A73" s="288"/>
      <c r="B73" s="289">
        <f>IF(O73=1,SUM($O$41:O73),0)</f>
        <v>0</v>
      </c>
      <c r="C73" s="274">
        <v>27</v>
      </c>
      <c r="D73" s="290" t="s">
        <v>221</v>
      </c>
      <c r="E73" s="291">
        <v>16.5</v>
      </c>
      <c r="F73" s="292" t="s">
        <v>106</v>
      </c>
      <c r="G73" s="293"/>
      <c r="H73" s="294"/>
      <c r="I73" s="288">
        <f>SUMIFS($AU$14:$AU$38,$AS$14:$AS$38,E73,$U$14:$U$38,F73)/100</f>
        <v>0</v>
      </c>
      <c r="J73" s="295">
        <v>1</v>
      </c>
      <c r="K73" s="295"/>
      <c r="L73" s="295">
        <f>VLOOKUP(D73,'قائمة الأسعار'!D11:F102,3,0)</f>
        <v>1</v>
      </c>
      <c r="M73" s="296">
        <f>L73*J73*I73</f>
        <v>0</v>
      </c>
      <c r="N73" s="413"/>
      <c r="O73" s="288">
        <f t="shared" si="198"/>
        <v>0</v>
      </c>
      <c r="Q73" s="63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188"/>
      <c r="AH73" s="95"/>
      <c r="AI73" s="95"/>
      <c r="AJ73" s="65"/>
      <c r="AK73" s="61"/>
      <c r="AL73" s="61"/>
      <c r="AM73" s="485"/>
      <c r="AN73" s="485"/>
      <c r="AO73" s="485"/>
      <c r="AP73" s="485"/>
      <c r="AQ73" s="485"/>
      <c r="AR73" s="485"/>
      <c r="AS73" s="485"/>
      <c r="AT73" s="485"/>
      <c r="AU73" s="485"/>
      <c r="AV73" s="485"/>
      <c r="AW73" s="485"/>
      <c r="AX73" s="485"/>
      <c r="AY73" s="485"/>
      <c r="AZ73" s="485"/>
      <c r="BA73" s="485"/>
      <c r="BB73" s="485"/>
      <c r="BC73" s="485"/>
      <c r="BD73" s="485"/>
      <c r="BE73" s="485"/>
      <c r="BF73" s="485"/>
      <c r="BG73" s="485"/>
      <c r="BH73" s="485"/>
      <c r="BI73" s="485"/>
      <c r="BJ73" s="485"/>
      <c r="BK73" s="485"/>
      <c r="BL73" s="485"/>
      <c r="BM73" s="485"/>
      <c r="BN73" s="485"/>
      <c r="BO73" s="485"/>
      <c r="BP73" s="485"/>
      <c r="BQ73" s="485"/>
      <c r="BR73" s="485"/>
      <c r="BS73" s="485"/>
      <c r="BT73" s="485"/>
      <c r="BU73" s="485"/>
      <c r="BV73" s="485"/>
      <c r="BW73" s="485"/>
      <c r="BX73" s="485"/>
      <c r="BY73" s="485"/>
      <c r="BZ73" s="485"/>
      <c r="CA73" s="485"/>
      <c r="CB73" s="485"/>
      <c r="CC73" s="485"/>
      <c r="CD73" s="485"/>
      <c r="CE73" s="485"/>
      <c r="CF73" s="485"/>
      <c r="CG73" s="485"/>
      <c r="CH73" s="485"/>
      <c r="CI73" s="485"/>
      <c r="CJ73" s="485"/>
      <c r="CK73" s="485"/>
      <c r="CL73" s="777"/>
      <c r="CM73" s="485"/>
      <c r="CN73" s="485"/>
      <c r="CO73" s="485"/>
      <c r="CP73" s="485"/>
      <c r="CQ73" s="485"/>
      <c r="CR73" s="485"/>
      <c r="CS73" s="485"/>
      <c r="CT73" s="485"/>
      <c r="CU73" s="485"/>
      <c r="CV73" s="485"/>
      <c r="CW73" s="485"/>
      <c r="CX73" s="485"/>
      <c r="CY73" s="485"/>
      <c r="CZ73" s="485"/>
      <c r="DA73" s="485"/>
      <c r="DB73" s="485"/>
      <c r="DC73" s="485"/>
      <c r="DD73" s="485"/>
      <c r="DE73" s="485"/>
      <c r="DF73" s="485"/>
      <c r="DG73" s="485"/>
      <c r="DH73" s="485"/>
      <c r="DI73" s="485"/>
      <c r="DJ73" s="485"/>
      <c r="DK73" s="485"/>
      <c r="DL73" s="485"/>
      <c r="DM73" s="485"/>
      <c r="DN73" s="485"/>
      <c r="DO73" s="485"/>
      <c r="DP73" s="485"/>
      <c r="DQ73" s="485"/>
      <c r="DR73" s="485"/>
      <c r="DS73" s="485"/>
      <c r="DT73" s="485"/>
      <c r="DU73" s="485"/>
      <c r="DV73" s="485"/>
      <c r="DW73" s="484"/>
      <c r="DX73" s="484"/>
      <c r="DY73" s="484"/>
      <c r="DZ73" s="484"/>
      <c r="EA73" s="484"/>
      <c r="EB73" s="484"/>
      <c r="EC73" s="484"/>
      <c r="ED73" s="484"/>
      <c r="EE73" s="484"/>
      <c r="EF73" s="484"/>
      <c r="EG73" s="484"/>
      <c r="EH73" s="484"/>
      <c r="EI73" s="484"/>
      <c r="EJ73" s="484"/>
      <c r="EK73" s="484"/>
      <c r="EL73" s="484"/>
      <c r="EM73" s="484"/>
      <c r="EN73" s="484"/>
      <c r="EO73" s="484"/>
      <c r="EP73" s="484"/>
      <c r="EQ73" s="484"/>
      <c r="ER73" s="484"/>
      <c r="ES73" s="484"/>
      <c r="ET73" s="484"/>
      <c r="EU73" s="484"/>
      <c r="EV73" s="484"/>
      <c r="EW73" s="484"/>
      <c r="EX73" s="484"/>
      <c r="EY73" s="484"/>
      <c r="EZ73" s="484"/>
      <c r="FA73" s="484"/>
      <c r="FB73" s="484"/>
      <c r="FC73" s="484"/>
      <c r="FD73" s="484"/>
      <c r="FE73" s="484"/>
      <c r="FF73" s="484"/>
      <c r="FG73" s="484"/>
      <c r="FH73" s="486"/>
      <c r="FI73" s="485"/>
      <c r="FJ73" s="485"/>
      <c r="FK73" s="485"/>
      <c r="FL73" s="485"/>
      <c r="FM73" s="485"/>
      <c r="FN73" s="485"/>
      <c r="FO73" s="485"/>
      <c r="FP73" s="485"/>
      <c r="FQ73" s="485"/>
      <c r="FR73" s="485"/>
      <c r="FS73" s="485"/>
      <c r="FT73" s="485"/>
      <c r="FU73" s="485"/>
      <c r="FV73" s="485"/>
      <c r="FW73" s="485"/>
      <c r="FX73" s="485"/>
      <c r="FY73" s="485"/>
      <c r="FZ73" s="485"/>
      <c r="GA73" s="485"/>
      <c r="GB73" s="485"/>
      <c r="GC73" s="485"/>
      <c r="GD73" s="485"/>
      <c r="GE73" s="485"/>
      <c r="GF73" s="485"/>
      <c r="GG73" s="485"/>
      <c r="GH73" s="485"/>
      <c r="GI73" s="485"/>
      <c r="GJ73" s="485"/>
      <c r="GK73" s="485"/>
      <c r="GL73" s="485"/>
      <c r="GM73" s="485"/>
      <c r="GN73" s="485"/>
      <c r="GO73" s="485"/>
      <c r="GP73" s="485"/>
      <c r="GQ73" s="485"/>
      <c r="GR73" s="485"/>
      <c r="GS73" s="485"/>
      <c r="GT73" s="485"/>
      <c r="GU73" s="485"/>
      <c r="GV73" s="485"/>
      <c r="GW73" s="485"/>
      <c r="GX73" s="485"/>
      <c r="GY73" s="485"/>
      <c r="GZ73" s="485"/>
      <c r="HA73" s="485"/>
      <c r="HB73" s="485"/>
      <c r="HC73" s="485"/>
      <c r="HD73" s="485"/>
      <c r="HE73" s="485"/>
      <c r="HF73" s="485"/>
      <c r="HG73" s="485"/>
      <c r="HH73" s="485"/>
      <c r="HI73" s="485"/>
      <c r="HJ73" s="485"/>
      <c r="HK73" s="485"/>
      <c r="HL73" s="485"/>
      <c r="HM73" s="485"/>
      <c r="HN73" s="485"/>
      <c r="HO73" s="485"/>
      <c r="HP73" s="485"/>
      <c r="HQ73" s="485"/>
      <c r="HR73" s="485"/>
      <c r="HS73" s="485"/>
      <c r="HT73" s="485"/>
      <c r="HU73" s="485"/>
      <c r="HV73" s="485"/>
      <c r="HW73" s="485"/>
      <c r="HX73" s="485"/>
      <c r="HY73" s="485"/>
      <c r="HZ73" s="485"/>
      <c r="IA73" s="485"/>
      <c r="IB73" s="485"/>
      <c r="IC73" s="485"/>
      <c r="ID73" s="485"/>
    </row>
    <row r="74" spans="1:238" s="40" customFormat="1" ht="18" x14ac:dyDescent="0.35">
      <c r="A74" s="288"/>
      <c r="B74" s="289">
        <f>IF(O74=1,SUM($O$41:O74),0)</f>
        <v>0</v>
      </c>
      <c r="C74" s="274">
        <v>28</v>
      </c>
      <c r="D74" s="290" t="s">
        <v>222</v>
      </c>
      <c r="E74" s="291">
        <v>16.5</v>
      </c>
      <c r="F74" s="292" t="s">
        <v>106</v>
      </c>
      <c r="G74" s="293"/>
      <c r="H74" s="294"/>
      <c r="I74" s="298" t="s">
        <v>20</v>
      </c>
      <c r="J74" s="288">
        <f>SUMIFS($HV$14:$HV$38,$AS$14:$AS$38,E74,$U$14:$U$38,F74)</f>
        <v>0</v>
      </c>
      <c r="K74" s="288"/>
      <c r="L74" s="295">
        <f>VLOOKUP(D74,'قائمة الأسعار'!D11:F102,3,0)</f>
        <v>1</v>
      </c>
      <c r="M74" s="296">
        <f>L74*J74</f>
        <v>0</v>
      </c>
      <c r="N74" s="413"/>
      <c r="O74" s="288">
        <f t="shared" si="198"/>
        <v>0</v>
      </c>
      <c r="Q74" s="63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188"/>
      <c r="AH74" s="95"/>
      <c r="AI74" s="95"/>
      <c r="AJ74" s="65"/>
      <c r="AM74" s="485"/>
      <c r="AN74" s="485"/>
      <c r="AO74" s="485"/>
      <c r="AP74" s="485"/>
      <c r="AQ74" s="485"/>
      <c r="AR74" s="485"/>
      <c r="AS74" s="485"/>
      <c r="AT74" s="485"/>
      <c r="AU74" s="485"/>
      <c r="AV74" s="485"/>
      <c r="AW74" s="485"/>
      <c r="AX74" s="485"/>
      <c r="AY74" s="485"/>
      <c r="AZ74" s="485"/>
      <c r="BA74" s="485"/>
      <c r="BB74" s="485"/>
      <c r="BC74" s="485"/>
      <c r="BD74" s="485"/>
      <c r="BE74" s="485"/>
      <c r="BF74" s="485"/>
      <c r="BG74" s="485"/>
      <c r="BH74" s="485"/>
      <c r="BI74" s="485"/>
      <c r="BJ74" s="485"/>
      <c r="BK74" s="485"/>
      <c r="BL74" s="485"/>
      <c r="BM74" s="485"/>
      <c r="BN74" s="485"/>
      <c r="BO74" s="485"/>
      <c r="BP74" s="485"/>
      <c r="BQ74" s="485"/>
      <c r="BR74" s="485"/>
      <c r="BS74" s="485"/>
      <c r="BT74" s="485"/>
      <c r="BU74" s="485"/>
      <c r="BV74" s="485"/>
      <c r="BW74" s="485"/>
      <c r="BX74" s="485"/>
      <c r="BY74" s="485"/>
      <c r="BZ74" s="485"/>
      <c r="CA74" s="485"/>
      <c r="CB74" s="485"/>
      <c r="CC74" s="485"/>
      <c r="CD74" s="485"/>
      <c r="CE74" s="485"/>
      <c r="CF74" s="485"/>
      <c r="CG74" s="485"/>
      <c r="CH74" s="485"/>
      <c r="CI74" s="485"/>
      <c r="CJ74" s="485"/>
      <c r="CK74" s="485"/>
      <c r="CL74" s="777"/>
      <c r="CM74" s="485"/>
      <c r="CN74" s="485"/>
      <c r="CO74" s="485"/>
      <c r="CP74" s="485"/>
      <c r="CQ74" s="485"/>
      <c r="CR74" s="485"/>
      <c r="CS74" s="485"/>
      <c r="CT74" s="485"/>
      <c r="CU74" s="485"/>
      <c r="CV74" s="485"/>
      <c r="CW74" s="485"/>
      <c r="CX74" s="485"/>
      <c r="CY74" s="485"/>
      <c r="CZ74" s="485"/>
      <c r="DA74" s="485"/>
      <c r="DB74" s="485"/>
      <c r="DC74" s="485"/>
      <c r="DD74" s="485"/>
      <c r="DE74" s="485"/>
      <c r="DF74" s="485"/>
      <c r="DG74" s="485"/>
      <c r="DH74" s="485"/>
      <c r="DI74" s="485"/>
      <c r="DJ74" s="485"/>
      <c r="DK74" s="485"/>
      <c r="DL74" s="485"/>
      <c r="DM74" s="485"/>
      <c r="DN74" s="485"/>
      <c r="DO74" s="485"/>
      <c r="DP74" s="485"/>
      <c r="DQ74" s="485"/>
      <c r="DR74" s="485"/>
      <c r="DS74" s="485"/>
      <c r="DT74" s="485"/>
      <c r="DU74" s="485"/>
      <c r="DV74" s="485"/>
      <c r="DW74" s="484"/>
      <c r="DX74" s="484"/>
      <c r="DY74" s="484"/>
      <c r="DZ74" s="484"/>
      <c r="EA74" s="484"/>
      <c r="EB74" s="484"/>
      <c r="EC74" s="484"/>
      <c r="ED74" s="484"/>
      <c r="EE74" s="484"/>
      <c r="EF74" s="484"/>
      <c r="EG74" s="484"/>
      <c r="EH74" s="484"/>
      <c r="EI74" s="484"/>
      <c r="EJ74" s="484"/>
      <c r="EK74" s="484"/>
      <c r="EL74" s="484"/>
      <c r="EM74" s="484"/>
      <c r="EN74" s="484"/>
      <c r="EO74" s="484"/>
      <c r="EP74" s="484"/>
      <c r="EQ74" s="484"/>
      <c r="ER74" s="484"/>
      <c r="ES74" s="484"/>
      <c r="ET74" s="484"/>
      <c r="EU74" s="484"/>
      <c r="EV74" s="484"/>
      <c r="EW74" s="484"/>
      <c r="EX74" s="484"/>
      <c r="EY74" s="484"/>
      <c r="EZ74" s="484"/>
      <c r="FA74" s="484"/>
      <c r="FB74" s="484"/>
      <c r="FC74" s="484"/>
      <c r="FD74" s="484"/>
      <c r="FE74" s="484"/>
      <c r="FF74" s="484"/>
      <c r="FG74" s="484"/>
      <c r="FH74" s="486"/>
      <c r="FI74" s="485"/>
      <c r="FJ74" s="485"/>
      <c r="FK74" s="485"/>
      <c r="FL74" s="485"/>
      <c r="FM74" s="485"/>
      <c r="FN74" s="485"/>
      <c r="FO74" s="485"/>
      <c r="FP74" s="485"/>
      <c r="FQ74" s="485"/>
      <c r="FR74" s="485"/>
      <c r="FS74" s="485"/>
      <c r="FT74" s="485"/>
      <c r="FU74" s="485"/>
      <c r="FV74" s="485"/>
      <c r="FW74" s="485"/>
      <c r="FX74" s="485"/>
      <c r="FY74" s="485"/>
      <c r="FZ74" s="485"/>
      <c r="GA74" s="485"/>
      <c r="GB74" s="485"/>
      <c r="GC74" s="485"/>
      <c r="GD74" s="485"/>
      <c r="GE74" s="485"/>
      <c r="GF74" s="485"/>
      <c r="GG74" s="485"/>
      <c r="GH74" s="485"/>
      <c r="GI74" s="485"/>
      <c r="GJ74" s="485"/>
      <c r="GK74" s="485"/>
      <c r="GL74" s="485"/>
      <c r="GM74" s="485"/>
      <c r="GN74" s="485"/>
      <c r="GO74" s="485"/>
      <c r="GP74" s="485"/>
      <c r="GQ74" s="485"/>
      <c r="GR74" s="485"/>
      <c r="GS74" s="485"/>
      <c r="GT74" s="485"/>
      <c r="GU74" s="485"/>
      <c r="GV74" s="485"/>
      <c r="GW74" s="485"/>
      <c r="GX74" s="485"/>
      <c r="GY74" s="485"/>
      <c r="GZ74" s="485"/>
      <c r="HA74" s="485"/>
      <c r="HB74" s="485"/>
      <c r="HC74" s="485"/>
      <c r="HD74" s="485"/>
      <c r="HE74" s="485"/>
      <c r="HF74" s="485"/>
      <c r="HG74" s="485"/>
      <c r="HH74" s="485"/>
      <c r="HI74" s="485"/>
      <c r="HJ74" s="485"/>
      <c r="HK74" s="485"/>
      <c r="HL74" s="485"/>
      <c r="HM74" s="485"/>
      <c r="HN74" s="485"/>
      <c r="HO74" s="485"/>
      <c r="HP74" s="485"/>
      <c r="HQ74" s="485"/>
      <c r="HR74" s="485"/>
      <c r="HS74" s="485"/>
      <c r="HT74" s="485"/>
      <c r="HU74" s="485"/>
      <c r="HV74" s="485"/>
      <c r="HW74" s="485"/>
      <c r="HX74" s="485"/>
      <c r="HY74" s="485"/>
      <c r="HZ74" s="485"/>
      <c r="IA74" s="485"/>
      <c r="IB74" s="485"/>
      <c r="IC74" s="485"/>
      <c r="ID74" s="485"/>
    </row>
    <row r="75" spans="1:238" s="40" customFormat="1" ht="18" x14ac:dyDescent="0.35">
      <c r="A75" s="288"/>
      <c r="B75" s="289">
        <f>IF(O75=1,SUM($O$41:O75),0)</f>
        <v>0</v>
      </c>
      <c r="C75" s="274">
        <v>29</v>
      </c>
      <c r="D75" s="290" t="s">
        <v>221</v>
      </c>
      <c r="E75" s="291">
        <v>16.5</v>
      </c>
      <c r="F75" s="292" t="s">
        <v>105</v>
      </c>
      <c r="G75" s="293"/>
      <c r="H75" s="294"/>
      <c r="I75" s="288">
        <f>SUMIFS($AU$14:$AU$38,$AS$14:$AS$38,E75,$U$14:$U$38,F75)/100</f>
        <v>0</v>
      </c>
      <c r="J75" s="295">
        <v>1</v>
      </c>
      <c r="K75" s="295"/>
      <c r="L75" s="295">
        <f>VLOOKUP(D75,'قائمة الأسعار'!D13:F88,3,0)</f>
        <v>1</v>
      </c>
      <c r="M75" s="296">
        <f>L75*J75*I75</f>
        <v>0</v>
      </c>
      <c r="N75" s="413"/>
      <c r="O75" s="288">
        <f t="shared" si="198"/>
        <v>0</v>
      </c>
      <c r="Q75" s="63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188"/>
      <c r="AH75" s="95"/>
      <c r="AI75" s="95"/>
      <c r="AJ75" s="65"/>
      <c r="AK75" s="61"/>
      <c r="AL75" s="61"/>
      <c r="AM75" s="485"/>
      <c r="AN75" s="485"/>
      <c r="AO75" s="485"/>
      <c r="AP75" s="485"/>
      <c r="AQ75" s="485"/>
      <c r="AR75" s="485"/>
      <c r="AS75" s="485"/>
      <c r="AT75" s="485"/>
      <c r="AU75" s="485"/>
      <c r="AV75" s="485"/>
      <c r="AW75" s="485"/>
      <c r="AX75" s="485"/>
      <c r="AY75" s="485"/>
      <c r="AZ75" s="485"/>
      <c r="BA75" s="485"/>
      <c r="BB75" s="485"/>
      <c r="BC75" s="485"/>
      <c r="BD75" s="485"/>
      <c r="BE75" s="485"/>
      <c r="BF75" s="485"/>
      <c r="BG75" s="485"/>
      <c r="BH75" s="485"/>
      <c r="BI75" s="485"/>
      <c r="BJ75" s="485"/>
      <c r="BK75" s="485"/>
      <c r="BL75" s="485"/>
      <c r="BM75" s="485"/>
      <c r="BN75" s="485"/>
      <c r="BO75" s="485"/>
      <c r="BP75" s="485"/>
      <c r="BQ75" s="485"/>
      <c r="BR75" s="485"/>
      <c r="BS75" s="485"/>
      <c r="BT75" s="485"/>
      <c r="BU75" s="485"/>
      <c r="BV75" s="485"/>
      <c r="BW75" s="485"/>
      <c r="BX75" s="485"/>
      <c r="BY75" s="485"/>
      <c r="BZ75" s="485"/>
      <c r="CA75" s="485"/>
      <c r="CB75" s="485"/>
      <c r="CC75" s="485"/>
      <c r="CD75" s="485"/>
      <c r="CE75" s="485"/>
      <c r="CF75" s="485"/>
      <c r="CG75" s="485"/>
      <c r="CH75" s="485"/>
      <c r="CI75" s="485"/>
      <c r="CJ75" s="485"/>
      <c r="CK75" s="485"/>
      <c r="CL75" s="777"/>
      <c r="CM75" s="485"/>
      <c r="CN75" s="485"/>
      <c r="CO75" s="485"/>
      <c r="CP75" s="485"/>
      <c r="CQ75" s="485"/>
      <c r="CR75" s="485"/>
      <c r="CS75" s="485"/>
      <c r="CT75" s="485"/>
      <c r="CU75" s="485"/>
      <c r="CV75" s="485"/>
      <c r="CW75" s="485"/>
      <c r="CX75" s="485"/>
      <c r="CY75" s="485"/>
      <c r="CZ75" s="485"/>
      <c r="DA75" s="485"/>
      <c r="DB75" s="485"/>
      <c r="DC75" s="485"/>
      <c r="DD75" s="485"/>
      <c r="DE75" s="485"/>
      <c r="DF75" s="485"/>
      <c r="DG75" s="485"/>
      <c r="DH75" s="485"/>
      <c r="DI75" s="485"/>
      <c r="DJ75" s="485"/>
      <c r="DK75" s="485"/>
      <c r="DL75" s="485"/>
      <c r="DM75" s="485"/>
      <c r="DN75" s="485"/>
      <c r="DO75" s="485"/>
      <c r="DP75" s="485"/>
      <c r="DQ75" s="485"/>
      <c r="DR75" s="485"/>
      <c r="DS75" s="485"/>
      <c r="DT75" s="485"/>
      <c r="DU75" s="485"/>
      <c r="DV75" s="485"/>
      <c r="DW75" s="484"/>
      <c r="DX75" s="484"/>
      <c r="DY75" s="484"/>
      <c r="DZ75" s="484"/>
      <c r="EA75" s="484"/>
      <c r="EB75" s="484"/>
      <c r="EC75" s="484"/>
      <c r="ED75" s="484"/>
      <c r="EE75" s="484"/>
      <c r="EF75" s="484"/>
      <c r="EG75" s="484"/>
      <c r="EH75" s="484"/>
      <c r="EI75" s="484"/>
      <c r="EJ75" s="484"/>
      <c r="EK75" s="484"/>
      <c r="EL75" s="484"/>
      <c r="EM75" s="484"/>
      <c r="EN75" s="484"/>
      <c r="EO75" s="484"/>
      <c r="EP75" s="484"/>
      <c r="EQ75" s="484"/>
      <c r="ER75" s="484"/>
      <c r="ES75" s="484"/>
      <c r="ET75" s="484"/>
      <c r="EU75" s="484"/>
      <c r="EV75" s="484"/>
      <c r="EW75" s="484"/>
      <c r="EX75" s="484"/>
      <c r="EY75" s="484"/>
      <c r="EZ75" s="484"/>
      <c r="FA75" s="484"/>
      <c r="FB75" s="484"/>
      <c r="FC75" s="484"/>
      <c r="FD75" s="484"/>
      <c r="FE75" s="484"/>
      <c r="FF75" s="484"/>
      <c r="FG75" s="484"/>
      <c r="FH75" s="486"/>
      <c r="FI75" s="485"/>
      <c r="FJ75" s="485"/>
      <c r="FK75" s="485"/>
      <c r="FL75" s="485"/>
      <c r="FM75" s="485"/>
      <c r="FN75" s="485"/>
      <c r="FO75" s="485"/>
      <c r="FP75" s="485"/>
      <c r="FQ75" s="485"/>
      <c r="FR75" s="485"/>
      <c r="FS75" s="485"/>
      <c r="FT75" s="485"/>
      <c r="FU75" s="485"/>
      <c r="FV75" s="485"/>
      <c r="FW75" s="485"/>
      <c r="FX75" s="485"/>
      <c r="FY75" s="485"/>
      <c r="FZ75" s="485"/>
      <c r="GA75" s="485"/>
      <c r="GB75" s="485"/>
      <c r="GC75" s="485"/>
      <c r="GD75" s="485"/>
      <c r="GE75" s="485"/>
      <c r="GF75" s="485"/>
      <c r="GG75" s="485"/>
      <c r="GH75" s="485"/>
      <c r="GI75" s="485"/>
      <c r="GJ75" s="485"/>
      <c r="GK75" s="485"/>
      <c r="GL75" s="485"/>
      <c r="GM75" s="485"/>
      <c r="GN75" s="485"/>
      <c r="GO75" s="485"/>
      <c r="GP75" s="485"/>
      <c r="GQ75" s="485"/>
      <c r="GR75" s="485"/>
      <c r="GS75" s="485"/>
      <c r="GT75" s="485"/>
      <c r="GU75" s="485"/>
      <c r="GV75" s="485"/>
      <c r="GW75" s="485"/>
      <c r="GX75" s="485"/>
      <c r="GY75" s="485"/>
      <c r="GZ75" s="485"/>
      <c r="HA75" s="485"/>
      <c r="HB75" s="485"/>
      <c r="HC75" s="485"/>
      <c r="HD75" s="485"/>
      <c r="HE75" s="485"/>
      <c r="HF75" s="485"/>
      <c r="HG75" s="485"/>
      <c r="HH75" s="485"/>
      <c r="HI75" s="485"/>
      <c r="HJ75" s="485"/>
      <c r="HK75" s="485"/>
      <c r="HL75" s="485"/>
      <c r="HM75" s="485"/>
      <c r="HN75" s="485"/>
      <c r="HO75" s="485"/>
      <c r="HP75" s="485"/>
      <c r="HQ75" s="485"/>
      <c r="HR75" s="485"/>
      <c r="HS75" s="485"/>
      <c r="HT75" s="485"/>
      <c r="HU75" s="485"/>
      <c r="HV75" s="485"/>
      <c r="HW75" s="485"/>
      <c r="HX75" s="485"/>
      <c r="HY75" s="485"/>
      <c r="HZ75" s="485"/>
      <c r="IA75" s="485"/>
      <c r="IB75" s="485"/>
      <c r="IC75" s="485"/>
      <c r="ID75" s="485"/>
    </row>
    <row r="76" spans="1:238" s="40" customFormat="1" ht="18" x14ac:dyDescent="0.35">
      <c r="A76" s="288"/>
      <c r="B76" s="289">
        <f>IF(O76=1,SUM($O$41:O76),0)</f>
        <v>0</v>
      </c>
      <c r="C76" s="274">
        <v>30</v>
      </c>
      <c r="D76" s="290" t="s">
        <v>222</v>
      </c>
      <c r="E76" s="291">
        <v>16.5</v>
      </c>
      <c r="F76" s="292" t="s">
        <v>105</v>
      </c>
      <c r="G76" s="293"/>
      <c r="H76" s="294"/>
      <c r="I76" s="298" t="s">
        <v>20</v>
      </c>
      <c r="J76" s="288">
        <f>SUMIFS($HV$14:$HV$38,$AS$14:$AS$38,E76,$U$14:$U$38,F76)</f>
        <v>0</v>
      </c>
      <c r="K76" s="288"/>
      <c r="L76" s="295">
        <f>VLOOKUP(D76,'قائمة الأسعار'!D13:F88,3,0)</f>
        <v>1</v>
      </c>
      <c r="M76" s="296">
        <f>L76*J76</f>
        <v>0</v>
      </c>
      <c r="N76" s="413"/>
      <c r="O76" s="288">
        <f t="shared" si="198"/>
        <v>0</v>
      </c>
      <c r="Q76" s="63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188"/>
      <c r="AH76" s="95"/>
      <c r="AI76" s="95"/>
      <c r="AJ76" s="65"/>
      <c r="AM76" s="485"/>
      <c r="AN76" s="485"/>
      <c r="AO76" s="485"/>
      <c r="AP76" s="485"/>
      <c r="AQ76" s="485"/>
      <c r="AR76" s="485"/>
      <c r="AS76" s="485"/>
      <c r="AT76" s="485"/>
      <c r="AU76" s="485"/>
      <c r="AV76" s="485"/>
      <c r="AW76" s="485"/>
      <c r="AX76" s="485"/>
      <c r="AY76" s="485"/>
      <c r="AZ76" s="485"/>
      <c r="BA76" s="485"/>
      <c r="BB76" s="485"/>
      <c r="BC76" s="485"/>
      <c r="BD76" s="485"/>
      <c r="BE76" s="485"/>
      <c r="BF76" s="485"/>
      <c r="BG76" s="485"/>
      <c r="BH76" s="485"/>
      <c r="BI76" s="485"/>
      <c r="BJ76" s="485"/>
      <c r="BK76" s="485"/>
      <c r="BL76" s="485"/>
      <c r="BM76" s="485"/>
      <c r="BN76" s="485"/>
      <c r="BO76" s="485"/>
      <c r="BP76" s="485"/>
      <c r="BQ76" s="485"/>
      <c r="BR76" s="485"/>
      <c r="BS76" s="485"/>
      <c r="BT76" s="485"/>
      <c r="BU76" s="485"/>
      <c r="BV76" s="485"/>
      <c r="BW76" s="485"/>
      <c r="BX76" s="485"/>
      <c r="BY76" s="485"/>
      <c r="BZ76" s="485"/>
      <c r="CA76" s="485"/>
      <c r="CB76" s="485"/>
      <c r="CC76" s="485"/>
      <c r="CD76" s="485"/>
      <c r="CE76" s="485"/>
      <c r="CF76" s="485"/>
      <c r="CG76" s="485"/>
      <c r="CH76" s="485"/>
      <c r="CI76" s="485"/>
      <c r="CJ76" s="485"/>
      <c r="CK76" s="485"/>
      <c r="CL76" s="777"/>
      <c r="CM76" s="485"/>
      <c r="CN76" s="485"/>
      <c r="CO76" s="485"/>
      <c r="CP76" s="485"/>
      <c r="CQ76" s="485"/>
      <c r="CR76" s="485"/>
      <c r="CS76" s="485"/>
      <c r="CT76" s="485"/>
      <c r="CU76" s="485"/>
      <c r="CV76" s="485"/>
      <c r="CW76" s="485"/>
      <c r="CX76" s="485"/>
      <c r="CY76" s="485"/>
      <c r="CZ76" s="485"/>
      <c r="DA76" s="485"/>
      <c r="DB76" s="485"/>
      <c r="DC76" s="485"/>
      <c r="DD76" s="485"/>
      <c r="DE76" s="485"/>
      <c r="DF76" s="485"/>
      <c r="DG76" s="485"/>
      <c r="DH76" s="485"/>
      <c r="DI76" s="485"/>
      <c r="DJ76" s="485"/>
      <c r="DK76" s="485"/>
      <c r="DL76" s="485"/>
      <c r="DM76" s="485"/>
      <c r="DN76" s="485"/>
      <c r="DO76" s="485"/>
      <c r="DP76" s="485"/>
      <c r="DQ76" s="485"/>
      <c r="DR76" s="485"/>
      <c r="DS76" s="485"/>
      <c r="DT76" s="485"/>
      <c r="DU76" s="485"/>
      <c r="DV76" s="485"/>
      <c r="DW76" s="484"/>
      <c r="DX76" s="484"/>
      <c r="DY76" s="484"/>
      <c r="DZ76" s="484"/>
      <c r="EA76" s="484"/>
      <c r="EB76" s="484"/>
      <c r="EC76" s="484"/>
      <c r="ED76" s="484"/>
      <c r="EE76" s="484"/>
      <c r="EF76" s="484"/>
      <c r="EG76" s="484"/>
      <c r="EH76" s="484"/>
      <c r="EI76" s="484"/>
      <c r="EJ76" s="484"/>
      <c r="EK76" s="484"/>
      <c r="EL76" s="484"/>
      <c r="EM76" s="484"/>
      <c r="EN76" s="484"/>
      <c r="EO76" s="484"/>
      <c r="EP76" s="484"/>
      <c r="EQ76" s="484"/>
      <c r="ER76" s="484"/>
      <c r="ES76" s="484"/>
      <c r="ET76" s="484"/>
      <c r="EU76" s="484"/>
      <c r="EV76" s="484"/>
      <c r="EW76" s="484"/>
      <c r="EX76" s="484"/>
      <c r="EY76" s="484"/>
      <c r="EZ76" s="484"/>
      <c r="FA76" s="484"/>
      <c r="FB76" s="484"/>
      <c r="FC76" s="484"/>
      <c r="FD76" s="484"/>
      <c r="FE76" s="484"/>
      <c r="FF76" s="484"/>
      <c r="FG76" s="484"/>
      <c r="FH76" s="486"/>
      <c r="FI76" s="485"/>
      <c r="FJ76" s="485"/>
      <c r="FK76" s="485"/>
      <c r="FL76" s="485"/>
      <c r="FM76" s="485"/>
      <c r="FN76" s="485"/>
      <c r="FO76" s="485"/>
      <c r="FP76" s="485"/>
      <c r="FQ76" s="485"/>
      <c r="FR76" s="485"/>
      <c r="FS76" s="485"/>
      <c r="FT76" s="485"/>
      <c r="FU76" s="485"/>
      <c r="FV76" s="485"/>
      <c r="FW76" s="485"/>
      <c r="FX76" s="485"/>
      <c r="FY76" s="485"/>
      <c r="FZ76" s="485"/>
      <c r="GA76" s="485"/>
      <c r="GB76" s="485"/>
      <c r="GC76" s="485"/>
      <c r="GD76" s="485"/>
      <c r="GE76" s="485"/>
      <c r="GF76" s="485"/>
      <c r="GG76" s="485"/>
      <c r="GH76" s="485"/>
      <c r="GI76" s="485"/>
      <c r="GJ76" s="485"/>
      <c r="GK76" s="485"/>
      <c r="GL76" s="485"/>
      <c r="GM76" s="485"/>
      <c r="GN76" s="485"/>
      <c r="GO76" s="485"/>
      <c r="GP76" s="485"/>
      <c r="GQ76" s="485"/>
      <c r="GR76" s="485"/>
      <c r="GS76" s="485"/>
      <c r="GT76" s="485"/>
      <c r="GU76" s="485"/>
      <c r="GV76" s="485"/>
      <c r="GW76" s="485"/>
      <c r="GX76" s="485"/>
      <c r="GY76" s="485"/>
      <c r="GZ76" s="485"/>
      <c r="HA76" s="485"/>
      <c r="HB76" s="485"/>
      <c r="HC76" s="485"/>
      <c r="HD76" s="485"/>
      <c r="HE76" s="485"/>
      <c r="HF76" s="485"/>
      <c r="HG76" s="485"/>
      <c r="HH76" s="485"/>
      <c r="HI76" s="485"/>
      <c r="HJ76" s="485"/>
      <c r="HK76" s="485"/>
      <c r="HL76" s="485"/>
      <c r="HM76" s="485"/>
      <c r="HN76" s="485"/>
      <c r="HO76" s="485"/>
      <c r="HP76" s="485"/>
      <c r="HQ76" s="485"/>
      <c r="HR76" s="485"/>
      <c r="HS76" s="485"/>
      <c r="HT76" s="485"/>
      <c r="HU76" s="485"/>
      <c r="HV76" s="485"/>
      <c r="HW76" s="485"/>
      <c r="HX76" s="485"/>
      <c r="HY76" s="485"/>
      <c r="HZ76" s="485"/>
      <c r="IA76" s="485"/>
      <c r="IB76" s="485"/>
      <c r="IC76" s="485"/>
      <c r="ID76" s="485"/>
    </row>
    <row r="77" spans="1:238" s="40" customFormat="1" ht="18" x14ac:dyDescent="0.35">
      <c r="A77" s="288"/>
      <c r="B77" s="289">
        <f>IF(O77=1,SUM($O$41:O77),0)</f>
        <v>0</v>
      </c>
      <c r="C77" s="274">
        <v>31</v>
      </c>
      <c r="D77" s="290" t="s">
        <v>221</v>
      </c>
      <c r="E77" s="291">
        <v>16.5</v>
      </c>
      <c r="F77" s="292" t="s">
        <v>107</v>
      </c>
      <c r="G77" s="293"/>
      <c r="H77" s="294"/>
      <c r="I77" s="288">
        <f>SUMIFS($AU$14:$AU$38,$AS$14:$AS$38,E77,$U$14:$U$38,F77)/100</f>
        <v>0</v>
      </c>
      <c r="J77" s="295">
        <v>1</v>
      </c>
      <c r="K77" s="295"/>
      <c r="L77" s="295">
        <f>VLOOKUP(D77,'قائمة الأسعار'!D15:F104,3,0)</f>
        <v>1</v>
      </c>
      <c r="M77" s="296">
        <f>L77*J77*I77</f>
        <v>0</v>
      </c>
      <c r="N77" s="413"/>
      <c r="O77" s="288">
        <f t="shared" si="198"/>
        <v>0</v>
      </c>
      <c r="Q77" s="63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188"/>
      <c r="AH77" s="95"/>
      <c r="AI77" s="95"/>
      <c r="AJ77" s="65"/>
      <c r="AK77" s="61"/>
      <c r="AL77" s="61"/>
      <c r="AM77" s="485"/>
      <c r="AN77" s="485"/>
      <c r="AO77" s="485"/>
      <c r="AP77" s="485"/>
      <c r="AQ77" s="485"/>
      <c r="AR77" s="485"/>
      <c r="AS77" s="485"/>
      <c r="AT77" s="485"/>
      <c r="AU77" s="485"/>
      <c r="AV77" s="485"/>
      <c r="AW77" s="485"/>
      <c r="AX77" s="485"/>
      <c r="AY77" s="485"/>
      <c r="AZ77" s="485"/>
      <c r="BA77" s="485"/>
      <c r="BB77" s="485"/>
      <c r="BC77" s="485"/>
      <c r="BD77" s="485"/>
      <c r="BE77" s="485"/>
      <c r="BF77" s="485"/>
      <c r="BG77" s="485"/>
      <c r="BH77" s="485"/>
      <c r="BI77" s="485"/>
      <c r="BJ77" s="485"/>
      <c r="BK77" s="485"/>
      <c r="BL77" s="485"/>
      <c r="BM77" s="485"/>
      <c r="BN77" s="485"/>
      <c r="BO77" s="485"/>
      <c r="BP77" s="485"/>
      <c r="BQ77" s="485"/>
      <c r="BR77" s="485"/>
      <c r="BS77" s="485"/>
      <c r="BT77" s="485"/>
      <c r="BU77" s="485"/>
      <c r="BV77" s="485"/>
      <c r="BW77" s="485"/>
      <c r="BX77" s="485"/>
      <c r="BY77" s="485"/>
      <c r="BZ77" s="485"/>
      <c r="CA77" s="485"/>
      <c r="CB77" s="485"/>
      <c r="CC77" s="485"/>
      <c r="CD77" s="485"/>
      <c r="CE77" s="485"/>
      <c r="CF77" s="485"/>
      <c r="CG77" s="485"/>
      <c r="CH77" s="485"/>
      <c r="CI77" s="485"/>
      <c r="CJ77" s="485"/>
      <c r="CK77" s="485"/>
      <c r="CL77" s="777"/>
      <c r="CM77" s="485"/>
      <c r="CN77" s="485"/>
      <c r="CO77" s="485"/>
      <c r="CP77" s="485"/>
      <c r="CQ77" s="485"/>
      <c r="CR77" s="485"/>
      <c r="CS77" s="485"/>
      <c r="CT77" s="485"/>
      <c r="CU77" s="485"/>
      <c r="CV77" s="485"/>
      <c r="CW77" s="485"/>
      <c r="CX77" s="485"/>
      <c r="CY77" s="485"/>
      <c r="CZ77" s="485"/>
      <c r="DA77" s="485"/>
      <c r="DB77" s="485"/>
      <c r="DC77" s="485"/>
      <c r="DD77" s="485"/>
      <c r="DE77" s="485"/>
      <c r="DF77" s="485"/>
      <c r="DG77" s="485"/>
      <c r="DH77" s="485"/>
      <c r="DI77" s="485"/>
      <c r="DJ77" s="485"/>
      <c r="DK77" s="485"/>
      <c r="DL77" s="485"/>
      <c r="DM77" s="485"/>
      <c r="DN77" s="485"/>
      <c r="DO77" s="485"/>
      <c r="DP77" s="485"/>
      <c r="DQ77" s="485"/>
      <c r="DR77" s="485"/>
      <c r="DS77" s="485"/>
      <c r="DT77" s="485"/>
      <c r="DU77" s="485"/>
      <c r="DV77" s="485"/>
      <c r="DW77" s="484"/>
      <c r="DX77" s="484"/>
      <c r="DY77" s="484"/>
      <c r="DZ77" s="484"/>
      <c r="EA77" s="484"/>
      <c r="EB77" s="484"/>
      <c r="EC77" s="484"/>
      <c r="ED77" s="484"/>
      <c r="EE77" s="484"/>
      <c r="EF77" s="484"/>
      <c r="EG77" s="484"/>
      <c r="EH77" s="484"/>
      <c r="EI77" s="484"/>
      <c r="EJ77" s="484"/>
      <c r="EK77" s="484"/>
      <c r="EL77" s="484"/>
      <c r="EM77" s="484"/>
      <c r="EN77" s="484"/>
      <c r="EO77" s="484"/>
      <c r="EP77" s="484"/>
      <c r="EQ77" s="484"/>
      <c r="ER77" s="484"/>
      <c r="ES77" s="484"/>
      <c r="ET77" s="484"/>
      <c r="EU77" s="484"/>
      <c r="EV77" s="484"/>
      <c r="EW77" s="484"/>
      <c r="EX77" s="484"/>
      <c r="EY77" s="484"/>
      <c r="EZ77" s="484"/>
      <c r="FA77" s="484"/>
      <c r="FB77" s="484"/>
      <c r="FC77" s="484"/>
      <c r="FD77" s="484"/>
      <c r="FE77" s="484"/>
      <c r="FF77" s="484"/>
      <c r="FG77" s="484"/>
      <c r="FH77" s="486"/>
      <c r="FI77" s="485"/>
      <c r="FJ77" s="485"/>
      <c r="FK77" s="485"/>
      <c r="FL77" s="485"/>
      <c r="FM77" s="485"/>
      <c r="FN77" s="485"/>
      <c r="FO77" s="485"/>
      <c r="FP77" s="485"/>
      <c r="FQ77" s="485"/>
      <c r="FR77" s="485"/>
      <c r="FS77" s="485"/>
      <c r="FT77" s="485"/>
      <c r="FU77" s="485"/>
      <c r="FV77" s="485"/>
      <c r="FW77" s="485"/>
      <c r="FX77" s="485"/>
      <c r="FY77" s="485"/>
      <c r="FZ77" s="485"/>
      <c r="GA77" s="485"/>
      <c r="GB77" s="485"/>
      <c r="GC77" s="485"/>
      <c r="GD77" s="485"/>
      <c r="GE77" s="485"/>
      <c r="GF77" s="485"/>
      <c r="GG77" s="485"/>
      <c r="GH77" s="485"/>
      <c r="GI77" s="485"/>
      <c r="GJ77" s="485"/>
      <c r="GK77" s="485"/>
      <c r="GL77" s="485"/>
      <c r="GM77" s="485"/>
      <c r="GN77" s="485"/>
      <c r="GO77" s="485"/>
      <c r="GP77" s="485"/>
      <c r="GQ77" s="485"/>
      <c r="GR77" s="485"/>
      <c r="GS77" s="485"/>
      <c r="GT77" s="485"/>
      <c r="GU77" s="485"/>
      <c r="GV77" s="485"/>
      <c r="GW77" s="485"/>
      <c r="GX77" s="485"/>
      <c r="GY77" s="485"/>
      <c r="GZ77" s="485"/>
      <c r="HA77" s="485"/>
      <c r="HB77" s="485"/>
      <c r="HC77" s="485"/>
      <c r="HD77" s="485"/>
      <c r="HE77" s="485"/>
      <c r="HF77" s="485"/>
      <c r="HG77" s="485"/>
      <c r="HH77" s="485"/>
      <c r="HI77" s="485"/>
      <c r="HJ77" s="485"/>
      <c r="HK77" s="485"/>
      <c r="HL77" s="485"/>
      <c r="HM77" s="485"/>
      <c r="HN77" s="485"/>
      <c r="HO77" s="485"/>
      <c r="HP77" s="485"/>
      <c r="HQ77" s="485"/>
      <c r="HR77" s="485"/>
      <c r="HS77" s="485"/>
      <c r="HT77" s="485"/>
      <c r="HU77" s="485"/>
      <c r="HV77" s="485"/>
      <c r="HW77" s="485"/>
      <c r="HX77" s="485"/>
      <c r="HY77" s="485"/>
      <c r="HZ77" s="485"/>
      <c r="IA77" s="485"/>
      <c r="IB77" s="485"/>
      <c r="IC77" s="485"/>
      <c r="ID77" s="485"/>
    </row>
    <row r="78" spans="1:238" s="40" customFormat="1" ht="18" x14ac:dyDescent="0.35">
      <c r="A78" s="288"/>
      <c r="B78" s="289">
        <f>IF(O78=1,SUM($O$41:O78),0)</f>
        <v>0</v>
      </c>
      <c r="C78" s="274">
        <v>32</v>
      </c>
      <c r="D78" s="290" t="s">
        <v>222</v>
      </c>
      <c r="E78" s="291">
        <v>16.5</v>
      </c>
      <c r="F78" s="292" t="s">
        <v>107</v>
      </c>
      <c r="G78" s="293"/>
      <c r="H78" s="294"/>
      <c r="I78" s="298" t="s">
        <v>20</v>
      </c>
      <c r="J78" s="288">
        <f>SUMIFS($HV$14:$HV$38,$AS$14:$AS$38,E78,$U$14:$U$38,F78)</f>
        <v>0</v>
      </c>
      <c r="K78" s="288"/>
      <c r="L78" s="295">
        <f>VLOOKUP(D78,'قائمة الأسعار'!D15:F104,3,0)</f>
        <v>1</v>
      </c>
      <c r="M78" s="296">
        <f>L78*J78</f>
        <v>0</v>
      </c>
      <c r="N78" s="413"/>
      <c r="O78" s="288">
        <f t="shared" si="198"/>
        <v>0</v>
      </c>
      <c r="Q78" s="63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188"/>
      <c r="AH78" s="95"/>
      <c r="AI78" s="95"/>
      <c r="AJ78" s="65"/>
      <c r="AM78" s="485"/>
      <c r="AN78" s="485"/>
      <c r="AO78" s="485"/>
      <c r="AP78" s="485"/>
      <c r="AQ78" s="485"/>
      <c r="AR78" s="485"/>
      <c r="AS78" s="485"/>
      <c r="AT78" s="485"/>
      <c r="AU78" s="485"/>
      <c r="AV78" s="485"/>
      <c r="AW78" s="485"/>
      <c r="AX78" s="485"/>
      <c r="AY78" s="485"/>
      <c r="AZ78" s="485"/>
      <c r="BA78" s="485"/>
      <c r="BB78" s="485"/>
      <c r="BC78" s="485"/>
      <c r="BD78" s="485"/>
      <c r="BE78" s="485"/>
      <c r="BF78" s="485"/>
      <c r="BG78" s="485"/>
      <c r="BH78" s="485"/>
      <c r="BI78" s="485"/>
      <c r="BJ78" s="485"/>
      <c r="BK78" s="485"/>
      <c r="BL78" s="485"/>
      <c r="BM78" s="485"/>
      <c r="BN78" s="485"/>
      <c r="BO78" s="485"/>
      <c r="BP78" s="485"/>
      <c r="BQ78" s="485"/>
      <c r="BR78" s="485"/>
      <c r="BS78" s="485"/>
      <c r="BT78" s="485"/>
      <c r="BU78" s="485"/>
      <c r="BV78" s="485"/>
      <c r="BW78" s="485"/>
      <c r="BX78" s="485"/>
      <c r="BY78" s="485"/>
      <c r="BZ78" s="485"/>
      <c r="CA78" s="485"/>
      <c r="CB78" s="485"/>
      <c r="CC78" s="485"/>
      <c r="CD78" s="485"/>
      <c r="CE78" s="485"/>
      <c r="CF78" s="485"/>
      <c r="CG78" s="485"/>
      <c r="CH78" s="485"/>
      <c r="CI78" s="485"/>
      <c r="CJ78" s="485"/>
      <c r="CK78" s="485"/>
      <c r="CL78" s="777"/>
      <c r="CM78" s="485"/>
      <c r="CN78" s="485"/>
      <c r="CO78" s="485"/>
      <c r="CP78" s="485"/>
      <c r="CQ78" s="485"/>
      <c r="CR78" s="485"/>
      <c r="CS78" s="485"/>
      <c r="CT78" s="485"/>
      <c r="CU78" s="485"/>
      <c r="CV78" s="485"/>
      <c r="CW78" s="485"/>
      <c r="CX78" s="485"/>
      <c r="CY78" s="485"/>
      <c r="CZ78" s="485"/>
      <c r="DA78" s="485"/>
      <c r="DB78" s="485"/>
      <c r="DC78" s="485"/>
      <c r="DD78" s="485"/>
      <c r="DE78" s="485"/>
      <c r="DF78" s="485"/>
      <c r="DG78" s="485"/>
      <c r="DH78" s="485"/>
      <c r="DI78" s="485"/>
      <c r="DJ78" s="485"/>
      <c r="DK78" s="485"/>
      <c r="DL78" s="485"/>
      <c r="DM78" s="485"/>
      <c r="DN78" s="485"/>
      <c r="DO78" s="485"/>
      <c r="DP78" s="485"/>
      <c r="DQ78" s="485"/>
      <c r="DR78" s="485"/>
      <c r="DS78" s="485"/>
      <c r="DT78" s="485"/>
      <c r="DU78" s="485"/>
      <c r="DV78" s="485"/>
      <c r="DW78" s="484"/>
      <c r="DX78" s="484"/>
      <c r="DY78" s="484"/>
      <c r="DZ78" s="484"/>
      <c r="EA78" s="484"/>
      <c r="EB78" s="484"/>
      <c r="EC78" s="484"/>
      <c r="ED78" s="484"/>
      <c r="EE78" s="484"/>
      <c r="EF78" s="484"/>
      <c r="EG78" s="484"/>
      <c r="EH78" s="484"/>
      <c r="EI78" s="484"/>
      <c r="EJ78" s="484"/>
      <c r="EK78" s="484"/>
      <c r="EL78" s="484"/>
      <c r="EM78" s="484"/>
      <c r="EN78" s="484"/>
      <c r="EO78" s="484"/>
      <c r="EP78" s="484"/>
      <c r="EQ78" s="484"/>
      <c r="ER78" s="484"/>
      <c r="ES78" s="484"/>
      <c r="ET78" s="484"/>
      <c r="EU78" s="484"/>
      <c r="EV78" s="484"/>
      <c r="EW78" s="484"/>
      <c r="EX78" s="484"/>
      <c r="EY78" s="484"/>
      <c r="EZ78" s="484"/>
      <c r="FA78" s="484"/>
      <c r="FB78" s="484"/>
      <c r="FC78" s="484"/>
      <c r="FD78" s="484"/>
      <c r="FE78" s="484"/>
      <c r="FF78" s="484"/>
      <c r="FG78" s="484"/>
      <c r="FH78" s="486"/>
      <c r="FI78" s="485"/>
      <c r="FJ78" s="485"/>
      <c r="FK78" s="485"/>
      <c r="FL78" s="485"/>
      <c r="FM78" s="485"/>
      <c r="FN78" s="485"/>
      <c r="FO78" s="485"/>
      <c r="FP78" s="485"/>
      <c r="FQ78" s="485"/>
      <c r="FR78" s="485"/>
      <c r="FS78" s="485"/>
      <c r="FT78" s="485"/>
      <c r="FU78" s="485"/>
      <c r="FV78" s="485"/>
      <c r="FW78" s="485"/>
      <c r="FX78" s="485"/>
      <c r="FY78" s="485"/>
      <c r="FZ78" s="485"/>
      <c r="GA78" s="485"/>
      <c r="GB78" s="485"/>
      <c r="GC78" s="485"/>
      <c r="GD78" s="485"/>
      <c r="GE78" s="485"/>
      <c r="GF78" s="485"/>
      <c r="GG78" s="485"/>
      <c r="GH78" s="485"/>
      <c r="GI78" s="485"/>
      <c r="GJ78" s="485"/>
      <c r="GK78" s="485"/>
      <c r="GL78" s="485"/>
      <c r="GM78" s="485"/>
      <c r="GN78" s="485"/>
      <c r="GO78" s="485"/>
      <c r="GP78" s="485"/>
      <c r="GQ78" s="485"/>
      <c r="GR78" s="485"/>
      <c r="GS78" s="485"/>
      <c r="GT78" s="485"/>
      <c r="GU78" s="485"/>
      <c r="GV78" s="485"/>
      <c r="GW78" s="485"/>
      <c r="GX78" s="485"/>
      <c r="GY78" s="485"/>
      <c r="GZ78" s="485"/>
      <c r="HA78" s="485"/>
      <c r="HB78" s="485"/>
      <c r="HC78" s="485"/>
      <c r="HD78" s="485"/>
      <c r="HE78" s="485"/>
      <c r="HF78" s="485"/>
      <c r="HG78" s="485"/>
      <c r="HH78" s="485"/>
      <c r="HI78" s="485"/>
      <c r="HJ78" s="485"/>
      <c r="HK78" s="485"/>
      <c r="HL78" s="485"/>
      <c r="HM78" s="485"/>
      <c r="HN78" s="485"/>
      <c r="HO78" s="485"/>
      <c r="HP78" s="485"/>
      <c r="HQ78" s="485"/>
      <c r="HR78" s="485"/>
      <c r="HS78" s="485"/>
      <c r="HT78" s="485"/>
      <c r="HU78" s="485"/>
      <c r="HV78" s="485"/>
      <c r="HW78" s="485"/>
      <c r="HX78" s="485"/>
      <c r="HY78" s="485"/>
      <c r="HZ78" s="485"/>
      <c r="IA78" s="485"/>
      <c r="IB78" s="485"/>
      <c r="IC78" s="485"/>
      <c r="ID78" s="485"/>
    </row>
    <row r="79" spans="1:238" s="40" customFormat="1" ht="18" x14ac:dyDescent="0.35">
      <c r="A79" s="288"/>
      <c r="B79" s="289">
        <f>IF(O79=1,SUM($O$41:O79),0)</f>
        <v>0</v>
      </c>
      <c r="C79" s="274">
        <v>33</v>
      </c>
      <c r="D79" s="290" t="s">
        <v>221</v>
      </c>
      <c r="E79" s="291">
        <v>16.5</v>
      </c>
      <c r="F79" s="287" t="s">
        <v>149</v>
      </c>
      <c r="G79" s="293"/>
      <c r="H79" s="294"/>
      <c r="I79" s="298">
        <f>SUMIFS($AU$14:$AU$38,$AS$14:$AS$38,E79,$U$14:$U$38,F79)/100</f>
        <v>0</v>
      </c>
      <c r="J79" s="288">
        <v>1</v>
      </c>
      <c r="K79" s="288"/>
      <c r="L79" s="295">
        <f>VLOOKUP(D79,'قائمة الأسعار'!D16:F105,3,0)</f>
        <v>1</v>
      </c>
      <c r="M79" s="296">
        <f>L79*J79*I79</f>
        <v>0</v>
      </c>
      <c r="N79" s="413"/>
      <c r="O79" s="288">
        <f t="shared" si="198"/>
        <v>0</v>
      </c>
      <c r="Q79" s="63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188"/>
      <c r="AH79" s="95"/>
      <c r="AI79" s="95"/>
      <c r="AJ79" s="65"/>
      <c r="AK79" s="61"/>
      <c r="AL79" s="61"/>
      <c r="AM79" s="485"/>
      <c r="AN79" s="485"/>
      <c r="AO79" s="485"/>
      <c r="AP79" s="485"/>
      <c r="AQ79" s="485"/>
      <c r="AR79" s="485"/>
      <c r="AS79" s="485"/>
      <c r="AT79" s="485"/>
      <c r="AU79" s="485"/>
      <c r="AV79" s="485"/>
      <c r="AW79" s="485"/>
      <c r="AX79" s="485"/>
      <c r="AY79" s="485"/>
      <c r="AZ79" s="485"/>
      <c r="BA79" s="485"/>
      <c r="BB79" s="485"/>
      <c r="BC79" s="485"/>
      <c r="BD79" s="485"/>
      <c r="BE79" s="485"/>
      <c r="BF79" s="485"/>
      <c r="BG79" s="485"/>
      <c r="BH79" s="485"/>
      <c r="BI79" s="485"/>
      <c r="BJ79" s="485"/>
      <c r="BK79" s="485"/>
      <c r="BL79" s="485"/>
      <c r="BM79" s="485"/>
      <c r="BN79" s="485"/>
      <c r="BO79" s="485"/>
      <c r="BP79" s="485"/>
      <c r="BQ79" s="485"/>
      <c r="BR79" s="485"/>
      <c r="BS79" s="485"/>
      <c r="BT79" s="485"/>
      <c r="BU79" s="485"/>
      <c r="BV79" s="485"/>
      <c r="BW79" s="485"/>
      <c r="BX79" s="485"/>
      <c r="BY79" s="485"/>
      <c r="BZ79" s="485"/>
      <c r="CA79" s="485"/>
      <c r="CB79" s="485"/>
      <c r="CC79" s="485"/>
      <c r="CD79" s="485"/>
      <c r="CE79" s="485"/>
      <c r="CF79" s="485"/>
      <c r="CG79" s="485"/>
      <c r="CH79" s="485"/>
      <c r="CI79" s="485"/>
      <c r="CJ79" s="485"/>
      <c r="CK79" s="485"/>
      <c r="CL79" s="777"/>
      <c r="CM79" s="485"/>
      <c r="CN79" s="485"/>
      <c r="CO79" s="485"/>
      <c r="CP79" s="485"/>
      <c r="CQ79" s="485"/>
      <c r="CR79" s="485"/>
      <c r="CS79" s="485"/>
      <c r="CT79" s="485"/>
      <c r="CU79" s="485"/>
      <c r="CV79" s="485"/>
      <c r="CW79" s="485"/>
      <c r="CX79" s="485"/>
      <c r="CY79" s="485"/>
      <c r="CZ79" s="485"/>
      <c r="DA79" s="485"/>
      <c r="DB79" s="485"/>
      <c r="DC79" s="485"/>
      <c r="DD79" s="485"/>
      <c r="DE79" s="485"/>
      <c r="DF79" s="485"/>
      <c r="DG79" s="485"/>
      <c r="DH79" s="485"/>
      <c r="DI79" s="485"/>
      <c r="DJ79" s="485"/>
      <c r="DK79" s="485"/>
      <c r="DL79" s="485"/>
      <c r="DM79" s="485"/>
      <c r="DN79" s="485"/>
      <c r="DO79" s="485"/>
      <c r="DP79" s="485"/>
      <c r="DQ79" s="485"/>
      <c r="DR79" s="485"/>
      <c r="DS79" s="485"/>
      <c r="DT79" s="485"/>
      <c r="DU79" s="485"/>
      <c r="DV79" s="485"/>
      <c r="DW79" s="484"/>
      <c r="DX79" s="484"/>
      <c r="DY79" s="484"/>
      <c r="DZ79" s="484"/>
      <c r="EA79" s="484"/>
      <c r="EB79" s="484"/>
      <c r="EC79" s="484"/>
      <c r="ED79" s="484"/>
      <c r="EE79" s="484"/>
      <c r="EF79" s="484"/>
      <c r="EG79" s="484"/>
      <c r="EH79" s="484"/>
      <c r="EI79" s="484"/>
      <c r="EJ79" s="484"/>
      <c r="EK79" s="484"/>
      <c r="EL79" s="484"/>
      <c r="EM79" s="484"/>
      <c r="EN79" s="484"/>
      <c r="EO79" s="484"/>
      <c r="EP79" s="484"/>
      <c r="EQ79" s="484"/>
      <c r="ER79" s="484"/>
      <c r="ES79" s="484"/>
      <c r="ET79" s="484"/>
      <c r="EU79" s="484"/>
      <c r="EV79" s="484"/>
      <c r="EW79" s="484"/>
      <c r="EX79" s="484"/>
      <c r="EY79" s="484"/>
      <c r="EZ79" s="484"/>
      <c r="FA79" s="484"/>
      <c r="FB79" s="484"/>
      <c r="FC79" s="484"/>
      <c r="FD79" s="484"/>
      <c r="FE79" s="484"/>
      <c r="FF79" s="484"/>
      <c r="FG79" s="484"/>
      <c r="FH79" s="486"/>
      <c r="FI79" s="485"/>
      <c r="FJ79" s="485"/>
      <c r="FK79" s="485"/>
      <c r="FL79" s="485"/>
      <c r="FM79" s="485"/>
      <c r="FN79" s="485"/>
      <c r="FO79" s="485"/>
      <c r="FP79" s="485"/>
      <c r="FQ79" s="485"/>
      <c r="FR79" s="485"/>
      <c r="FS79" s="485"/>
      <c r="FT79" s="485"/>
      <c r="FU79" s="485"/>
      <c r="FV79" s="485"/>
      <c r="FW79" s="485"/>
      <c r="FX79" s="485"/>
      <c r="FY79" s="485"/>
      <c r="FZ79" s="485"/>
      <c r="GA79" s="485"/>
      <c r="GB79" s="485"/>
      <c r="GC79" s="485"/>
      <c r="GD79" s="485"/>
      <c r="GE79" s="485"/>
      <c r="GF79" s="485"/>
      <c r="GG79" s="485"/>
      <c r="GH79" s="485"/>
      <c r="GI79" s="485"/>
      <c r="GJ79" s="485"/>
      <c r="GK79" s="485"/>
      <c r="GL79" s="485"/>
      <c r="GM79" s="485"/>
      <c r="GN79" s="485"/>
      <c r="GO79" s="485"/>
      <c r="GP79" s="485"/>
      <c r="GQ79" s="485"/>
      <c r="GR79" s="485"/>
      <c r="GS79" s="485"/>
      <c r="GT79" s="485"/>
      <c r="GU79" s="485"/>
      <c r="GV79" s="485"/>
      <c r="GW79" s="485"/>
      <c r="GX79" s="485"/>
      <c r="GY79" s="485"/>
      <c r="GZ79" s="485"/>
      <c r="HA79" s="485"/>
      <c r="HB79" s="485"/>
      <c r="HC79" s="485"/>
      <c r="HD79" s="485"/>
      <c r="HE79" s="485"/>
      <c r="HF79" s="485"/>
      <c r="HG79" s="485"/>
      <c r="HH79" s="485"/>
      <c r="HI79" s="485"/>
      <c r="HJ79" s="485"/>
      <c r="HK79" s="485"/>
      <c r="HL79" s="485"/>
      <c r="HM79" s="485"/>
      <c r="HN79" s="485"/>
      <c r="HO79" s="485"/>
      <c r="HP79" s="485"/>
      <c r="HQ79" s="485"/>
      <c r="HR79" s="485"/>
      <c r="HS79" s="485"/>
      <c r="HT79" s="485"/>
      <c r="HU79" s="485"/>
      <c r="HV79" s="485"/>
      <c r="HW79" s="485"/>
      <c r="HX79" s="485"/>
      <c r="HY79" s="485"/>
      <c r="HZ79" s="485"/>
      <c r="IA79" s="485"/>
      <c r="IB79" s="485"/>
      <c r="IC79" s="485"/>
      <c r="ID79" s="485"/>
    </row>
    <row r="80" spans="1:238" s="40" customFormat="1" ht="18" x14ac:dyDescent="0.35">
      <c r="A80" s="288"/>
      <c r="B80" s="289">
        <f>IF(O80=1,SUM($O$41:O80),0)</f>
        <v>0</v>
      </c>
      <c r="C80" s="274">
        <v>34</v>
      </c>
      <c r="D80" s="290" t="s">
        <v>222</v>
      </c>
      <c r="E80" s="291">
        <v>16.5</v>
      </c>
      <c r="F80" s="287" t="s">
        <v>149</v>
      </c>
      <c r="G80" s="293"/>
      <c r="H80" s="294"/>
      <c r="I80" s="298" t="s">
        <v>20</v>
      </c>
      <c r="J80" s="288">
        <f>SUMIFS($HV$14:$HV$38,$AS$14:$AS$38,E80,$U$14:$U$38,F80)</f>
        <v>0</v>
      </c>
      <c r="K80" s="288"/>
      <c r="L80" s="295">
        <f>VLOOKUP(D80,'قائمة الأسعار'!D17:F106,3,0)</f>
        <v>1</v>
      </c>
      <c r="M80" s="296">
        <f>L80*J80</f>
        <v>0</v>
      </c>
      <c r="N80" s="413"/>
      <c r="O80" s="288">
        <f t="shared" si="198"/>
        <v>0</v>
      </c>
      <c r="Q80" s="63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188"/>
      <c r="AH80" s="95"/>
      <c r="AI80" s="95"/>
      <c r="AJ80" s="65"/>
      <c r="AM80" s="485"/>
      <c r="AN80" s="485"/>
      <c r="AO80" s="485"/>
      <c r="AP80" s="485"/>
      <c r="AQ80" s="485"/>
      <c r="AR80" s="485"/>
      <c r="AS80" s="485"/>
      <c r="AT80" s="485"/>
      <c r="AU80" s="485"/>
      <c r="AV80" s="485"/>
      <c r="AW80" s="485"/>
      <c r="AX80" s="485"/>
      <c r="AY80" s="485"/>
      <c r="AZ80" s="485"/>
      <c r="BA80" s="485"/>
      <c r="BB80" s="485"/>
      <c r="BC80" s="485"/>
      <c r="BD80" s="485"/>
      <c r="BE80" s="485"/>
      <c r="BF80" s="485"/>
      <c r="BG80" s="485"/>
      <c r="BH80" s="485"/>
      <c r="BI80" s="485"/>
      <c r="BJ80" s="485"/>
      <c r="BK80" s="485"/>
      <c r="BL80" s="485"/>
      <c r="BM80" s="485"/>
      <c r="BN80" s="485"/>
      <c r="BO80" s="485"/>
      <c r="BP80" s="485"/>
      <c r="BQ80" s="485"/>
      <c r="BR80" s="485"/>
      <c r="BS80" s="485"/>
      <c r="BT80" s="485"/>
      <c r="BU80" s="485"/>
      <c r="BV80" s="485"/>
      <c r="BW80" s="485"/>
      <c r="BX80" s="485"/>
      <c r="BY80" s="485"/>
      <c r="BZ80" s="485"/>
      <c r="CA80" s="485"/>
      <c r="CB80" s="485"/>
      <c r="CC80" s="485"/>
      <c r="CD80" s="485"/>
      <c r="CE80" s="485"/>
      <c r="CF80" s="485"/>
      <c r="CG80" s="485"/>
      <c r="CH80" s="485"/>
      <c r="CI80" s="485"/>
      <c r="CJ80" s="485"/>
      <c r="CK80" s="485"/>
      <c r="CL80" s="777"/>
      <c r="CM80" s="485"/>
      <c r="CN80" s="485"/>
      <c r="CO80" s="485"/>
      <c r="CP80" s="485"/>
      <c r="CQ80" s="485"/>
      <c r="CR80" s="485"/>
      <c r="CS80" s="485"/>
      <c r="CT80" s="485"/>
      <c r="CU80" s="485"/>
      <c r="CV80" s="485"/>
      <c r="CW80" s="485"/>
      <c r="CX80" s="485"/>
      <c r="CY80" s="485"/>
      <c r="CZ80" s="485"/>
      <c r="DA80" s="485"/>
      <c r="DB80" s="485"/>
      <c r="DC80" s="485"/>
      <c r="DD80" s="485"/>
      <c r="DE80" s="485"/>
      <c r="DF80" s="485"/>
      <c r="DG80" s="485"/>
      <c r="DH80" s="485"/>
      <c r="DI80" s="485"/>
      <c r="DJ80" s="485"/>
      <c r="DK80" s="485"/>
      <c r="DL80" s="485"/>
      <c r="DM80" s="485"/>
      <c r="DN80" s="485"/>
      <c r="DO80" s="485"/>
      <c r="DP80" s="485"/>
      <c r="DQ80" s="485"/>
      <c r="DR80" s="485"/>
      <c r="DS80" s="485"/>
      <c r="DT80" s="485"/>
      <c r="DU80" s="485"/>
      <c r="DV80" s="485"/>
      <c r="DW80" s="484"/>
      <c r="DX80" s="484"/>
      <c r="DY80" s="484"/>
      <c r="DZ80" s="484"/>
      <c r="EA80" s="484"/>
      <c r="EB80" s="484"/>
      <c r="EC80" s="484"/>
      <c r="ED80" s="484"/>
      <c r="EE80" s="484"/>
      <c r="EF80" s="484"/>
      <c r="EG80" s="484"/>
      <c r="EH80" s="484"/>
      <c r="EI80" s="484"/>
      <c r="EJ80" s="484"/>
      <c r="EK80" s="484"/>
      <c r="EL80" s="484"/>
      <c r="EM80" s="484"/>
      <c r="EN80" s="484"/>
      <c r="EO80" s="484"/>
      <c r="EP80" s="484"/>
      <c r="EQ80" s="484"/>
      <c r="ER80" s="484"/>
      <c r="ES80" s="484"/>
      <c r="ET80" s="484"/>
      <c r="EU80" s="484"/>
      <c r="EV80" s="484"/>
      <c r="EW80" s="484"/>
      <c r="EX80" s="484"/>
      <c r="EY80" s="484"/>
      <c r="EZ80" s="484"/>
      <c r="FA80" s="484"/>
      <c r="FB80" s="484"/>
      <c r="FC80" s="484"/>
      <c r="FD80" s="484"/>
      <c r="FE80" s="484"/>
      <c r="FF80" s="484"/>
      <c r="FG80" s="484"/>
      <c r="FH80" s="486"/>
      <c r="FI80" s="485"/>
      <c r="FJ80" s="485"/>
      <c r="FK80" s="485"/>
      <c r="FL80" s="485"/>
      <c r="FM80" s="485"/>
      <c r="FN80" s="485"/>
      <c r="FO80" s="485"/>
      <c r="FP80" s="485"/>
      <c r="FQ80" s="485"/>
      <c r="FR80" s="485"/>
      <c r="FS80" s="485"/>
      <c r="FT80" s="485"/>
      <c r="FU80" s="485"/>
      <c r="FV80" s="485"/>
      <c r="FW80" s="485"/>
      <c r="FX80" s="485"/>
      <c r="FY80" s="485"/>
      <c r="FZ80" s="485"/>
      <c r="GA80" s="485"/>
      <c r="GB80" s="485"/>
      <c r="GC80" s="485"/>
      <c r="GD80" s="485"/>
      <c r="GE80" s="485"/>
      <c r="GF80" s="485"/>
      <c r="GG80" s="485"/>
      <c r="GH80" s="485"/>
      <c r="GI80" s="485"/>
      <c r="GJ80" s="485"/>
      <c r="GK80" s="485"/>
      <c r="GL80" s="485"/>
      <c r="GM80" s="485"/>
      <c r="GN80" s="485"/>
      <c r="GO80" s="485"/>
      <c r="GP80" s="485"/>
      <c r="GQ80" s="485"/>
      <c r="GR80" s="485"/>
      <c r="GS80" s="485"/>
      <c r="GT80" s="485"/>
      <c r="GU80" s="485"/>
      <c r="GV80" s="485"/>
      <c r="GW80" s="485"/>
      <c r="GX80" s="485"/>
      <c r="GY80" s="485"/>
      <c r="GZ80" s="485"/>
      <c r="HA80" s="485"/>
      <c r="HB80" s="485"/>
      <c r="HC80" s="485"/>
      <c r="HD80" s="485"/>
      <c r="HE80" s="485"/>
      <c r="HF80" s="485"/>
      <c r="HG80" s="485"/>
      <c r="HH80" s="485"/>
      <c r="HI80" s="485"/>
      <c r="HJ80" s="485"/>
      <c r="HK80" s="485"/>
      <c r="HL80" s="485"/>
      <c r="HM80" s="485"/>
      <c r="HN80" s="485"/>
      <c r="HO80" s="485"/>
      <c r="HP80" s="485"/>
      <c r="HQ80" s="485"/>
      <c r="HR80" s="485"/>
      <c r="HS80" s="485"/>
      <c r="HT80" s="485"/>
      <c r="HU80" s="485"/>
      <c r="HV80" s="485"/>
      <c r="HW80" s="485"/>
      <c r="HX80" s="485"/>
      <c r="HY80" s="485"/>
      <c r="HZ80" s="485"/>
      <c r="IA80" s="485"/>
      <c r="IB80" s="485"/>
      <c r="IC80" s="485"/>
      <c r="ID80" s="485"/>
    </row>
    <row r="81" spans="1:238" s="40" customFormat="1" ht="18" x14ac:dyDescent="0.35">
      <c r="A81" s="288"/>
      <c r="B81" s="289">
        <f>IF(O81=1,SUM($O$41:O81),0)</f>
        <v>0</v>
      </c>
      <c r="C81" s="274">
        <v>35</v>
      </c>
      <c r="D81" s="290" t="s">
        <v>221</v>
      </c>
      <c r="E81" s="291">
        <v>16.5</v>
      </c>
      <c r="F81" s="284" t="s">
        <v>143</v>
      </c>
      <c r="G81" s="293"/>
      <c r="H81" s="294"/>
      <c r="I81" s="298">
        <f>SUMIFS($AU$14:$AU$38,$AS$14:$AS$38,E81,$U$14:$U$38,F81)/100</f>
        <v>0</v>
      </c>
      <c r="J81" s="288">
        <v>1</v>
      </c>
      <c r="K81" s="288"/>
      <c r="L81" s="295">
        <f>VLOOKUP(D81,'قائمة الأسعار'!D18:F107,3,0)</f>
        <v>1</v>
      </c>
      <c r="M81" s="296">
        <f>L81*J81*I81</f>
        <v>0</v>
      </c>
      <c r="N81" s="413"/>
      <c r="O81" s="288">
        <f t="shared" si="198"/>
        <v>0</v>
      </c>
      <c r="Q81" s="63"/>
      <c r="R81" s="739"/>
      <c r="S81" s="739"/>
      <c r="T81" s="739"/>
      <c r="U81" s="739"/>
      <c r="V81" s="739"/>
      <c r="W81" s="739"/>
      <c r="X81" s="739"/>
      <c r="Y81" s="739"/>
      <c r="Z81" s="739"/>
      <c r="AA81" s="739"/>
      <c r="AB81" s="739"/>
      <c r="AC81" s="61"/>
      <c r="AD81" s="61"/>
      <c r="AE81" s="61"/>
      <c r="AF81" s="61"/>
      <c r="AG81" s="65"/>
      <c r="AH81" s="61"/>
      <c r="AI81" s="95"/>
      <c r="AJ81" s="65"/>
      <c r="AK81" s="61"/>
      <c r="AL81" s="61"/>
      <c r="AM81" s="485"/>
      <c r="AN81" s="485"/>
      <c r="AO81" s="485"/>
      <c r="AP81" s="485"/>
      <c r="AQ81" s="485"/>
      <c r="AR81" s="485"/>
      <c r="AS81" s="485"/>
      <c r="AT81" s="485"/>
      <c r="AU81" s="485"/>
      <c r="AV81" s="485"/>
      <c r="AW81" s="485"/>
      <c r="AX81" s="485"/>
      <c r="AY81" s="485"/>
      <c r="AZ81" s="485"/>
      <c r="BA81" s="485"/>
      <c r="BB81" s="485"/>
      <c r="BC81" s="485"/>
      <c r="BD81" s="485"/>
      <c r="BE81" s="485"/>
      <c r="BF81" s="485"/>
      <c r="BG81" s="485"/>
      <c r="BH81" s="485"/>
      <c r="BI81" s="485"/>
      <c r="BJ81" s="485"/>
      <c r="BK81" s="485"/>
      <c r="BL81" s="485"/>
      <c r="BM81" s="485"/>
      <c r="BN81" s="485"/>
      <c r="BO81" s="485"/>
      <c r="BP81" s="485"/>
      <c r="BQ81" s="485"/>
      <c r="BR81" s="485"/>
      <c r="BS81" s="485"/>
      <c r="BT81" s="485"/>
      <c r="BU81" s="485"/>
      <c r="BV81" s="485"/>
      <c r="BW81" s="485"/>
      <c r="BX81" s="485"/>
      <c r="BY81" s="485"/>
      <c r="BZ81" s="485"/>
      <c r="CA81" s="485"/>
      <c r="CB81" s="485"/>
      <c r="CC81" s="485"/>
      <c r="CD81" s="485"/>
      <c r="CE81" s="485"/>
      <c r="CF81" s="485"/>
      <c r="CG81" s="485"/>
      <c r="CH81" s="485"/>
      <c r="CI81" s="485"/>
      <c r="CJ81" s="485"/>
      <c r="CK81" s="485"/>
      <c r="CL81" s="777"/>
      <c r="CM81" s="485"/>
      <c r="CN81" s="485"/>
      <c r="CO81" s="485"/>
      <c r="CP81" s="485"/>
      <c r="CQ81" s="485"/>
      <c r="CR81" s="485"/>
      <c r="CS81" s="485"/>
      <c r="CT81" s="485"/>
      <c r="CU81" s="485"/>
      <c r="CV81" s="485"/>
      <c r="CW81" s="485"/>
      <c r="CX81" s="485"/>
      <c r="CY81" s="485"/>
      <c r="CZ81" s="485"/>
      <c r="DA81" s="485"/>
      <c r="DB81" s="485"/>
      <c r="DC81" s="485"/>
      <c r="DD81" s="485"/>
      <c r="DE81" s="485"/>
      <c r="DF81" s="485"/>
      <c r="DG81" s="485"/>
      <c r="DH81" s="485"/>
      <c r="DI81" s="485"/>
      <c r="DJ81" s="485"/>
      <c r="DK81" s="485"/>
      <c r="DL81" s="485"/>
      <c r="DM81" s="485"/>
      <c r="DN81" s="485"/>
      <c r="DO81" s="485"/>
      <c r="DP81" s="485"/>
      <c r="DQ81" s="485"/>
      <c r="DR81" s="485"/>
      <c r="DS81" s="485"/>
      <c r="DT81" s="485"/>
      <c r="DU81" s="485"/>
      <c r="DV81" s="485"/>
      <c r="DW81" s="484"/>
      <c r="DX81" s="484"/>
      <c r="DY81" s="484"/>
      <c r="DZ81" s="484"/>
      <c r="EA81" s="484"/>
      <c r="EB81" s="484"/>
      <c r="EC81" s="484"/>
      <c r="ED81" s="484"/>
      <c r="EE81" s="484"/>
      <c r="EF81" s="484"/>
      <c r="EG81" s="484"/>
      <c r="EH81" s="484"/>
      <c r="EI81" s="484"/>
      <c r="EJ81" s="484"/>
      <c r="EK81" s="484"/>
      <c r="EL81" s="484"/>
      <c r="EM81" s="484"/>
      <c r="EN81" s="484"/>
      <c r="EO81" s="484"/>
      <c r="EP81" s="484"/>
      <c r="EQ81" s="484"/>
      <c r="ER81" s="484"/>
      <c r="ES81" s="484"/>
      <c r="ET81" s="484"/>
      <c r="EU81" s="484"/>
      <c r="EV81" s="484"/>
      <c r="EW81" s="484"/>
      <c r="EX81" s="484"/>
      <c r="EY81" s="484"/>
      <c r="EZ81" s="484"/>
      <c r="FA81" s="484"/>
      <c r="FB81" s="484"/>
      <c r="FC81" s="484"/>
      <c r="FD81" s="484"/>
      <c r="FE81" s="484"/>
      <c r="FF81" s="484"/>
      <c r="FG81" s="484"/>
      <c r="FH81" s="486"/>
      <c r="FI81" s="485"/>
      <c r="FJ81" s="485"/>
      <c r="FK81" s="485"/>
      <c r="FL81" s="485"/>
      <c r="FM81" s="485"/>
      <c r="FN81" s="485"/>
      <c r="FO81" s="485"/>
      <c r="FP81" s="485"/>
      <c r="FQ81" s="485"/>
      <c r="FR81" s="485"/>
      <c r="FS81" s="485"/>
      <c r="FT81" s="485"/>
      <c r="FU81" s="485"/>
      <c r="FV81" s="485"/>
      <c r="FW81" s="485"/>
      <c r="FX81" s="485"/>
      <c r="FY81" s="485"/>
      <c r="FZ81" s="485"/>
      <c r="GA81" s="485"/>
      <c r="GB81" s="485"/>
      <c r="GC81" s="485"/>
      <c r="GD81" s="485"/>
      <c r="GE81" s="485"/>
      <c r="GF81" s="485"/>
      <c r="GG81" s="485"/>
      <c r="GH81" s="485"/>
      <c r="GI81" s="485"/>
      <c r="GJ81" s="485"/>
      <c r="GK81" s="485"/>
      <c r="GL81" s="485"/>
      <c r="GM81" s="485"/>
      <c r="GN81" s="485"/>
      <c r="GO81" s="485"/>
      <c r="GP81" s="485"/>
      <c r="GQ81" s="485"/>
      <c r="GR81" s="485"/>
      <c r="GS81" s="485"/>
      <c r="GT81" s="485"/>
      <c r="GU81" s="485"/>
      <c r="GV81" s="485"/>
      <c r="GW81" s="485"/>
      <c r="GX81" s="485"/>
      <c r="GY81" s="485"/>
      <c r="GZ81" s="485"/>
      <c r="HA81" s="485"/>
      <c r="HB81" s="485"/>
      <c r="HC81" s="485"/>
      <c r="HD81" s="485"/>
      <c r="HE81" s="485"/>
      <c r="HF81" s="485"/>
      <c r="HG81" s="485"/>
      <c r="HH81" s="485"/>
      <c r="HI81" s="485"/>
      <c r="HJ81" s="485"/>
      <c r="HK81" s="485"/>
      <c r="HL81" s="485"/>
      <c r="HM81" s="485"/>
      <c r="HN81" s="485"/>
      <c r="HO81" s="485"/>
      <c r="HP81" s="485"/>
      <c r="HQ81" s="485"/>
      <c r="HR81" s="485"/>
      <c r="HS81" s="485"/>
      <c r="HT81" s="485"/>
      <c r="HU81" s="485"/>
      <c r="HV81" s="485"/>
      <c r="HW81" s="485"/>
      <c r="HX81" s="485"/>
      <c r="HY81" s="485"/>
      <c r="HZ81" s="485"/>
      <c r="IA81" s="485"/>
      <c r="IB81" s="485"/>
      <c r="IC81" s="485"/>
      <c r="ID81" s="485"/>
    </row>
    <row r="82" spans="1:238" s="40" customFormat="1" ht="18" x14ac:dyDescent="0.35">
      <c r="A82" s="288"/>
      <c r="B82" s="289">
        <f>IF(O82=1,SUM($O$41:O82),0)</f>
        <v>0</v>
      </c>
      <c r="C82" s="274">
        <v>36</v>
      </c>
      <c r="D82" s="290" t="s">
        <v>222</v>
      </c>
      <c r="E82" s="291">
        <v>16.5</v>
      </c>
      <c r="F82" s="284" t="s">
        <v>143</v>
      </c>
      <c r="G82" s="293"/>
      <c r="H82" s="294"/>
      <c r="I82" s="298" t="s">
        <v>20</v>
      </c>
      <c r="J82" s="288">
        <f>SUMIFS($HV$14:$HV$38,$AS$14:$AS$38,E82,$U$14:$U$38,F82)</f>
        <v>0</v>
      </c>
      <c r="K82" s="288"/>
      <c r="L82" s="295">
        <f>VLOOKUP(D82,'قائمة الأسعار'!D19:F108,3,0)</f>
        <v>1</v>
      </c>
      <c r="M82" s="296">
        <f>L82*J82</f>
        <v>0</v>
      </c>
      <c r="N82" s="413"/>
      <c r="O82" s="288">
        <f t="shared" si="198"/>
        <v>0</v>
      </c>
      <c r="Q82" s="63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188"/>
      <c r="AH82" s="95"/>
      <c r="AI82" s="95"/>
      <c r="AJ82" s="63"/>
      <c r="AM82" s="485"/>
      <c r="AN82" s="485"/>
      <c r="AO82" s="485"/>
      <c r="AP82" s="485"/>
      <c r="AQ82" s="485"/>
      <c r="AR82" s="485"/>
      <c r="AS82" s="485"/>
      <c r="AT82" s="485"/>
      <c r="AU82" s="485"/>
      <c r="AV82" s="485"/>
      <c r="AW82" s="485"/>
      <c r="AX82" s="485"/>
      <c r="AY82" s="485"/>
      <c r="AZ82" s="485"/>
      <c r="BA82" s="485"/>
      <c r="BB82" s="485"/>
      <c r="BC82" s="485"/>
      <c r="BD82" s="485"/>
      <c r="BE82" s="485"/>
      <c r="BF82" s="485"/>
      <c r="BG82" s="485"/>
      <c r="BH82" s="485"/>
      <c r="BI82" s="485"/>
      <c r="BJ82" s="485"/>
      <c r="BK82" s="485"/>
      <c r="BL82" s="485"/>
      <c r="BM82" s="485"/>
      <c r="BN82" s="485"/>
      <c r="BO82" s="485"/>
      <c r="BP82" s="485"/>
      <c r="BQ82" s="485"/>
      <c r="BR82" s="485"/>
      <c r="BS82" s="485"/>
      <c r="BT82" s="485"/>
      <c r="BU82" s="485"/>
      <c r="BV82" s="485"/>
      <c r="BW82" s="485"/>
      <c r="BX82" s="485"/>
      <c r="BY82" s="485"/>
      <c r="BZ82" s="485"/>
      <c r="CA82" s="485"/>
      <c r="CB82" s="485"/>
      <c r="CC82" s="485"/>
      <c r="CD82" s="485"/>
      <c r="CE82" s="485"/>
      <c r="CF82" s="485"/>
      <c r="CG82" s="485"/>
      <c r="CH82" s="485"/>
      <c r="CI82" s="485"/>
      <c r="CJ82" s="485"/>
      <c r="CK82" s="485"/>
      <c r="CL82" s="777"/>
      <c r="CM82" s="485"/>
      <c r="CN82" s="485"/>
      <c r="CO82" s="485"/>
      <c r="CP82" s="485"/>
      <c r="CQ82" s="485"/>
      <c r="CR82" s="485"/>
      <c r="CS82" s="485"/>
      <c r="CT82" s="485"/>
      <c r="CU82" s="485"/>
      <c r="CV82" s="485"/>
      <c r="CW82" s="485"/>
      <c r="CX82" s="485"/>
      <c r="CY82" s="485"/>
      <c r="CZ82" s="485"/>
      <c r="DA82" s="485"/>
      <c r="DB82" s="485"/>
      <c r="DC82" s="485"/>
      <c r="DD82" s="485"/>
      <c r="DE82" s="485"/>
      <c r="DF82" s="485"/>
      <c r="DG82" s="485"/>
      <c r="DH82" s="485"/>
      <c r="DI82" s="485"/>
      <c r="DJ82" s="485"/>
      <c r="DK82" s="485"/>
      <c r="DL82" s="485"/>
      <c r="DM82" s="485"/>
      <c r="DN82" s="485"/>
      <c r="DO82" s="485"/>
      <c r="DP82" s="485"/>
      <c r="DQ82" s="485"/>
      <c r="DR82" s="485"/>
      <c r="DS82" s="485"/>
      <c r="DT82" s="485"/>
      <c r="DU82" s="485"/>
      <c r="DV82" s="485"/>
      <c r="DW82" s="484"/>
      <c r="DX82" s="484"/>
      <c r="DY82" s="484"/>
      <c r="DZ82" s="484"/>
      <c r="EA82" s="484"/>
      <c r="EB82" s="484"/>
      <c r="EC82" s="484"/>
      <c r="ED82" s="484"/>
      <c r="EE82" s="484"/>
      <c r="EF82" s="484"/>
      <c r="EG82" s="484"/>
      <c r="EH82" s="484"/>
      <c r="EI82" s="484"/>
      <c r="EJ82" s="484"/>
      <c r="EK82" s="484"/>
      <c r="EL82" s="484"/>
      <c r="EM82" s="484"/>
      <c r="EN82" s="484"/>
      <c r="EO82" s="484"/>
      <c r="EP82" s="484"/>
      <c r="EQ82" s="484"/>
      <c r="ER82" s="484"/>
      <c r="ES82" s="484"/>
      <c r="ET82" s="484"/>
      <c r="EU82" s="484"/>
      <c r="EV82" s="484"/>
      <c r="EW82" s="484"/>
      <c r="EX82" s="484"/>
      <c r="EY82" s="484"/>
      <c r="EZ82" s="484"/>
      <c r="FA82" s="484"/>
      <c r="FB82" s="484"/>
      <c r="FC82" s="484"/>
      <c r="FD82" s="484"/>
      <c r="FE82" s="484"/>
      <c r="FF82" s="484"/>
      <c r="FG82" s="484"/>
      <c r="FH82" s="486"/>
      <c r="FI82" s="485"/>
      <c r="FJ82" s="485"/>
      <c r="FK82" s="485"/>
      <c r="FL82" s="485"/>
      <c r="FM82" s="485"/>
      <c r="FN82" s="485"/>
      <c r="FO82" s="485"/>
      <c r="FP82" s="485"/>
      <c r="FQ82" s="485"/>
      <c r="FR82" s="485"/>
      <c r="FS82" s="485"/>
      <c r="FT82" s="485"/>
      <c r="FU82" s="485"/>
      <c r="FV82" s="485"/>
      <c r="FW82" s="485"/>
      <c r="FX82" s="485"/>
      <c r="FY82" s="485"/>
      <c r="FZ82" s="485"/>
      <c r="GA82" s="485"/>
      <c r="GB82" s="485"/>
      <c r="GC82" s="485"/>
      <c r="GD82" s="485"/>
      <c r="GE82" s="485"/>
      <c r="GF82" s="485"/>
      <c r="GG82" s="485"/>
      <c r="GH82" s="485"/>
      <c r="GI82" s="485"/>
      <c r="GJ82" s="485"/>
      <c r="GK82" s="485"/>
      <c r="GL82" s="485"/>
      <c r="GM82" s="485"/>
      <c r="GN82" s="485"/>
      <c r="GO82" s="485"/>
      <c r="GP82" s="485"/>
      <c r="GQ82" s="485"/>
      <c r="GR82" s="485"/>
      <c r="GS82" s="485"/>
      <c r="GT82" s="485"/>
      <c r="GU82" s="485"/>
      <c r="GV82" s="485"/>
      <c r="GW82" s="485"/>
      <c r="GX82" s="485"/>
      <c r="GY82" s="485"/>
      <c r="GZ82" s="485"/>
      <c r="HA82" s="485"/>
      <c r="HB82" s="485"/>
      <c r="HC82" s="485"/>
      <c r="HD82" s="485"/>
      <c r="HE82" s="485"/>
      <c r="HF82" s="485"/>
      <c r="HG82" s="485"/>
      <c r="HH82" s="485"/>
      <c r="HI82" s="485"/>
      <c r="HJ82" s="485"/>
      <c r="HK82" s="485"/>
      <c r="HL82" s="485"/>
      <c r="HM82" s="485"/>
      <c r="HN82" s="485"/>
      <c r="HO82" s="485"/>
      <c r="HP82" s="485"/>
      <c r="HQ82" s="485"/>
      <c r="HR82" s="485"/>
      <c r="HS82" s="485"/>
      <c r="HT82" s="485"/>
      <c r="HU82" s="485"/>
      <c r="HV82" s="485"/>
      <c r="HW82" s="485"/>
      <c r="HX82" s="485"/>
      <c r="HY82" s="485"/>
      <c r="HZ82" s="485"/>
      <c r="IA82" s="485"/>
      <c r="IB82" s="485"/>
      <c r="IC82" s="485"/>
      <c r="ID82" s="485"/>
    </row>
    <row r="83" spans="1:238" s="40" customFormat="1" ht="18" x14ac:dyDescent="0.35">
      <c r="A83" s="288"/>
      <c r="B83" s="289">
        <f>IF(O83=1,SUM($O$41:O83),0)</f>
        <v>0</v>
      </c>
      <c r="C83" s="274">
        <v>37</v>
      </c>
      <c r="D83" s="290" t="s">
        <v>129</v>
      </c>
      <c r="E83" s="291">
        <v>18</v>
      </c>
      <c r="F83" s="292" t="s">
        <v>106</v>
      </c>
      <c r="G83" s="293"/>
      <c r="H83" s="294"/>
      <c r="I83" s="288">
        <f>SUMIFS($AU$14:$AU$38,$AS$14:$AS$38,E83,$U$14:$U$38,F83)/100</f>
        <v>0</v>
      </c>
      <c r="J83" s="295">
        <v>1</v>
      </c>
      <c r="K83" s="295"/>
      <c r="L83" s="295">
        <f>VLOOKUP(D83,'قائمة الأسعار'!D11:F102,3,0)</f>
        <v>1</v>
      </c>
      <c r="M83" s="296">
        <f>L83*J83*I83</f>
        <v>0</v>
      </c>
      <c r="N83" s="413"/>
      <c r="O83" s="288">
        <f t="shared" si="198"/>
        <v>0</v>
      </c>
      <c r="Q83" s="63"/>
      <c r="R83" s="739"/>
      <c r="S83" s="739"/>
      <c r="T83" s="739"/>
      <c r="U83" s="739"/>
      <c r="V83" s="739"/>
      <c r="W83" s="739"/>
      <c r="X83" s="739"/>
      <c r="Y83" s="739"/>
      <c r="Z83" s="739"/>
      <c r="AA83" s="739"/>
      <c r="AB83" s="739"/>
      <c r="AC83" s="61"/>
      <c r="AD83" s="61"/>
      <c r="AE83" s="61"/>
      <c r="AF83" s="61"/>
      <c r="AG83" s="65"/>
      <c r="AH83" s="61"/>
      <c r="AI83" s="95"/>
      <c r="AJ83" s="65"/>
      <c r="AK83" s="61"/>
      <c r="AL83" s="61"/>
      <c r="AM83" s="485"/>
      <c r="AN83" s="485"/>
      <c r="AO83" s="485"/>
      <c r="AP83" s="485"/>
      <c r="AQ83" s="485"/>
      <c r="AR83" s="485"/>
      <c r="AS83" s="485"/>
      <c r="AT83" s="485"/>
      <c r="AU83" s="485"/>
      <c r="AV83" s="485"/>
      <c r="AW83" s="485"/>
      <c r="AX83" s="485"/>
      <c r="AY83" s="485"/>
      <c r="AZ83" s="485"/>
      <c r="BA83" s="485"/>
      <c r="BB83" s="485"/>
      <c r="BC83" s="485"/>
      <c r="BD83" s="485"/>
      <c r="BE83" s="485"/>
      <c r="BF83" s="485"/>
      <c r="BG83" s="485"/>
      <c r="BH83" s="485"/>
      <c r="BI83" s="485"/>
      <c r="BJ83" s="485"/>
      <c r="BK83" s="485"/>
      <c r="BL83" s="485"/>
      <c r="BM83" s="485"/>
      <c r="BN83" s="485"/>
      <c r="BO83" s="485"/>
      <c r="BP83" s="485"/>
      <c r="BQ83" s="485"/>
      <c r="BR83" s="485"/>
      <c r="BS83" s="485"/>
      <c r="BT83" s="485"/>
      <c r="BU83" s="485"/>
      <c r="BV83" s="485"/>
      <c r="BW83" s="485"/>
      <c r="BX83" s="485"/>
      <c r="BY83" s="485"/>
      <c r="BZ83" s="485"/>
      <c r="CA83" s="485"/>
      <c r="CB83" s="485"/>
      <c r="CC83" s="485"/>
      <c r="CD83" s="485"/>
      <c r="CE83" s="485"/>
      <c r="CF83" s="485"/>
      <c r="CG83" s="485"/>
      <c r="CH83" s="485"/>
      <c r="CI83" s="485"/>
      <c r="CJ83" s="485"/>
      <c r="CK83" s="485"/>
      <c r="CL83" s="777"/>
      <c r="CM83" s="485"/>
      <c r="CN83" s="485"/>
      <c r="CO83" s="485"/>
      <c r="CP83" s="485"/>
      <c r="CQ83" s="485"/>
      <c r="CR83" s="485"/>
      <c r="CS83" s="485"/>
      <c r="CT83" s="485"/>
      <c r="CU83" s="485"/>
      <c r="CV83" s="485"/>
      <c r="CW83" s="485"/>
      <c r="CX83" s="485"/>
      <c r="CY83" s="485"/>
      <c r="CZ83" s="485"/>
      <c r="DA83" s="485"/>
      <c r="DB83" s="485"/>
      <c r="DC83" s="485"/>
      <c r="DD83" s="485"/>
      <c r="DE83" s="485"/>
      <c r="DF83" s="485"/>
      <c r="DG83" s="485"/>
      <c r="DH83" s="485"/>
      <c r="DI83" s="485"/>
      <c r="DJ83" s="485"/>
      <c r="DK83" s="485"/>
      <c r="DL83" s="485"/>
      <c r="DM83" s="485"/>
      <c r="DN83" s="485"/>
      <c r="DO83" s="485"/>
      <c r="DP83" s="485"/>
      <c r="DQ83" s="485"/>
      <c r="DR83" s="485"/>
      <c r="DS83" s="485"/>
      <c r="DT83" s="485"/>
      <c r="DU83" s="485"/>
      <c r="DV83" s="485"/>
      <c r="DW83" s="484"/>
      <c r="DX83" s="484"/>
      <c r="DY83" s="484"/>
      <c r="DZ83" s="484"/>
      <c r="EA83" s="484"/>
      <c r="EB83" s="484"/>
      <c r="EC83" s="484"/>
      <c r="ED83" s="484"/>
      <c r="EE83" s="484"/>
      <c r="EF83" s="484"/>
      <c r="EG83" s="484"/>
      <c r="EH83" s="484"/>
      <c r="EI83" s="484"/>
      <c r="EJ83" s="484"/>
      <c r="EK83" s="484"/>
      <c r="EL83" s="484"/>
      <c r="EM83" s="484"/>
      <c r="EN83" s="484"/>
      <c r="EO83" s="484"/>
      <c r="EP83" s="484"/>
      <c r="EQ83" s="484"/>
      <c r="ER83" s="484"/>
      <c r="ES83" s="484"/>
      <c r="ET83" s="484"/>
      <c r="EU83" s="484"/>
      <c r="EV83" s="484"/>
      <c r="EW83" s="484"/>
      <c r="EX83" s="484"/>
      <c r="EY83" s="484"/>
      <c r="EZ83" s="484"/>
      <c r="FA83" s="484"/>
      <c r="FB83" s="484"/>
      <c r="FC83" s="484"/>
      <c r="FD83" s="484"/>
      <c r="FE83" s="484"/>
      <c r="FF83" s="484"/>
      <c r="FG83" s="484"/>
      <c r="FH83" s="486"/>
      <c r="FI83" s="485"/>
      <c r="FJ83" s="485"/>
      <c r="FK83" s="485"/>
      <c r="FL83" s="485"/>
      <c r="FM83" s="485"/>
      <c r="FN83" s="485"/>
      <c r="FO83" s="485"/>
      <c r="FP83" s="485"/>
      <c r="FQ83" s="485"/>
      <c r="FR83" s="485"/>
      <c r="FS83" s="485"/>
      <c r="FT83" s="485"/>
      <c r="FU83" s="485"/>
      <c r="FV83" s="485"/>
      <c r="FW83" s="485"/>
      <c r="FX83" s="485"/>
      <c r="FY83" s="485"/>
      <c r="FZ83" s="485"/>
      <c r="GA83" s="485"/>
      <c r="GB83" s="485"/>
      <c r="GC83" s="485"/>
      <c r="GD83" s="485"/>
      <c r="GE83" s="485"/>
      <c r="GF83" s="485"/>
      <c r="GG83" s="485"/>
      <c r="GH83" s="485"/>
      <c r="GI83" s="485"/>
      <c r="GJ83" s="485"/>
      <c r="GK83" s="485"/>
      <c r="GL83" s="485"/>
      <c r="GM83" s="485"/>
      <c r="GN83" s="485"/>
      <c r="GO83" s="485"/>
      <c r="GP83" s="485"/>
      <c r="GQ83" s="485"/>
      <c r="GR83" s="485"/>
      <c r="GS83" s="485"/>
      <c r="GT83" s="485"/>
      <c r="GU83" s="485"/>
      <c r="GV83" s="485"/>
      <c r="GW83" s="485"/>
      <c r="GX83" s="485"/>
      <c r="GY83" s="485"/>
      <c r="GZ83" s="485"/>
      <c r="HA83" s="485"/>
      <c r="HB83" s="485"/>
      <c r="HC83" s="485"/>
      <c r="HD83" s="485"/>
      <c r="HE83" s="485"/>
      <c r="HF83" s="485"/>
      <c r="HG83" s="485"/>
      <c r="HH83" s="485"/>
      <c r="HI83" s="485"/>
      <c r="HJ83" s="485"/>
      <c r="HK83" s="485"/>
      <c r="HL83" s="485"/>
      <c r="HM83" s="485"/>
      <c r="HN83" s="485"/>
      <c r="HO83" s="485"/>
      <c r="HP83" s="485"/>
      <c r="HQ83" s="485"/>
      <c r="HR83" s="485"/>
      <c r="HS83" s="485"/>
      <c r="HT83" s="485"/>
      <c r="HU83" s="485"/>
      <c r="HV83" s="485"/>
      <c r="HW83" s="485"/>
      <c r="HX83" s="485"/>
      <c r="HY83" s="485"/>
      <c r="HZ83" s="485"/>
      <c r="IA83" s="485"/>
      <c r="IB83" s="485"/>
      <c r="IC83" s="485"/>
      <c r="ID83" s="485"/>
    </row>
    <row r="84" spans="1:238" s="40" customFormat="1" ht="18" x14ac:dyDescent="0.35">
      <c r="A84" s="288"/>
      <c r="B84" s="289">
        <f>IF(O84=1,SUM($O$41:O84),0)</f>
        <v>0</v>
      </c>
      <c r="C84" s="274">
        <v>38</v>
      </c>
      <c r="D84" s="290" t="s">
        <v>130</v>
      </c>
      <c r="E84" s="291">
        <v>18</v>
      </c>
      <c r="F84" s="292" t="s">
        <v>106</v>
      </c>
      <c r="G84" s="293"/>
      <c r="H84" s="294"/>
      <c r="I84" s="298" t="s">
        <v>20</v>
      </c>
      <c r="J84" s="288">
        <f>SUMIFS($HV$14:$HV$38,$AS$14:$AS$38,E84,$U$14:$U$38,F84)</f>
        <v>0</v>
      </c>
      <c r="K84" s="288"/>
      <c r="L84" s="295">
        <f>VLOOKUP(D84,'قائمة الأسعار'!D11:F102,3,0)</f>
        <v>1</v>
      </c>
      <c r="M84" s="296">
        <f>L84*J84</f>
        <v>0</v>
      </c>
      <c r="N84" s="413"/>
      <c r="O84" s="288">
        <f t="shared" si="198"/>
        <v>0</v>
      </c>
      <c r="Q84" s="63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188"/>
      <c r="AH84" s="95"/>
      <c r="AI84" s="95"/>
      <c r="AJ84" s="63"/>
      <c r="AM84" s="485"/>
      <c r="AN84" s="485"/>
      <c r="AO84" s="485"/>
      <c r="AP84" s="485"/>
      <c r="AQ84" s="485"/>
      <c r="AR84" s="485"/>
      <c r="AS84" s="485"/>
      <c r="AT84" s="485"/>
      <c r="AU84" s="485"/>
      <c r="AV84" s="485"/>
      <c r="AW84" s="485"/>
      <c r="AX84" s="485"/>
      <c r="AY84" s="485"/>
      <c r="AZ84" s="485"/>
      <c r="BA84" s="485"/>
      <c r="BB84" s="485"/>
      <c r="BC84" s="485"/>
      <c r="BD84" s="485"/>
      <c r="BE84" s="485"/>
      <c r="BF84" s="485"/>
      <c r="BG84" s="485"/>
      <c r="BH84" s="485"/>
      <c r="BI84" s="485"/>
      <c r="BJ84" s="485"/>
      <c r="BK84" s="485"/>
      <c r="BL84" s="485"/>
      <c r="BM84" s="485"/>
      <c r="BN84" s="485"/>
      <c r="BO84" s="485"/>
      <c r="BP84" s="485"/>
      <c r="BQ84" s="485"/>
      <c r="BR84" s="485"/>
      <c r="BS84" s="485"/>
      <c r="BT84" s="485"/>
      <c r="BU84" s="485"/>
      <c r="BV84" s="485"/>
      <c r="BW84" s="485"/>
      <c r="BX84" s="485"/>
      <c r="BY84" s="485"/>
      <c r="BZ84" s="485"/>
      <c r="CA84" s="485"/>
      <c r="CB84" s="485"/>
      <c r="CC84" s="485"/>
      <c r="CD84" s="485"/>
      <c r="CE84" s="485"/>
      <c r="CF84" s="485"/>
      <c r="CG84" s="485"/>
      <c r="CH84" s="485"/>
      <c r="CI84" s="485"/>
      <c r="CJ84" s="485"/>
      <c r="CK84" s="485"/>
      <c r="CL84" s="777"/>
      <c r="CM84" s="485"/>
      <c r="CN84" s="485"/>
      <c r="CO84" s="485"/>
      <c r="CP84" s="485"/>
      <c r="CQ84" s="485"/>
      <c r="CR84" s="485"/>
      <c r="CS84" s="485"/>
      <c r="CT84" s="485"/>
      <c r="CU84" s="485"/>
      <c r="CV84" s="485"/>
      <c r="CW84" s="485"/>
      <c r="CX84" s="485"/>
      <c r="CY84" s="485"/>
      <c r="CZ84" s="485"/>
      <c r="DA84" s="485"/>
      <c r="DB84" s="485"/>
      <c r="DC84" s="485"/>
      <c r="DD84" s="485"/>
      <c r="DE84" s="485"/>
      <c r="DF84" s="485"/>
      <c r="DG84" s="485"/>
      <c r="DH84" s="485"/>
      <c r="DI84" s="485"/>
      <c r="DJ84" s="485"/>
      <c r="DK84" s="485"/>
      <c r="DL84" s="485"/>
      <c r="DM84" s="485"/>
      <c r="DN84" s="485"/>
      <c r="DO84" s="485"/>
      <c r="DP84" s="485"/>
      <c r="DQ84" s="485"/>
      <c r="DR84" s="485"/>
      <c r="DS84" s="485"/>
      <c r="DT84" s="485"/>
      <c r="DU84" s="485"/>
      <c r="DV84" s="485"/>
      <c r="DW84" s="484"/>
      <c r="DX84" s="484"/>
      <c r="DY84" s="484"/>
      <c r="DZ84" s="484"/>
      <c r="EA84" s="484"/>
      <c r="EB84" s="484"/>
      <c r="EC84" s="484"/>
      <c r="ED84" s="484"/>
      <c r="EE84" s="484"/>
      <c r="EF84" s="484"/>
      <c r="EG84" s="484"/>
      <c r="EH84" s="484"/>
      <c r="EI84" s="484"/>
      <c r="EJ84" s="484"/>
      <c r="EK84" s="484"/>
      <c r="EL84" s="484"/>
      <c r="EM84" s="484"/>
      <c r="EN84" s="484"/>
      <c r="EO84" s="484"/>
      <c r="EP84" s="484"/>
      <c r="EQ84" s="484"/>
      <c r="ER84" s="484"/>
      <c r="ES84" s="484"/>
      <c r="ET84" s="484"/>
      <c r="EU84" s="484"/>
      <c r="EV84" s="484"/>
      <c r="EW84" s="484"/>
      <c r="EX84" s="484"/>
      <c r="EY84" s="484"/>
      <c r="EZ84" s="484"/>
      <c r="FA84" s="484"/>
      <c r="FB84" s="484"/>
      <c r="FC84" s="484"/>
      <c r="FD84" s="484"/>
      <c r="FE84" s="484"/>
      <c r="FF84" s="484"/>
      <c r="FG84" s="484"/>
      <c r="FH84" s="486"/>
      <c r="FI84" s="485"/>
      <c r="FJ84" s="485"/>
      <c r="FK84" s="485"/>
      <c r="FL84" s="485"/>
      <c r="FM84" s="485"/>
      <c r="FN84" s="485"/>
      <c r="FO84" s="485"/>
      <c r="FP84" s="485"/>
      <c r="FQ84" s="485"/>
      <c r="FR84" s="485"/>
      <c r="FS84" s="485"/>
      <c r="FT84" s="485"/>
      <c r="FU84" s="485"/>
      <c r="FV84" s="485"/>
      <c r="FW84" s="485"/>
      <c r="FX84" s="485"/>
      <c r="FY84" s="485"/>
      <c r="FZ84" s="485"/>
      <c r="GA84" s="485"/>
      <c r="GB84" s="485"/>
      <c r="GC84" s="485"/>
      <c r="GD84" s="485"/>
      <c r="GE84" s="485"/>
      <c r="GF84" s="485"/>
      <c r="GG84" s="485"/>
      <c r="GH84" s="485"/>
      <c r="GI84" s="485"/>
      <c r="GJ84" s="485"/>
      <c r="GK84" s="485"/>
      <c r="GL84" s="485"/>
      <c r="GM84" s="485"/>
      <c r="GN84" s="485"/>
      <c r="GO84" s="485"/>
      <c r="GP84" s="485"/>
      <c r="GQ84" s="485"/>
      <c r="GR84" s="485"/>
      <c r="GS84" s="485"/>
      <c r="GT84" s="485"/>
      <c r="GU84" s="485"/>
      <c r="GV84" s="485"/>
      <c r="GW84" s="485"/>
      <c r="GX84" s="485"/>
      <c r="GY84" s="485"/>
      <c r="GZ84" s="485"/>
      <c r="HA84" s="485"/>
      <c r="HB84" s="485"/>
      <c r="HC84" s="485"/>
      <c r="HD84" s="485"/>
      <c r="HE84" s="485"/>
      <c r="HF84" s="485"/>
      <c r="HG84" s="485"/>
      <c r="HH84" s="485"/>
      <c r="HI84" s="485"/>
      <c r="HJ84" s="485"/>
      <c r="HK84" s="485"/>
      <c r="HL84" s="485"/>
      <c r="HM84" s="485"/>
      <c r="HN84" s="485"/>
      <c r="HO84" s="485"/>
      <c r="HP84" s="485"/>
      <c r="HQ84" s="485"/>
      <c r="HR84" s="485"/>
      <c r="HS84" s="485"/>
      <c r="HT84" s="485"/>
      <c r="HU84" s="485"/>
      <c r="HV84" s="485"/>
      <c r="HW84" s="485"/>
      <c r="HX84" s="485"/>
      <c r="HY84" s="485"/>
      <c r="HZ84" s="485"/>
      <c r="IA84" s="485"/>
      <c r="IB84" s="485"/>
      <c r="IC84" s="485"/>
      <c r="ID84" s="485"/>
    </row>
    <row r="85" spans="1:238" s="40" customFormat="1" ht="18" x14ac:dyDescent="0.35">
      <c r="A85" s="288"/>
      <c r="B85" s="289">
        <f>IF(O85=1,SUM($O$41:O85),0)</f>
        <v>0</v>
      </c>
      <c r="C85" s="274">
        <v>39</v>
      </c>
      <c r="D85" s="290" t="s">
        <v>129</v>
      </c>
      <c r="E85" s="291">
        <v>18</v>
      </c>
      <c r="F85" s="292" t="s">
        <v>105</v>
      </c>
      <c r="G85" s="293"/>
      <c r="H85" s="294"/>
      <c r="I85" s="288">
        <f>SUMIFS($AU$14:$AU$38,$AS$14:$AS$38,E85,$U$14:$U$38,F85)/100</f>
        <v>0</v>
      </c>
      <c r="J85" s="295">
        <v>1</v>
      </c>
      <c r="K85" s="295"/>
      <c r="L85" s="295">
        <f>VLOOKUP(D85,'قائمة الأسعار'!D13:F88,3,0)</f>
        <v>1</v>
      </c>
      <c r="M85" s="296">
        <f>L85*J85*I85</f>
        <v>0</v>
      </c>
      <c r="N85" s="413"/>
      <c r="O85" s="288">
        <f t="shared" si="198"/>
        <v>0</v>
      </c>
      <c r="Q85" s="63"/>
      <c r="R85" s="739"/>
      <c r="S85" s="739"/>
      <c r="T85" s="739"/>
      <c r="U85" s="739"/>
      <c r="V85" s="739"/>
      <c r="W85" s="739"/>
      <c r="X85" s="739"/>
      <c r="Y85" s="739"/>
      <c r="Z85" s="739"/>
      <c r="AA85" s="739"/>
      <c r="AB85" s="739"/>
      <c r="AC85" s="61"/>
      <c r="AD85" s="61"/>
      <c r="AE85" s="61"/>
      <c r="AF85" s="61"/>
      <c r="AG85" s="65"/>
      <c r="AH85" s="61"/>
      <c r="AI85" s="95"/>
      <c r="AJ85" s="65"/>
      <c r="AK85" s="61"/>
      <c r="AL85" s="61"/>
      <c r="AM85" s="485"/>
      <c r="AN85" s="485"/>
      <c r="AO85" s="485"/>
      <c r="AP85" s="485"/>
      <c r="AQ85" s="485"/>
      <c r="AR85" s="485"/>
      <c r="AS85" s="485"/>
      <c r="AT85" s="485"/>
      <c r="AU85" s="485"/>
      <c r="AV85" s="485"/>
      <c r="AW85" s="485"/>
      <c r="AX85" s="485"/>
      <c r="AY85" s="485"/>
      <c r="AZ85" s="485"/>
      <c r="BA85" s="485"/>
      <c r="BB85" s="485"/>
      <c r="BC85" s="485"/>
      <c r="BD85" s="485"/>
      <c r="BE85" s="485"/>
      <c r="BF85" s="485"/>
      <c r="BG85" s="485"/>
      <c r="BH85" s="485"/>
      <c r="BI85" s="485"/>
      <c r="BJ85" s="485"/>
      <c r="BK85" s="485"/>
      <c r="BL85" s="485"/>
      <c r="BM85" s="485"/>
      <c r="BN85" s="485"/>
      <c r="BO85" s="485"/>
      <c r="BP85" s="485"/>
      <c r="BQ85" s="485"/>
      <c r="BR85" s="485"/>
      <c r="BS85" s="485"/>
      <c r="BT85" s="485"/>
      <c r="BU85" s="485"/>
      <c r="BV85" s="485"/>
      <c r="BW85" s="485"/>
      <c r="BX85" s="485"/>
      <c r="BY85" s="485"/>
      <c r="BZ85" s="485"/>
      <c r="CA85" s="485"/>
      <c r="CB85" s="485"/>
      <c r="CC85" s="485"/>
      <c r="CD85" s="485"/>
      <c r="CE85" s="485"/>
      <c r="CF85" s="485"/>
      <c r="CG85" s="485"/>
      <c r="CH85" s="485"/>
      <c r="CI85" s="485"/>
      <c r="CJ85" s="485"/>
      <c r="CK85" s="485"/>
      <c r="CL85" s="777"/>
      <c r="CM85" s="485"/>
      <c r="CN85" s="485"/>
      <c r="CO85" s="485"/>
      <c r="CP85" s="485"/>
      <c r="CQ85" s="485"/>
      <c r="CR85" s="485"/>
      <c r="CS85" s="485"/>
      <c r="CT85" s="485"/>
      <c r="CU85" s="485"/>
      <c r="CV85" s="485"/>
      <c r="CW85" s="485"/>
      <c r="CX85" s="485"/>
      <c r="CY85" s="485"/>
      <c r="CZ85" s="485"/>
      <c r="DA85" s="485"/>
      <c r="DB85" s="485"/>
      <c r="DC85" s="485"/>
      <c r="DD85" s="485"/>
      <c r="DE85" s="485"/>
      <c r="DF85" s="485"/>
      <c r="DG85" s="485"/>
      <c r="DH85" s="485"/>
      <c r="DI85" s="485"/>
      <c r="DJ85" s="485"/>
      <c r="DK85" s="485"/>
      <c r="DL85" s="485"/>
      <c r="DM85" s="485"/>
      <c r="DN85" s="485"/>
      <c r="DO85" s="485"/>
      <c r="DP85" s="485"/>
      <c r="DQ85" s="485"/>
      <c r="DR85" s="485"/>
      <c r="DS85" s="485"/>
      <c r="DT85" s="485"/>
      <c r="DU85" s="485"/>
      <c r="DV85" s="485"/>
      <c r="DW85" s="484"/>
      <c r="DX85" s="484"/>
      <c r="DY85" s="484"/>
      <c r="DZ85" s="484"/>
      <c r="EA85" s="484"/>
      <c r="EB85" s="484"/>
      <c r="EC85" s="484"/>
      <c r="ED85" s="484"/>
      <c r="EE85" s="484"/>
      <c r="EF85" s="484"/>
      <c r="EG85" s="484"/>
      <c r="EH85" s="484"/>
      <c r="EI85" s="484"/>
      <c r="EJ85" s="484"/>
      <c r="EK85" s="484"/>
      <c r="EL85" s="484"/>
      <c r="EM85" s="484"/>
      <c r="EN85" s="484"/>
      <c r="EO85" s="484"/>
      <c r="EP85" s="484"/>
      <c r="EQ85" s="484"/>
      <c r="ER85" s="484"/>
      <c r="ES85" s="484"/>
      <c r="ET85" s="484"/>
      <c r="EU85" s="484"/>
      <c r="EV85" s="484"/>
      <c r="EW85" s="484"/>
      <c r="EX85" s="484"/>
      <c r="EY85" s="484"/>
      <c r="EZ85" s="484"/>
      <c r="FA85" s="484"/>
      <c r="FB85" s="484"/>
      <c r="FC85" s="484"/>
      <c r="FD85" s="484"/>
      <c r="FE85" s="484"/>
      <c r="FF85" s="484"/>
      <c r="FG85" s="484"/>
      <c r="FH85" s="486"/>
      <c r="FI85" s="485"/>
      <c r="FJ85" s="485"/>
      <c r="FK85" s="485"/>
      <c r="FL85" s="485"/>
      <c r="FM85" s="485"/>
      <c r="FN85" s="485"/>
      <c r="FO85" s="485"/>
      <c r="FP85" s="485"/>
      <c r="FQ85" s="485"/>
      <c r="FR85" s="485"/>
      <c r="FS85" s="485"/>
      <c r="FT85" s="485"/>
      <c r="FU85" s="485"/>
      <c r="FV85" s="485"/>
      <c r="FW85" s="485"/>
      <c r="FX85" s="485"/>
      <c r="FY85" s="485"/>
      <c r="FZ85" s="485"/>
      <c r="GA85" s="485"/>
      <c r="GB85" s="485"/>
      <c r="GC85" s="485"/>
      <c r="GD85" s="485"/>
      <c r="GE85" s="485"/>
      <c r="GF85" s="485"/>
      <c r="GG85" s="485"/>
      <c r="GH85" s="485"/>
      <c r="GI85" s="485"/>
      <c r="GJ85" s="485"/>
      <c r="GK85" s="485"/>
      <c r="GL85" s="485"/>
      <c r="GM85" s="485"/>
      <c r="GN85" s="485"/>
      <c r="GO85" s="485"/>
      <c r="GP85" s="485"/>
      <c r="GQ85" s="485"/>
      <c r="GR85" s="485"/>
      <c r="GS85" s="485"/>
      <c r="GT85" s="485"/>
      <c r="GU85" s="485"/>
      <c r="GV85" s="485"/>
      <c r="GW85" s="485"/>
      <c r="GX85" s="485"/>
      <c r="GY85" s="485"/>
      <c r="GZ85" s="485"/>
      <c r="HA85" s="485"/>
      <c r="HB85" s="485"/>
      <c r="HC85" s="485"/>
      <c r="HD85" s="485"/>
      <c r="HE85" s="485"/>
      <c r="HF85" s="485"/>
      <c r="HG85" s="485"/>
      <c r="HH85" s="485"/>
      <c r="HI85" s="485"/>
      <c r="HJ85" s="485"/>
      <c r="HK85" s="485"/>
      <c r="HL85" s="485"/>
      <c r="HM85" s="485"/>
      <c r="HN85" s="485"/>
      <c r="HO85" s="485"/>
      <c r="HP85" s="485"/>
      <c r="HQ85" s="485"/>
      <c r="HR85" s="485"/>
      <c r="HS85" s="485"/>
      <c r="HT85" s="485"/>
      <c r="HU85" s="485"/>
      <c r="HV85" s="485"/>
      <c r="HW85" s="485"/>
      <c r="HX85" s="485"/>
      <c r="HY85" s="485"/>
      <c r="HZ85" s="485"/>
      <c r="IA85" s="485"/>
      <c r="IB85" s="485"/>
      <c r="IC85" s="485"/>
      <c r="ID85" s="485"/>
    </row>
    <row r="86" spans="1:238" s="40" customFormat="1" ht="18" x14ac:dyDescent="0.35">
      <c r="A86" s="288"/>
      <c r="B86" s="289">
        <f>IF(O86=1,SUM($O$41:O86),0)</f>
        <v>0</v>
      </c>
      <c r="C86" s="274">
        <v>40</v>
      </c>
      <c r="D86" s="290" t="s">
        <v>130</v>
      </c>
      <c r="E86" s="291">
        <v>18</v>
      </c>
      <c r="F86" s="292" t="s">
        <v>105</v>
      </c>
      <c r="G86" s="293"/>
      <c r="H86" s="294"/>
      <c r="I86" s="298" t="s">
        <v>20</v>
      </c>
      <c r="J86" s="288">
        <f>SUMIFS($HV$14:$HV$38,$AS$14:$AS$38,E86,$U$14:$U$38,F86)</f>
        <v>0</v>
      </c>
      <c r="K86" s="288"/>
      <c r="L86" s="295">
        <f>VLOOKUP(D86,'قائمة الأسعار'!D13:F88,3,0)</f>
        <v>1</v>
      </c>
      <c r="M86" s="296">
        <f>L86*J86</f>
        <v>0</v>
      </c>
      <c r="N86" s="413"/>
      <c r="O86" s="288">
        <f t="shared" si="198"/>
        <v>0</v>
      </c>
      <c r="Q86" s="63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188"/>
      <c r="AH86" s="95"/>
      <c r="AI86" s="95"/>
      <c r="AJ86" s="63"/>
      <c r="AM86" s="485"/>
      <c r="AN86" s="485"/>
      <c r="AO86" s="485"/>
      <c r="AP86" s="485"/>
      <c r="AQ86" s="485"/>
      <c r="AR86" s="485"/>
      <c r="AS86" s="485"/>
      <c r="AT86" s="485"/>
      <c r="AU86" s="485"/>
      <c r="AV86" s="485"/>
      <c r="AW86" s="485"/>
      <c r="AX86" s="485"/>
      <c r="AY86" s="485"/>
      <c r="AZ86" s="485"/>
      <c r="BA86" s="485"/>
      <c r="BB86" s="485"/>
      <c r="BC86" s="485"/>
      <c r="BD86" s="485"/>
      <c r="BE86" s="485"/>
      <c r="BF86" s="485"/>
      <c r="BG86" s="485"/>
      <c r="BH86" s="485"/>
      <c r="BI86" s="485"/>
      <c r="BJ86" s="485"/>
      <c r="BK86" s="485"/>
      <c r="BL86" s="485"/>
      <c r="BM86" s="485"/>
      <c r="BN86" s="485"/>
      <c r="BO86" s="485"/>
      <c r="BP86" s="485"/>
      <c r="BQ86" s="485"/>
      <c r="BR86" s="485"/>
      <c r="BS86" s="485"/>
      <c r="BT86" s="485"/>
      <c r="BU86" s="485"/>
      <c r="BV86" s="485"/>
      <c r="BW86" s="485"/>
      <c r="BX86" s="485"/>
      <c r="BY86" s="485"/>
      <c r="BZ86" s="485"/>
      <c r="CA86" s="485"/>
      <c r="CB86" s="485"/>
      <c r="CC86" s="485"/>
      <c r="CD86" s="485"/>
      <c r="CE86" s="485"/>
      <c r="CF86" s="485"/>
      <c r="CG86" s="485"/>
      <c r="CH86" s="485"/>
      <c r="CI86" s="485"/>
      <c r="CJ86" s="485"/>
      <c r="CK86" s="485"/>
      <c r="CL86" s="777"/>
      <c r="CM86" s="485"/>
      <c r="CN86" s="485"/>
      <c r="CO86" s="485"/>
      <c r="CP86" s="485"/>
      <c r="CQ86" s="485"/>
      <c r="CR86" s="485"/>
      <c r="CS86" s="485"/>
      <c r="CT86" s="485"/>
      <c r="CU86" s="485"/>
      <c r="CV86" s="485"/>
      <c r="CW86" s="485"/>
      <c r="CX86" s="485"/>
      <c r="CY86" s="485"/>
      <c r="CZ86" s="485"/>
      <c r="DA86" s="485"/>
      <c r="DB86" s="485"/>
      <c r="DC86" s="485"/>
      <c r="DD86" s="485"/>
      <c r="DE86" s="485"/>
      <c r="DF86" s="485"/>
      <c r="DG86" s="485"/>
      <c r="DH86" s="485"/>
      <c r="DI86" s="485"/>
      <c r="DJ86" s="485"/>
      <c r="DK86" s="485"/>
      <c r="DL86" s="485"/>
      <c r="DM86" s="485"/>
      <c r="DN86" s="485"/>
      <c r="DO86" s="485"/>
      <c r="DP86" s="485"/>
      <c r="DQ86" s="485"/>
      <c r="DR86" s="485"/>
      <c r="DS86" s="485"/>
      <c r="DT86" s="485"/>
      <c r="DU86" s="485"/>
      <c r="DV86" s="485"/>
      <c r="DW86" s="484"/>
      <c r="DX86" s="484"/>
      <c r="DY86" s="484"/>
      <c r="DZ86" s="484"/>
      <c r="EA86" s="484"/>
      <c r="EB86" s="484"/>
      <c r="EC86" s="484"/>
      <c r="ED86" s="484"/>
      <c r="EE86" s="484"/>
      <c r="EF86" s="484"/>
      <c r="EG86" s="484"/>
      <c r="EH86" s="484"/>
      <c r="EI86" s="484"/>
      <c r="EJ86" s="484"/>
      <c r="EK86" s="484"/>
      <c r="EL86" s="484"/>
      <c r="EM86" s="484"/>
      <c r="EN86" s="484"/>
      <c r="EO86" s="484"/>
      <c r="EP86" s="484"/>
      <c r="EQ86" s="484"/>
      <c r="ER86" s="484"/>
      <c r="ES86" s="484"/>
      <c r="ET86" s="484"/>
      <c r="EU86" s="484"/>
      <c r="EV86" s="484"/>
      <c r="EW86" s="484"/>
      <c r="EX86" s="484"/>
      <c r="EY86" s="484"/>
      <c r="EZ86" s="484"/>
      <c r="FA86" s="484"/>
      <c r="FB86" s="484"/>
      <c r="FC86" s="484"/>
      <c r="FD86" s="484"/>
      <c r="FE86" s="484"/>
      <c r="FF86" s="484"/>
      <c r="FG86" s="484"/>
      <c r="FH86" s="486"/>
      <c r="FI86" s="485"/>
      <c r="FJ86" s="485"/>
      <c r="FK86" s="485"/>
      <c r="FL86" s="485"/>
      <c r="FM86" s="485"/>
      <c r="FN86" s="485"/>
      <c r="FO86" s="485"/>
      <c r="FP86" s="485"/>
      <c r="FQ86" s="485"/>
      <c r="FR86" s="485"/>
      <c r="FS86" s="485"/>
      <c r="FT86" s="485"/>
      <c r="FU86" s="485"/>
      <c r="FV86" s="485"/>
      <c r="FW86" s="485"/>
      <c r="FX86" s="485"/>
      <c r="FY86" s="485"/>
      <c r="FZ86" s="485"/>
      <c r="GA86" s="485"/>
      <c r="GB86" s="485"/>
      <c r="GC86" s="485"/>
      <c r="GD86" s="485"/>
      <c r="GE86" s="485"/>
      <c r="GF86" s="485"/>
      <c r="GG86" s="485"/>
      <c r="GH86" s="485"/>
      <c r="GI86" s="485"/>
      <c r="GJ86" s="485"/>
      <c r="GK86" s="485"/>
      <c r="GL86" s="485"/>
      <c r="GM86" s="485"/>
      <c r="GN86" s="485"/>
      <c r="GO86" s="485"/>
      <c r="GP86" s="485"/>
      <c r="GQ86" s="485"/>
      <c r="GR86" s="485"/>
      <c r="GS86" s="485"/>
      <c r="GT86" s="485"/>
      <c r="GU86" s="485"/>
      <c r="GV86" s="485"/>
      <c r="GW86" s="485"/>
      <c r="GX86" s="485"/>
      <c r="GY86" s="485"/>
      <c r="GZ86" s="485"/>
      <c r="HA86" s="485"/>
      <c r="HB86" s="485"/>
      <c r="HC86" s="485"/>
      <c r="HD86" s="485"/>
      <c r="HE86" s="485"/>
      <c r="HF86" s="485"/>
      <c r="HG86" s="485"/>
      <c r="HH86" s="485"/>
      <c r="HI86" s="485"/>
      <c r="HJ86" s="485"/>
      <c r="HK86" s="485"/>
      <c r="HL86" s="485"/>
      <c r="HM86" s="485"/>
      <c r="HN86" s="485"/>
      <c r="HO86" s="485"/>
      <c r="HP86" s="485"/>
      <c r="HQ86" s="485"/>
      <c r="HR86" s="485"/>
      <c r="HS86" s="485"/>
      <c r="HT86" s="485"/>
      <c r="HU86" s="485"/>
      <c r="HV86" s="485"/>
      <c r="HW86" s="485"/>
      <c r="HX86" s="485"/>
      <c r="HY86" s="485"/>
      <c r="HZ86" s="485"/>
      <c r="IA86" s="485"/>
      <c r="IB86" s="485"/>
      <c r="IC86" s="485"/>
      <c r="ID86" s="485"/>
    </row>
    <row r="87" spans="1:238" s="40" customFormat="1" ht="18" x14ac:dyDescent="0.35">
      <c r="A87" s="288"/>
      <c r="B87" s="289">
        <f>IF(O87=1,SUM($O$41:O87),0)</f>
        <v>0</v>
      </c>
      <c r="C87" s="274">
        <v>41</v>
      </c>
      <c r="D87" s="290" t="s">
        <v>129</v>
      </c>
      <c r="E87" s="291">
        <v>18</v>
      </c>
      <c r="F87" s="292" t="s">
        <v>107</v>
      </c>
      <c r="G87" s="293"/>
      <c r="H87" s="294"/>
      <c r="I87" s="288">
        <f>SUMIFS($AU$14:$AU$38,$AS$14:$AS$38,E87,$U$14:$U$38,F87)/100</f>
        <v>0</v>
      </c>
      <c r="J87" s="295">
        <v>1</v>
      </c>
      <c r="K87" s="295"/>
      <c r="L87" s="295">
        <f>VLOOKUP(D87,'قائمة الأسعار'!D15:F104,3,0)</f>
        <v>1</v>
      </c>
      <c r="M87" s="296">
        <f>L87*J87*I87</f>
        <v>0</v>
      </c>
      <c r="N87" s="413"/>
      <c r="O87" s="288">
        <f t="shared" si="198"/>
        <v>0</v>
      </c>
      <c r="Q87" s="63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188"/>
      <c r="AH87" s="95"/>
      <c r="AI87" s="95"/>
      <c r="AJ87" s="63"/>
      <c r="AM87" s="485"/>
      <c r="AN87" s="485"/>
      <c r="AO87" s="485"/>
      <c r="AP87" s="485"/>
      <c r="AQ87" s="485"/>
      <c r="AR87" s="485"/>
      <c r="AS87" s="485"/>
      <c r="AT87" s="485"/>
      <c r="AU87" s="485"/>
      <c r="AV87" s="485"/>
      <c r="AW87" s="485"/>
      <c r="AX87" s="485"/>
      <c r="AY87" s="485"/>
      <c r="AZ87" s="485"/>
      <c r="BA87" s="485"/>
      <c r="BB87" s="485"/>
      <c r="BC87" s="485"/>
      <c r="BD87" s="485"/>
      <c r="BE87" s="485"/>
      <c r="BF87" s="485"/>
      <c r="BG87" s="485"/>
      <c r="BH87" s="485"/>
      <c r="BI87" s="485"/>
      <c r="BJ87" s="485"/>
      <c r="BK87" s="485"/>
      <c r="BL87" s="485"/>
      <c r="BM87" s="485"/>
      <c r="BN87" s="485"/>
      <c r="BO87" s="485"/>
      <c r="BP87" s="485"/>
      <c r="BQ87" s="485"/>
      <c r="BR87" s="485"/>
      <c r="BS87" s="485"/>
      <c r="BT87" s="485"/>
      <c r="BU87" s="485"/>
      <c r="BV87" s="485"/>
      <c r="BW87" s="485"/>
      <c r="BX87" s="485"/>
      <c r="BY87" s="485"/>
      <c r="BZ87" s="485"/>
      <c r="CA87" s="485"/>
      <c r="CB87" s="485"/>
      <c r="CC87" s="485"/>
      <c r="CD87" s="485"/>
      <c r="CE87" s="485"/>
      <c r="CF87" s="485"/>
      <c r="CG87" s="485"/>
      <c r="CH87" s="485"/>
      <c r="CI87" s="485"/>
      <c r="CJ87" s="485"/>
      <c r="CK87" s="485"/>
      <c r="CL87" s="777"/>
      <c r="CM87" s="485"/>
      <c r="CN87" s="485"/>
      <c r="CO87" s="485"/>
      <c r="CP87" s="485"/>
      <c r="CQ87" s="485"/>
      <c r="CR87" s="485"/>
      <c r="CS87" s="485"/>
      <c r="CT87" s="485"/>
      <c r="CU87" s="485"/>
      <c r="CV87" s="485"/>
      <c r="CW87" s="485"/>
      <c r="CX87" s="485"/>
      <c r="CY87" s="485"/>
      <c r="CZ87" s="485"/>
      <c r="DA87" s="485"/>
      <c r="DB87" s="485"/>
      <c r="DC87" s="485"/>
      <c r="DD87" s="485"/>
      <c r="DE87" s="485"/>
      <c r="DF87" s="485"/>
      <c r="DG87" s="485"/>
      <c r="DH87" s="485"/>
      <c r="DI87" s="485"/>
      <c r="DJ87" s="485"/>
      <c r="DK87" s="485"/>
      <c r="DL87" s="485"/>
      <c r="DM87" s="485"/>
      <c r="DN87" s="485"/>
      <c r="DO87" s="485"/>
      <c r="DP87" s="485"/>
      <c r="DQ87" s="485"/>
      <c r="DR87" s="485"/>
      <c r="DS87" s="485"/>
      <c r="DT87" s="485"/>
      <c r="DU87" s="485"/>
      <c r="DV87" s="485"/>
      <c r="DW87" s="484"/>
      <c r="DX87" s="484"/>
      <c r="DY87" s="484"/>
      <c r="DZ87" s="484"/>
      <c r="EA87" s="484"/>
      <c r="EB87" s="484"/>
      <c r="EC87" s="484"/>
      <c r="ED87" s="484"/>
      <c r="EE87" s="484"/>
      <c r="EF87" s="484"/>
      <c r="EG87" s="484"/>
      <c r="EH87" s="484"/>
      <c r="EI87" s="484"/>
      <c r="EJ87" s="484"/>
      <c r="EK87" s="484"/>
      <c r="EL87" s="484"/>
      <c r="EM87" s="484"/>
      <c r="EN87" s="484"/>
      <c r="EO87" s="484"/>
      <c r="EP87" s="484"/>
      <c r="EQ87" s="484"/>
      <c r="ER87" s="484"/>
      <c r="ES87" s="484"/>
      <c r="ET87" s="484"/>
      <c r="EU87" s="484"/>
      <c r="EV87" s="484"/>
      <c r="EW87" s="484"/>
      <c r="EX87" s="484"/>
      <c r="EY87" s="484"/>
      <c r="EZ87" s="484"/>
      <c r="FA87" s="484"/>
      <c r="FB87" s="484"/>
      <c r="FC87" s="484"/>
      <c r="FD87" s="484"/>
      <c r="FE87" s="484"/>
      <c r="FF87" s="484"/>
      <c r="FG87" s="484"/>
      <c r="FH87" s="486"/>
      <c r="FI87" s="485"/>
      <c r="FJ87" s="485"/>
      <c r="FK87" s="485"/>
      <c r="FL87" s="485"/>
      <c r="FM87" s="485"/>
      <c r="FN87" s="485"/>
      <c r="FO87" s="485"/>
      <c r="FP87" s="485"/>
      <c r="FQ87" s="485"/>
      <c r="FR87" s="485"/>
      <c r="FS87" s="485"/>
      <c r="FT87" s="485"/>
      <c r="FU87" s="485"/>
      <c r="FV87" s="485"/>
      <c r="FW87" s="485"/>
      <c r="FX87" s="485"/>
      <c r="FY87" s="485"/>
      <c r="FZ87" s="485"/>
      <c r="GA87" s="485"/>
      <c r="GB87" s="485"/>
      <c r="GC87" s="485"/>
      <c r="GD87" s="485"/>
      <c r="GE87" s="485"/>
      <c r="GF87" s="485"/>
      <c r="GG87" s="485"/>
      <c r="GH87" s="485"/>
      <c r="GI87" s="485"/>
      <c r="GJ87" s="485"/>
      <c r="GK87" s="485"/>
      <c r="GL87" s="485"/>
      <c r="GM87" s="485"/>
      <c r="GN87" s="485"/>
      <c r="GO87" s="485"/>
      <c r="GP87" s="485"/>
      <c r="GQ87" s="485"/>
      <c r="GR87" s="485"/>
      <c r="GS87" s="485"/>
      <c r="GT87" s="485"/>
      <c r="GU87" s="485"/>
      <c r="GV87" s="485"/>
      <c r="GW87" s="485"/>
      <c r="GX87" s="485"/>
      <c r="GY87" s="485"/>
      <c r="GZ87" s="485"/>
      <c r="HA87" s="485"/>
      <c r="HB87" s="485"/>
      <c r="HC87" s="485"/>
      <c r="HD87" s="485"/>
      <c r="HE87" s="485"/>
      <c r="HF87" s="485"/>
      <c r="HG87" s="485"/>
      <c r="HH87" s="485"/>
      <c r="HI87" s="485"/>
      <c r="HJ87" s="485"/>
      <c r="HK87" s="485"/>
      <c r="HL87" s="485"/>
      <c r="HM87" s="485"/>
      <c r="HN87" s="485"/>
      <c r="HO87" s="485"/>
      <c r="HP87" s="485"/>
      <c r="HQ87" s="485"/>
      <c r="HR87" s="485"/>
      <c r="HS87" s="485"/>
      <c r="HT87" s="485"/>
      <c r="HU87" s="485"/>
      <c r="HV87" s="485"/>
      <c r="HW87" s="485"/>
      <c r="HX87" s="485"/>
      <c r="HY87" s="485"/>
      <c r="HZ87" s="485"/>
      <c r="IA87" s="485"/>
      <c r="IB87" s="485"/>
      <c r="IC87" s="485"/>
      <c r="ID87" s="485"/>
    </row>
    <row r="88" spans="1:238" s="40" customFormat="1" ht="18" x14ac:dyDescent="0.35">
      <c r="A88" s="288"/>
      <c r="B88" s="289">
        <f>IF(O88=1,SUM($O$41:O88),0)</f>
        <v>0</v>
      </c>
      <c r="C88" s="274">
        <v>42</v>
      </c>
      <c r="D88" s="290" t="s">
        <v>130</v>
      </c>
      <c r="E88" s="291">
        <v>18</v>
      </c>
      <c r="F88" s="292" t="s">
        <v>107</v>
      </c>
      <c r="G88" s="293"/>
      <c r="H88" s="294"/>
      <c r="I88" s="298" t="s">
        <v>20</v>
      </c>
      <c r="J88" s="288">
        <f>SUMIFS($HV$14:$HV$38,$AS$14:$AS$38,E88,$U$14:$U$38,F88)</f>
        <v>0</v>
      </c>
      <c r="K88" s="288"/>
      <c r="L88" s="295">
        <f>VLOOKUP(D88,'قائمة الأسعار'!D15:F104,3,0)</f>
        <v>1</v>
      </c>
      <c r="M88" s="296">
        <f>L88*J88</f>
        <v>0</v>
      </c>
      <c r="N88" s="413"/>
      <c r="O88" s="288">
        <f>IF(M88&gt;0,1,0)</f>
        <v>0</v>
      </c>
      <c r="Q88" s="63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188"/>
      <c r="AH88" s="95"/>
      <c r="AI88" s="95"/>
      <c r="AJ88" s="63"/>
      <c r="AM88" s="485"/>
      <c r="AN88" s="485"/>
      <c r="AO88" s="485"/>
      <c r="AP88" s="485"/>
      <c r="AQ88" s="485"/>
      <c r="AR88" s="485"/>
      <c r="AS88" s="485"/>
      <c r="AT88" s="485"/>
      <c r="AU88" s="485"/>
      <c r="AV88" s="485"/>
      <c r="AW88" s="485"/>
      <c r="AX88" s="485"/>
      <c r="AY88" s="485"/>
      <c r="AZ88" s="485"/>
      <c r="BA88" s="485"/>
      <c r="BB88" s="485"/>
      <c r="BC88" s="485"/>
      <c r="BD88" s="485"/>
      <c r="BE88" s="485"/>
      <c r="BF88" s="485"/>
      <c r="BG88" s="485"/>
      <c r="BH88" s="485"/>
      <c r="BI88" s="485"/>
      <c r="BJ88" s="485"/>
      <c r="BK88" s="485"/>
      <c r="BL88" s="485"/>
      <c r="BM88" s="485"/>
      <c r="BN88" s="485"/>
      <c r="BO88" s="485"/>
      <c r="BP88" s="485"/>
      <c r="BQ88" s="485"/>
      <c r="BR88" s="485"/>
      <c r="BS88" s="485"/>
      <c r="BT88" s="485"/>
      <c r="BU88" s="485"/>
      <c r="BV88" s="485"/>
      <c r="BW88" s="485"/>
      <c r="BX88" s="485"/>
      <c r="BY88" s="485"/>
      <c r="BZ88" s="485"/>
      <c r="CA88" s="485"/>
      <c r="CB88" s="485"/>
      <c r="CC88" s="485"/>
      <c r="CD88" s="485"/>
      <c r="CE88" s="485"/>
      <c r="CF88" s="485"/>
      <c r="CG88" s="485"/>
      <c r="CH88" s="485"/>
      <c r="CI88" s="485"/>
      <c r="CJ88" s="485"/>
      <c r="CK88" s="485"/>
      <c r="CL88" s="777"/>
      <c r="CM88" s="485"/>
      <c r="CN88" s="485"/>
      <c r="CO88" s="485"/>
      <c r="CP88" s="485"/>
      <c r="CQ88" s="485"/>
      <c r="CR88" s="485"/>
      <c r="CS88" s="485"/>
      <c r="CT88" s="485"/>
      <c r="CU88" s="485"/>
      <c r="CV88" s="485"/>
      <c r="CW88" s="485"/>
      <c r="CX88" s="485"/>
      <c r="CY88" s="485"/>
      <c r="CZ88" s="485"/>
      <c r="DA88" s="485"/>
      <c r="DB88" s="485"/>
      <c r="DC88" s="485"/>
      <c r="DD88" s="485"/>
      <c r="DE88" s="485"/>
      <c r="DF88" s="485"/>
      <c r="DG88" s="485"/>
      <c r="DH88" s="485"/>
      <c r="DI88" s="485"/>
      <c r="DJ88" s="485"/>
      <c r="DK88" s="485"/>
      <c r="DL88" s="485"/>
      <c r="DM88" s="485"/>
      <c r="DN88" s="485"/>
      <c r="DO88" s="485"/>
      <c r="DP88" s="485"/>
      <c r="DQ88" s="485"/>
      <c r="DR88" s="485"/>
      <c r="DS88" s="485"/>
      <c r="DT88" s="485"/>
      <c r="DU88" s="485"/>
      <c r="DV88" s="485"/>
      <c r="DW88" s="484"/>
      <c r="DX88" s="484"/>
      <c r="DY88" s="484"/>
      <c r="DZ88" s="484"/>
      <c r="EA88" s="484"/>
      <c r="EB88" s="484"/>
      <c r="EC88" s="484"/>
      <c r="ED88" s="484"/>
      <c r="EE88" s="484"/>
      <c r="EF88" s="484"/>
      <c r="EG88" s="484"/>
      <c r="EH88" s="484"/>
      <c r="EI88" s="484"/>
      <c r="EJ88" s="484"/>
      <c r="EK88" s="484"/>
      <c r="EL88" s="484"/>
      <c r="EM88" s="484"/>
      <c r="EN88" s="484"/>
      <c r="EO88" s="484"/>
      <c r="EP88" s="484"/>
      <c r="EQ88" s="484"/>
      <c r="ER88" s="484"/>
      <c r="ES88" s="484"/>
      <c r="ET88" s="484"/>
      <c r="EU88" s="484"/>
      <c r="EV88" s="484"/>
      <c r="EW88" s="484"/>
      <c r="EX88" s="484"/>
      <c r="EY88" s="484"/>
      <c r="EZ88" s="484"/>
      <c r="FA88" s="484"/>
      <c r="FB88" s="484"/>
      <c r="FC88" s="484"/>
      <c r="FD88" s="484"/>
      <c r="FE88" s="484"/>
      <c r="FF88" s="484"/>
      <c r="FG88" s="484"/>
      <c r="FH88" s="486"/>
      <c r="FI88" s="485"/>
      <c r="FJ88" s="485"/>
      <c r="FK88" s="485"/>
      <c r="FL88" s="485"/>
      <c r="FM88" s="485"/>
      <c r="FN88" s="485"/>
      <c r="FO88" s="485"/>
      <c r="FP88" s="485"/>
      <c r="FQ88" s="485"/>
      <c r="FR88" s="485"/>
      <c r="FS88" s="485"/>
      <c r="FT88" s="485"/>
      <c r="FU88" s="485"/>
      <c r="FV88" s="485"/>
      <c r="FW88" s="485"/>
      <c r="FX88" s="485"/>
      <c r="FY88" s="485"/>
      <c r="FZ88" s="485"/>
      <c r="GA88" s="485"/>
      <c r="GB88" s="485"/>
      <c r="GC88" s="485"/>
      <c r="GD88" s="485"/>
      <c r="GE88" s="485"/>
      <c r="GF88" s="485"/>
      <c r="GG88" s="485"/>
      <c r="GH88" s="485"/>
      <c r="GI88" s="485"/>
      <c r="GJ88" s="485"/>
      <c r="GK88" s="485"/>
      <c r="GL88" s="485"/>
      <c r="GM88" s="485"/>
      <c r="GN88" s="485"/>
      <c r="GO88" s="485"/>
      <c r="GP88" s="485"/>
      <c r="GQ88" s="485"/>
      <c r="GR88" s="485"/>
      <c r="GS88" s="485"/>
      <c r="GT88" s="485"/>
      <c r="GU88" s="485"/>
      <c r="GV88" s="485"/>
      <c r="GW88" s="485"/>
      <c r="GX88" s="485"/>
      <c r="GY88" s="485"/>
      <c r="GZ88" s="485"/>
      <c r="HA88" s="485"/>
      <c r="HB88" s="485"/>
      <c r="HC88" s="485"/>
      <c r="HD88" s="485"/>
      <c r="HE88" s="485"/>
      <c r="HF88" s="485"/>
      <c r="HG88" s="485"/>
      <c r="HH88" s="485"/>
      <c r="HI88" s="485"/>
      <c r="HJ88" s="485"/>
      <c r="HK88" s="485"/>
      <c r="HL88" s="485"/>
      <c r="HM88" s="485"/>
      <c r="HN88" s="485"/>
      <c r="HO88" s="485"/>
      <c r="HP88" s="485"/>
      <c r="HQ88" s="485"/>
      <c r="HR88" s="485"/>
      <c r="HS88" s="485"/>
      <c r="HT88" s="485"/>
      <c r="HU88" s="485"/>
      <c r="HV88" s="485"/>
      <c r="HW88" s="485"/>
      <c r="HX88" s="485"/>
      <c r="HY88" s="485"/>
      <c r="HZ88" s="485"/>
      <c r="IA88" s="485"/>
      <c r="IB88" s="485"/>
      <c r="IC88" s="485"/>
      <c r="ID88" s="485"/>
    </row>
    <row r="89" spans="1:238" s="40" customFormat="1" ht="18" x14ac:dyDescent="0.35">
      <c r="A89" s="288"/>
      <c r="B89" s="289">
        <f>IF(O89=1,SUM($O$41:O89),0)</f>
        <v>0</v>
      </c>
      <c r="C89" s="274">
        <v>43</v>
      </c>
      <c r="D89" s="290" t="s">
        <v>129</v>
      </c>
      <c r="E89" s="291">
        <v>18</v>
      </c>
      <c r="F89" s="287" t="s">
        <v>149</v>
      </c>
      <c r="G89" s="293"/>
      <c r="H89" s="294"/>
      <c r="I89" s="288">
        <f>SUMIFS($AU$14:$AU$38,$AS$14:$AS$38,E89,$U$14:$U$38,F89)/100</f>
        <v>0</v>
      </c>
      <c r="J89" s="295">
        <v>1</v>
      </c>
      <c r="K89" s="295"/>
      <c r="L89" s="295">
        <f>VLOOKUP(D89,'قائمة الأسعار'!D17:F106,3,0)</f>
        <v>1</v>
      </c>
      <c r="M89" s="296">
        <f>L89*J89*I89</f>
        <v>0</v>
      </c>
      <c r="N89" s="413"/>
      <c r="O89" s="288">
        <f t="shared" ref="O89:O105" si="199">IF(M89&gt;0,1,0)</f>
        <v>0</v>
      </c>
      <c r="Q89" s="63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188"/>
      <c r="AH89" s="95"/>
      <c r="AI89" s="95"/>
      <c r="AJ89" s="63"/>
      <c r="AM89" s="485"/>
      <c r="AN89" s="485"/>
      <c r="AO89" s="485"/>
      <c r="AP89" s="485"/>
      <c r="AQ89" s="485"/>
      <c r="AR89" s="485"/>
      <c r="AS89" s="485"/>
      <c r="AT89" s="485"/>
      <c r="AU89" s="485"/>
      <c r="AV89" s="485"/>
      <c r="AW89" s="485"/>
      <c r="AX89" s="485"/>
      <c r="AY89" s="485"/>
      <c r="AZ89" s="485"/>
      <c r="BA89" s="485"/>
      <c r="BB89" s="485"/>
      <c r="BC89" s="485"/>
      <c r="BD89" s="485"/>
      <c r="BE89" s="485"/>
      <c r="BF89" s="485"/>
      <c r="BG89" s="485"/>
      <c r="BH89" s="485"/>
      <c r="BI89" s="485"/>
      <c r="BJ89" s="485"/>
      <c r="BK89" s="485"/>
      <c r="BL89" s="485"/>
      <c r="BM89" s="485"/>
      <c r="BN89" s="485"/>
      <c r="BO89" s="485"/>
      <c r="BP89" s="485"/>
      <c r="BQ89" s="485"/>
      <c r="BR89" s="485"/>
      <c r="BS89" s="485"/>
      <c r="BT89" s="485"/>
      <c r="BU89" s="485"/>
      <c r="BV89" s="485"/>
      <c r="BW89" s="485"/>
      <c r="BX89" s="485"/>
      <c r="BY89" s="485"/>
      <c r="BZ89" s="485"/>
      <c r="CA89" s="485"/>
      <c r="CB89" s="485"/>
      <c r="CC89" s="485"/>
      <c r="CD89" s="485"/>
      <c r="CE89" s="485"/>
      <c r="CF89" s="485"/>
      <c r="CG89" s="485"/>
      <c r="CH89" s="485"/>
      <c r="CI89" s="485"/>
      <c r="CJ89" s="485"/>
      <c r="CK89" s="485"/>
      <c r="CL89" s="777"/>
      <c r="CM89" s="485"/>
      <c r="CN89" s="485"/>
      <c r="CO89" s="485"/>
      <c r="CP89" s="485"/>
      <c r="CQ89" s="485"/>
      <c r="CR89" s="485"/>
      <c r="CS89" s="485"/>
      <c r="CT89" s="485"/>
      <c r="CU89" s="485"/>
      <c r="CV89" s="485"/>
      <c r="CW89" s="485"/>
      <c r="CX89" s="485"/>
      <c r="CY89" s="485"/>
      <c r="CZ89" s="485"/>
      <c r="DA89" s="485"/>
      <c r="DB89" s="485"/>
      <c r="DC89" s="485"/>
      <c r="DD89" s="485"/>
      <c r="DE89" s="485"/>
      <c r="DF89" s="485"/>
      <c r="DG89" s="485"/>
      <c r="DH89" s="485"/>
      <c r="DI89" s="485"/>
      <c r="DJ89" s="485"/>
      <c r="DK89" s="485"/>
      <c r="DL89" s="485"/>
      <c r="DM89" s="485"/>
      <c r="DN89" s="485"/>
      <c r="DO89" s="485"/>
      <c r="DP89" s="485"/>
      <c r="DQ89" s="485"/>
      <c r="DR89" s="485"/>
      <c r="DS89" s="485"/>
      <c r="DT89" s="485"/>
      <c r="DU89" s="485"/>
      <c r="DV89" s="485"/>
      <c r="DW89" s="484"/>
      <c r="DX89" s="484"/>
      <c r="DY89" s="484"/>
      <c r="DZ89" s="484"/>
      <c r="EA89" s="484"/>
      <c r="EB89" s="484"/>
      <c r="EC89" s="484"/>
      <c r="ED89" s="484"/>
      <c r="EE89" s="484"/>
      <c r="EF89" s="484"/>
      <c r="EG89" s="484"/>
      <c r="EH89" s="484"/>
      <c r="EI89" s="484"/>
      <c r="EJ89" s="484"/>
      <c r="EK89" s="484"/>
      <c r="EL89" s="484"/>
      <c r="EM89" s="484"/>
      <c r="EN89" s="484"/>
      <c r="EO89" s="484"/>
      <c r="EP89" s="484"/>
      <c r="EQ89" s="484"/>
      <c r="ER89" s="484"/>
      <c r="ES89" s="484"/>
      <c r="ET89" s="484"/>
      <c r="EU89" s="484"/>
      <c r="EV89" s="484"/>
      <c r="EW89" s="484"/>
      <c r="EX89" s="484"/>
      <c r="EY89" s="484"/>
      <c r="EZ89" s="484"/>
      <c r="FA89" s="484"/>
      <c r="FB89" s="484"/>
      <c r="FC89" s="484"/>
      <c r="FD89" s="484"/>
      <c r="FE89" s="484"/>
      <c r="FF89" s="484"/>
      <c r="FG89" s="484"/>
      <c r="FH89" s="486"/>
      <c r="FI89" s="485"/>
      <c r="FJ89" s="485"/>
      <c r="FK89" s="485"/>
      <c r="FL89" s="485"/>
      <c r="FM89" s="485"/>
      <c r="FN89" s="485"/>
      <c r="FO89" s="485"/>
      <c r="FP89" s="485"/>
      <c r="FQ89" s="485"/>
      <c r="FR89" s="485"/>
      <c r="FS89" s="485"/>
      <c r="FT89" s="485"/>
      <c r="FU89" s="485"/>
      <c r="FV89" s="485"/>
      <c r="FW89" s="485"/>
      <c r="FX89" s="485"/>
      <c r="FY89" s="485"/>
      <c r="FZ89" s="485"/>
      <c r="GA89" s="485"/>
      <c r="GB89" s="485"/>
      <c r="GC89" s="485"/>
      <c r="GD89" s="485"/>
      <c r="GE89" s="485"/>
      <c r="GF89" s="485"/>
      <c r="GG89" s="485"/>
      <c r="GH89" s="485"/>
      <c r="GI89" s="485"/>
      <c r="GJ89" s="485"/>
      <c r="GK89" s="485"/>
      <c r="GL89" s="485"/>
      <c r="GM89" s="485"/>
      <c r="GN89" s="485"/>
      <c r="GO89" s="485"/>
      <c r="GP89" s="485"/>
      <c r="GQ89" s="485"/>
      <c r="GR89" s="485"/>
      <c r="GS89" s="485"/>
      <c r="GT89" s="485"/>
      <c r="GU89" s="485"/>
      <c r="GV89" s="485"/>
      <c r="GW89" s="485"/>
      <c r="GX89" s="485"/>
      <c r="GY89" s="485"/>
      <c r="GZ89" s="485"/>
      <c r="HA89" s="485"/>
      <c r="HB89" s="485"/>
      <c r="HC89" s="485"/>
      <c r="HD89" s="485"/>
      <c r="HE89" s="485"/>
      <c r="HF89" s="485"/>
      <c r="HG89" s="485"/>
      <c r="HH89" s="485"/>
      <c r="HI89" s="485"/>
      <c r="HJ89" s="485"/>
      <c r="HK89" s="485"/>
      <c r="HL89" s="485"/>
      <c r="HM89" s="485"/>
      <c r="HN89" s="485"/>
      <c r="HO89" s="485"/>
      <c r="HP89" s="485"/>
      <c r="HQ89" s="485"/>
      <c r="HR89" s="485"/>
      <c r="HS89" s="485"/>
      <c r="HT89" s="485"/>
      <c r="HU89" s="485"/>
      <c r="HV89" s="485"/>
      <c r="HW89" s="485"/>
      <c r="HX89" s="485"/>
      <c r="HY89" s="485"/>
      <c r="HZ89" s="485"/>
      <c r="IA89" s="485"/>
      <c r="IB89" s="485"/>
      <c r="IC89" s="485"/>
      <c r="ID89" s="485"/>
    </row>
    <row r="90" spans="1:238" s="40" customFormat="1" ht="18" x14ac:dyDescent="0.35">
      <c r="A90" s="288"/>
      <c r="B90" s="289">
        <f>IF(O90=1,SUM($O$41:O90),0)</f>
        <v>0</v>
      </c>
      <c r="C90" s="274">
        <v>44</v>
      </c>
      <c r="D90" s="290" t="s">
        <v>130</v>
      </c>
      <c r="E90" s="291">
        <v>18</v>
      </c>
      <c r="F90" s="287" t="s">
        <v>149</v>
      </c>
      <c r="G90" s="293"/>
      <c r="H90" s="294"/>
      <c r="I90" s="298" t="s">
        <v>20</v>
      </c>
      <c r="J90" s="288">
        <f>SUMIFS($HV$14:$HV$38,$AS$14:$AS$38,E90,$U$14:$U$38,F90)</f>
        <v>0</v>
      </c>
      <c r="K90" s="288"/>
      <c r="L90" s="295">
        <f>VLOOKUP(D90,'قائمة الأسعار'!D17:F106,3,0)</f>
        <v>1</v>
      </c>
      <c r="M90" s="296">
        <f>L90*J90</f>
        <v>0</v>
      </c>
      <c r="N90" s="413"/>
      <c r="O90" s="288">
        <f t="shared" si="199"/>
        <v>0</v>
      </c>
      <c r="Q90" s="63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188"/>
      <c r="AH90" s="95"/>
      <c r="AI90" s="95"/>
      <c r="AJ90" s="63"/>
      <c r="AM90" s="485"/>
      <c r="AN90" s="485"/>
      <c r="AO90" s="485"/>
      <c r="AP90" s="485"/>
      <c r="AQ90" s="485"/>
      <c r="AR90" s="485"/>
      <c r="AS90" s="485"/>
      <c r="AT90" s="485"/>
      <c r="AU90" s="485"/>
      <c r="AV90" s="485"/>
      <c r="AW90" s="485"/>
      <c r="AX90" s="485"/>
      <c r="AY90" s="485"/>
      <c r="AZ90" s="485"/>
      <c r="BA90" s="485"/>
      <c r="BB90" s="485"/>
      <c r="BC90" s="485"/>
      <c r="BD90" s="485"/>
      <c r="BE90" s="485"/>
      <c r="BF90" s="485"/>
      <c r="BG90" s="485"/>
      <c r="BH90" s="485"/>
      <c r="BI90" s="485"/>
      <c r="BJ90" s="485"/>
      <c r="BK90" s="485"/>
      <c r="BL90" s="485"/>
      <c r="BM90" s="485"/>
      <c r="BN90" s="485"/>
      <c r="BO90" s="485"/>
      <c r="BP90" s="485"/>
      <c r="BQ90" s="485"/>
      <c r="BR90" s="485"/>
      <c r="BS90" s="485"/>
      <c r="BT90" s="485"/>
      <c r="BU90" s="485"/>
      <c r="BV90" s="485"/>
      <c r="BW90" s="485"/>
      <c r="BX90" s="485"/>
      <c r="BY90" s="485"/>
      <c r="BZ90" s="485"/>
      <c r="CA90" s="485"/>
      <c r="CB90" s="485"/>
      <c r="CC90" s="485"/>
      <c r="CD90" s="485"/>
      <c r="CE90" s="485"/>
      <c r="CF90" s="485"/>
      <c r="CG90" s="485"/>
      <c r="CH90" s="485"/>
      <c r="CI90" s="485"/>
      <c r="CJ90" s="485"/>
      <c r="CK90" s="485"/>
      <c r="CL90" s="777"/>
      <c r="CM90" s="485"/>
      <c r="CN90" s="485"/>
      <c r="CO90" s="485"/>
      <c r="CP90" s="485"/>
      <c r="CQ90" s="485"/>
      <c r="CR90" s="485"/>
      <c r="CS90" s="485"/>
      <c r="CT90" s="485"/>
      <c r="CU90" s="485"/>
      <c r="CV90" s="485"/>
      <c r="CW90" s="485"/>
      <c r="CX90" s="485"/>
      <c r="CY90" s="485"/>
      <c r="CZ90" s="485"/>
      <c r="DA90" s="485"/>
      <c r="DB90" s="485"/>
      <c r="DC90" s="485"/>
      <c r="DD90" s="485"/>
      <c r="DE90" s="485"/>
      <c r="DF90" s="485"/>
      <c r="DG90" s="485"/>
      <c r="DH90" s="485"/>
      <c r="DI90" s="485"/>
      <c r="DJ90" s="485"/>
      <c r="DK90" s="485"/>
      <c r="DL90" s="485"/>
      <c r="DM90" s="485"/>
      <c r="DN90" s="485"/>
      <c r="DO90" s="485"/>
      <c r="DP90" s="485"/>
      <c r="DQ90" s="485"/>
      <c r="DR90" s="485"/>
      <c r="DS90" s="485"/>
      <c r="DT90" s="485"/>
      <c r="DU90" s="485"/>
      <c r="DV90" s="485"/>
      <c r="DW90" s="484"/>
      <c r="DX90" s="484"/>
      <c r="DY90" s="484"/>
      <c r="DZ90" s="484"/>
      <c r="EA90" s="484"/>
      <c r="EB90" s="484"/>
      <c r="EC90" s="484"/>
      <c r="ED90" s="484"/>
      <c r="EE90" s="484"/>
      <c r="EF90" s="484"/>
      <c r="EG90" s="484"/>
      <c r="EH90" s="484"/>
      <c r="EI90" s="484"/>
      <c r="EJ90" s="484"/>
      <c r="EK90" s="484"/>
      <c r="EL90" s="484"/>
      <c r="EM90" s="484"/>
      <c r="EN90" s="484"/>
      <c r="EO90" s="484"/>
      <c r="EP90" s="484"/>
      <c r="EQ90" s="484"/>
      <c r="ER90" s="484"/>
      <c r="ES90" s="484"/>
      <c r="ET90" s="484"/>
      <c r="EU90" s="484"/>
      <c r="EV90" s="484"/>
      <c r="EW90" s="484"/>
      <c r="EX90" s="484"/>
      <c r="EY90" s="484"/>
      <c r="EZ90" s="484"/>
      <c r="FA90" s="484"/>
      <c r="FB90" s="484"/>
      <c r="FC90" s="484"/>
      <c r="FD90" s="484"/>
      <c r="FE90" s="484"/>
      <c r="FF90" s="484"/>
      <c r="FG90" s="484"/>
      <c r="FH90" s="486"/>
      <c r="FI90" s="485"/>
      <c r="FJ90" s="485"/>
      <c r="FK90" s="485"/>
      <c r="FL90" s="485"/>
      <c r="FM90" s="485"/>
      <c r="FN90" s="485"/>
      <c r="FO90" s="485"/>
      <c r="FP90" s="485"/>
      <c r="FQ90" s="485"/>
      <c r="FR90" s="485"/>
      <c r="FS90" s="485"/>
      <c r="FT90" s="485"/>
      <c r="FU90" s="485"/>
      <c r="FV90" s="485"/>
      <c r="FW90" s="485"/>
      <c r="FX90" s="485"/>
      <c r="FY90" s="485"/>
      <c r="FZ90" s="485"/>
      <c r="GA90" s="485"/>
      <c r="GB90" s="485"/>
      <c r="GC90" s="485"/>
      <c r="GD90" s="485"/>
      <c r="GE90" s="485"/>
      <c r="GF90" s="485"/>
      <c r="GG90" s="485"/>
      <c r="GH90" s="485"/>
      <c r="GI90" s="485"/>
      <c r="GJ90" s="485"/>
      <c r="GK90" s="485"/>
      <c r="GL90" s="485"/>
      <c r="GM90" s="485"/>
      <c r="GN90" s="485"/>
      <c r="GO90" s="485"/>
      <c r="GP90" s="485"/>
      <c r="GQ90" s="485"/>
      <c r="GR90" s="485"/>
      <c r="GS90" s="485"/>
      <c r="GT90" s="485"/>
      <c r="GU90" s="485"/>
      <c r="GV90" s="485"/>
      <c r="GW90" s="485"/>
      <c r="GX90" s="485"/>
      <c r="GY90" s="485"/>
      <c r="GZ90" s="485"/>
      <c r="HA90" s="485"/>
      <c r="HB90" s="485"/>
      <c r="HC90" s="485"/>
      <c r="HD90" s="485"/>
      <c r="HE90" s="485"/>
      <c r="HF90" s="485"/>
      <c r="HG90" s="485"/>
      <c r="HH90" s="485"/>
      <c r="HI90" s="485"/>
      <c r="HJ90" s="485"/>
      <c r="HK90" s="485"/>
      <c r="HL90" s="485"/>
      <c r="HM90" s="485"/>
      <c r="HN90" s="485"/>
      <c r="HO90" s="485"/>
      <c r="HP90" s="485"/>
      <c r="HQ90" s="485"/>
      <c r="HR90" s="485"/>
      <c r="HS90" s="485"/>
      <c r="HT90" s="485"/>
      <c r="HU90" s="485"/>
      <c r="HV90" s="485"/>
      <c r="HW90" s="485"/>
      <c r="HX90" s="485"/>
      <c r="HY90" s="485"/>
      <c r="HZ90" s="485"/>
      <c r="IA90" s="485"/>
      <c r="IB90" s="485"/>
      <c r="IC90" s="485"/>
      <c r="ID90" s="485"/>
    </row>
    <row r="91" spans="1:238" s="40" customFormat="1" ht="18" x14ac:dyDescent="0.35">
      <c r="A91" s="288"/>
      <c r="B91" s="289">
        <f>IF(O91=1,SUM($O$41:O91),0)</f>
        <v>0</v>
      </c>
      <c r="C91" s="274">
        <v>45</v>
      </c>
      <c r="D91" s="290" t="s">
        <v>129</v>
      </c>
      <c r="E91" s="291">
        <v>18</v>
      </c>
      <c r="F91" s="284" t="s">
        <v>143</v>
      </c>
      <c r="G91" s="293"/>
      <c r="H91" s="294"/>
      <c r="I91" s="288">
        <f>SUMIFS($AU$14:$AU$38,$AS$14:$AS$38,E91,$U$14:$U$38,F91)/100</f>
        <v>0</v>
      </c>
      <c r="J91" s="295">
        <v>1</v>
      </c>
      <c r="K91" s="295"/>
      <c r="L91" s="295">
        <f>VLOOKUP(D91,'قائمة الأسعار'!D19:F108,3,0)</f>
        <v>1</v>
      </c>
      <c r="M91" s="296">
        <f>L91*J91*I91</f>
        <v>0</v>
      </c>
      <c r="N91" s="413"/>
      <c r="O91" s="288">
        <f t="shared" si="199"/>
        <v>0</v>
      </c>
      <c r="Q91" s="63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188"/>
      <c r="AH91" s="95"/>
      <c r="AI91" s="95"/>
      <c r="AJ91" s="63"/>
      <c r="AM91" s="485"/>
      <c r="AN91" s="485"/>
      <c r="AO91" s="485"/>
      <c r="AP91" s="485"/>
      <c r="AQ91" s="485"/>
      <c r="AR91" s="485"/>
      <c r="AS91" s="485"/>
      <c r="AT91" s="485"/>
      <c r="AU91" s="485"/>
      <c r="AV91" s="485"/>
      <c r="AW91" s="485"/>
      <c r="AX91" s="485"/>
      <c r="AY91" s="485"/>
      <c r="AZ91" s="485"/>
      <c r="BA91" s="485"/>
      <c r="BB91" s="485"/>
      <c r="BC91" s="485"/>
      <c r="BD91" s="485"/>
      <c r="BE91" s="485"/>
      <c r="BF91" s="485"/>
      <c r="BG91" s="485"/>
      <c r="BH91" s="485"/>
      <c r="BI91" s="485"/>
      <c r="BJ91" s="485"/>
      <c r="BK91" s="485"/>
      <c r="BL91" s="485"/>
      <c r="BM91" s="485"/>
      <c r="BN91" s="485"/>
      <c r="BO91" s="485"/>
      <c r="BP91" s="485"/>
      <c r="BQ91" s="485"/>
      <c r="BR91" s="485"/>
      <c r="BS91" s="485"/>
      <c r="BT91" s="485"/>
      <c r="BU91" s="485"/>
      <c r="BV91" s="485"/>
      <c r="BW91" s="485"/>
      <c r="BX91" s="485"/>
      <c r="BY91" s="485"/>
      <c r="BZ91" s="485"/>
      <c r="CA91" s="485"/>
      <c r="CB91" s="485"/>
      <c r="CC91" s="485"/>
      <c r="CD91" s="485"/>
      <c r="CE91" s="485"/>
      <c r="CF91" s="485"/>
      <c r="CG91" s="485"/>
      <c r="CH91" s="485"/>
      <c r="CI91" s="485"/>
      <c r="CJ91" s="485"/>
      <c r="CK91" s="485"/>
      <c r="CL91" s="777"/>
      <c r="CM91" s="485"/>
      <c r="CN91" s="485"/>
      <c r="CO91" s="485"/>
      <c r="CP91" s="485"/>
      <c r="CQ91" s="485"/>
      <c r="CR91" s="485"/>
      <c r="CS91" s="485"/>
      <c r="CT91" s="485"/>
      <c r="CU91" s="485"/>
      <c r="CV91" s="485"/>
      <c r="CW91" s="485"/>
      <c r="CX91" s="485"/>
      <c r="CY91" s="485"/>
      <c r="CZ91" s="485"/>
      <c r="DA91" s="485"/>
      <c r="DB91" s="485"/>
      <c r="DC91" s="485"/>
      <c r="DD91" s="485"/>
      <c r="DE91" s="485"/>
      <c r="DF91" s="485"/>
      <c r="DG91" s="485"/>
      <c r="DH91" s="485"/>
      <c r="DI91" s="485"/>
      <c r="DJ91" s="485"/>
      <c r="DK91" s="485"/>
      <c r="DL91" s="485"/>
      <c r="DM91" s="485"/>
      <c r="DN91" s="485"/>
      <c r="DO91" s="485"/>
      <c r="DP91" s="485"/>
      <c r="DQ91" s="485"/>
      <c r="DR91" s="485"/>
      <c r="DS91" s="485"/>
      <c r="DT91" s="485"/>
      <c r="DU91" s="485"/>
      <c r="DV91" s="485"/>
      <c r="DW91" s="484"/>
      <c r="DX91" s="484"/>
      <c r="DY91" s="484"/>
      <c r="DZ91" s="484"/>
      <c r="EA91" s="484"/>
      <c r="EB91" s="484"/>
      <c r="EC91" s="484"/>
      <c r="ED91" s="484"/>
      <c r="EE91" s="484"/>
      <c r="EF91" s="484"/>
      <c r="EG91" s="484"/>
      <c r="EH91" s="484"/>
      <c r="EI91" s="484"/>
      <c r="EJ91" s="484"/>
      <c r="EK91" s="484"/>
      <c r="EL91" s="484"/>
      <c r="EM91" s="484"/>
      <c r="EN91" s="484"/>
      <c r="EO91" s="484"/>
      <c r="EP91" s="484"/>
      <c r="EQ91" s="484"/>
      <c r="ER91" s="484"/>
      <c r="ES91" s="484"/>
      <c r="ET91" s="484"/>
      <c r="EU91" s="484"/>
      <c r="EV91" s="484"/>
      <c r="EW91" s="484"/>
      <c r="EX91" s="484"/>
      <c r="EY91" s="484"/>
      <c r="EZ91" s="484"/>
      <c r="FA91" s="484"/>
      <c r="FB91" s="484"/>
      <c r="FC91" s="484"/>
      <c r="FD91" s="484"/>
      <c r="FE91" s="484"/>
      <c r="FF91" s="484"/>
      <c r="FG91" s="484"/>
      <c r="FH91" s="486"/>
      <c r="FI91" s="485"/>
      <c r="FJ91" s="485"/>
      <c r="FK91" s="485"/>
      <c r="FL91" s="485"/>
      <c r="FM91" s="485"/>
      <c r="FN91" s="485"/>
      <c r="FO91" s="485"/>
      <c r="FP91" s="485"/>
      <c r="FQ91" s="485"/>
      <c r="FR91" s="485"/>
      <c r="FS91" s="485"/>
      <c r="FT91" s="485"/>
      <c r="FU91" s="485"/>
      <c r="FV91" s="485"/>
      <c r="FW91" s="485"/>
      <c r="FX91" s="485"/>
      <c r="FY91" s="485"/>
      <c r="FZ91" s="485"/>
      <c r="GA91" s="485"/>
      <c r="GB91" s="485"/>
      <c r="GC91" s="485"/>
      <c r="GD91" s="485"/>
      <c r="GE91" s="485"/>
      <c r="GF91" s="485"/>
      <c r="GG91" s="485"/>
      <c r="GH91" s="485"/>
      <c r="GI91" s="485"/>
      <c r="GJ91" s="485"/>
      <c r="GK91" s="485"/>
      <c r="GL91" s="485"/>
      <c r="GM91" s="485"/>
      <c r="GN91" s="485"/>
      <c r="GO91" s="485"/>
      <c r="GP91" s="485"/>
      <c r="GQ91" s="485"/>
      <c r="GR91" s="485"/>
      <c r="GS91" s="485"/>
      <c r="GT91" s="485"/>
      <c r="GU91" s="485"/>
      <c r="GV91" s="485"/>
      <c r="GW91" s="485"/>
      <c r="GX91" s="485"/>
      <c r="GY91" s="485"/>
      <c r="GZ91" s="485"/>
      <c r="HA91" s="485"/>
      <c r="HB91" s="485"/>
      <c r="HC91" s="485"/>
      <c r="HD91" s="485"/>
      <c r="HE91" s="485"/>
      <c r="HF91" s="485"/>
      <c r="HG91" s="485"/>
      <c r="HH91" s="485"/>
      <c r="HI91" s="485"/>
      <c r="HJ91" s="485"/>
      <c r="HK91" s="485"/>
      <c r="HL91" s="485"/>
      <c r="HM91" s="485"/>
      <c r="HN91" s="485"/>
      <c r="HO91" s="485"/>
      <c r="HP91" s="485"/>
      <c r="HQ91" s="485"/>
      <c r="HR91" s="485"/>
      <c r="HS91" s="485"/>
      <c r="HT91" s="485"/>
      <c r="HU91" s="485"/>
      <c r="HV91" s="485"/>
      <c r="HW91" s="485"/>
      <c r="HX91" s="485"/>
      <c r="HY91" s="485"/>
      <c r="HZ91" s="485"/>
      <c r="IA91" s="485"/>
      <c r="IB91" s="485"/>
      <c r="IC91" s="485"/>
      <c r="ID91" s="485"/>
    </row>
    <row r="92" spans="1:238" s="40" customFormat="1" ht="18" x14ac:dyDescent="0.35">
      <c r="A92" s="288"/>
      <c r="B92" s="289">
        <f>IF(O92=1,SUM($O$41:O92),0)</f>
        <v>0</v>
      </c>
      <c r="C92" s="274">
        <v>46</v>
      </c>
      <c r="D92" s="290" t="s">
        <v>130</v>
      </c>
      <c r="E92" s="291">
        <v>18</v>
      </c>
      <c r="F92" s="284" t="s">
        <v>143</v>
      </c>
      <c r="G92" s="293"/>
      <c r="H92" s="294"/>
      <c r="I92" s="298" t="s">
        <v>20</v>
      </c>
      <c r="J92" s="288">
        <f>SUMIFS($HV$14:$HV$38,$AS$14:$AS$38,E92,$U$14:$U$38,F92)</f>
        <v>0</v>
      </c>
      <c r="K92" s="288"/>
      <c r="L92" s="295">
        <f>VLOOKUP(D92,'قائمة الأسعار'!D19:F108,3,0)</f>
        <v>1</v>
      </c>
      <c r="M92" s="296">
        <f>L92*J92</f>
        <v>0</v>
      </c>
      <c r="N92" s="413"/>
      <c r="O92" s="288">
        <f t="shared" si="199"/>
        <v>0</v>
      </c>
      <c r="Q92" s="63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188"/>
      <c r="AH92" s="95"/>
      <c r="AI92" s="95"/>
      <c r="AJ92" s="63"/>
      <c r="AM92" s="485"/>
      <c r="AN92" s="485"/>
      <c r="AO92" s="485"/>
      <c r="AP92" s="485"/>
      <c r="AQ92" s="485"/>
      <c r="AR92" s="485"/>
      <c r="AS92" s="485"/>
      <c r="AT92" s="485"/>
      <c r="AU92" s="485"/>
      <c r="AV92" s="485"/>
      <c r="AW92" s="485"/>
      <c r="AX92" s="485"/>
      <c r="AY92" s="485"/>
      <c r="AZ92" s="485"/>
      <c r="BA92" s="485"/>
      <c r="BB92" s="485"/>
      <c r="BC92" s="485"/>
      <c r="BD92" s="485"/>
      <c r="BE92" s="485"/>
      <c r="BF92" s="485"/>
      <c r="BG92" s="485"/>
      <c r="BH92" s="485"/>
      <c r="BI92" s="485"/>
      <c r="BJ92" s="485"/>
      <c r="BK92" s="485"/>
      <c r="BL92" s="485"/>
      <c r="BM92" s="485"/>
      <c r="BN92" s="485"/>
      <c r="BO92" s="485"/>
      <c r="BP92" s="485"/>
      <c r="BQ92" s="485"/>
      <c r="BR92" s="485"/>
      <c r="BS92" s="485"/>
      <c r="BT92" s="485"/>
      <c r="BU92" s="485"/>
      <c r="BV92" s="485"/>
      <c r="BW92" s="485"/>
      <c r="BX92" s="485"/>
      <c r="BY92" s="485"/>
      <c r="BZ92" s="485"/>
      <c r="CA92" s="485"/>
      <c r="CB92" s="485"/>
      <c r="CC92" s="485"/>
      <c r="CD92" s="485"/>
      <c r="CE92" s="485"/>
      <c r="CF92" s="485"/>
      <c r="CG92" s="485"/>
      <c r="CH92" s="485"/>
      <c r="CI92" s="485"/>
      <c r="CJ92" s="485"/>
      <c r="CK92" s="485"/>
      <c r="CL92" s="777"/>
      <c r="CM92" s="485"/>
      <c r="CN92" s="485"/>
      <c r="CO92" s="485"/>
      <c r="CP92" s="485"/>
      <c r="CQ92" s="485"/>
      <c r="CR92" s="485"/>
      <c r="CS92" s="485"/>
      <c r="CT92" s="485"/>
      <c r="CU92" s="485"/>
      <c r="CV92" s="485"/>
      <c r="CW92" s="485"/>
      <c r="CX92" s="485"/>
      <c r="CY92" s="485"/>
      <c r="CZ92" s="485"/>
      <c r="DA92" s="485"/>
      <c r="DB92" s="485"/>
      <c r="DC92" s="485"/>
      <c r="DD92" s="485"/>
      <c r="DE92" s="485"/>
      <c r="DF92" s="485"/>
      <c r="DG92" s="485"/>
      <c r="DH92" s="485"/>
      <c r="DI92" s="485"/>
      <c r="DJ92" s="485"/>
      <c r="DK92" s="485"/>
      <c r="DL92" s="485"/>
      <c r="DM92" s="485"/>
      <c r="DN92" s="485"/>
      <c r="DO92" s="485"/>
      <c r="DP92" s="485"/>
      <c r="DQ92" s="485"/>
      <c r="DR92" s="485"/>
      <c r="DS92" s="485"/>
      <c r="DT92" s="485"/>
      <c r="DU92" s="485"/>
      <c r="DV92" s="485"/>
      <c r="DW92" s="484"/>
      <c r="DX92" s="484"/>
      <c r="DY92" s="484"/>
      <c r="DZ92" s="484"/>
      <c r="EA92" s="484"/>
      <c r="EB92" s="484"/>
      <c r="EC92" s="484"/>
      <c r="ED92" s="484"/>
      <c r="EE92" s="484"/>
      <c r="EF92" s="484"/>
      <c r="EG92" s="484"/>
      <c r="EH92" s="484"/>
      <c r="EI92" s="484"/>
      <c r="EJ92" s="484"/>
      <c r="EK92" s="484"/>
      <c r="EL92" s="484"/>
      <c r="EM92" s="484"/>
      <c r="EN92" s="484"/>
      <c r="EO92" s="484"/>
      <c r="EP92" s="484"/>
      <c r="EQ92" s="484"/>
      <c r="ER92" s="484"/>
      <c r="ES92" s="484"/>
      <c r="ET92" s="484"/>
      <c r="EU92" s="484"/>
      <c r="EV92" s="484"/>
      <c r="EW92" s="484"/>
      <c r="EX92" s="484"/>
      <c r="EY92" s="484"/>
      <c r="EZ92" s="484"/>
      <c r="FA92" s="484"/>
      <c r="FB92" s="484"/>
      <c r="FC92" s="484"/>
      <c r="FD92" s="484"/>
      <c r="FE92" s="484"/>
      <c r="FF92" s="484"/>
      <c r="FG92" s="484"/>
      <c r="FH92" s="486"/>
      <c r="FI92" s="485"/>
      <c r="FJ92" s="485"/>
      <c r="FK92" s="485"/>
      <c r="FL92" s="485"/>
      <c r="FM92" s="485"/>
      <c r="FN92" s="485"/>
      <c r="FO92" s="485"/>
      <c r="FP92" s="485"/>
      <c r="FQ92" s="485"/>
      <c r="FR92" s="485"/>
      <c r="FS92" s="485"/>
      <c r="FT92" s="485"/>
      <c r="FU92" s="485"/>
      <c r="FV92" s="485"/>
      <c r="FW92" s="485"/>
      <c r="FX92" s="485"/>
      <c r="FY92" s="485"/>
      <c r="FZ92" s="485"/>
      <c r="GA92" s="485"/>
      <c r="GB92" s="485"/>
      <c r="GC92" s="485"/>
      <c r="GD92" s="485"/>
      <c r="GE92" s="485"/>
      <c r="GF92" s="485"/>
      <c r="GG92" s="485"/>
      <c r="GH92" s="485"/>
      <c r="GI92" s="485"/>
      <c r="GJ92" s="485"/>
      <c r="GK92" s="485"/>
      <c r="GL92" s="485"/>
      <c r="GM92" s="485"/>
      <c r="GN92" s="485"/>
      <c r="GO92" s="485"/>
      <c r="GP92" s="485"/>
      <c r="GQ92" s="485"/>
      <c r="GR92" s="485"/>
      <c r="GS92" s="485"/>
      <c r="GT92" s="485"/>
      <c r="GU92" s="485"/>
      <c r="GV92" s="485"/>
      <c r="GW92" s="485"/>
      <c r="GX92" s="485"/>
      <c r="GY92" s="485"/>
      <c r="GZ92" s="485"/>
      <c r="HA92" s="485"/>
      <c r="HB92" s="485"/>
      <c r="HC92" s="485"/>
      <c r="HD92" s="485"/>
      <c r="HE92" s="485"/>
      <c r="HF92" s="485"/>
      <c r="HG92" s="485"/>
      <c r="HH92" s="485"/>
      <c r="HI92" s="485"/>
      <c r="HJ92" s="485"/>
      <c r="HK92" s="485"/>
      <c r="HL92" s="485"/>
      <c r="HM92" s="485"/>
      <c r="HN92" s="485"/>
      <c r="HO92" s="485"/>
      <c r="HP92" s="485"/>
      <c r="HQ92" s="485"/>
      <c r="HR92" s="485"/>
      <c r="HS92" s="485"/>
      <c r="HT92" s="485"/>
      <c r="HU92" s="485"/>
      <c r="HV92" s="485"/>
      <c r="HW92" s="485"/>
      <c r="HX92" s="485"/>
      <c r="HY92" s="485"/>
      <c r="HZ92" s="485"/>
      <c r="IA92" s="485"/>
      <c r="IB92" s="485"/>
      <c r="IC92" s="485"/>
      <c r="ID92" s="485"/>
    </row>
    <row r="93" spans="1:238" s="40" customFormat="1" ht="18" x14ac:dyDescent="0.35">
      <c r="A93" s="288"/>
      <c r="B93" s="289">
        <f>IF(O93=1,SUM($O$41:O93),0)</f>
        <v>0</v>
      </c>
      <c r="C93" s="274">
        <v>47</v>
      </c>
      <c r="D93" s="290" t="s">
        <v>17</v>
      </c>
      <c r="E93" s="291">
        <v>20</v>
      </c>
      <c r="F93" s="292" t="s">
        <v>106</v>
      </c>
      <c r="G93" s="293"/>
      <c r="H93" s="294"/>
      <c r="I93" s="288">
        <f>SUMIFS($AU$14:$AU$38,$AS$14:$AS$38,E93,$U$14:$U$38,F93)/100</f>
        <v>0</v>
      </c>
      <c r="J93" s="295">
        <v>1</v>
      </c>
      <c r="K93" s="295"/>
      <c r="L93" s="295">
        <f>VLOOKUP(D93,'قائمة الأسعار'!D15:F103,3,0)</f>
        <v>1</v>
      </c>
      <c r="M93" s="296">
        <f>L93*J93*I93</f>
        <v>0</v>
      </c>
      <c r="N93" s="413"/>
      <c r="O93" s="288">
        <f t="shared" si="199"/>
        <v>0</v>
      </c>
      <c r="Q93" s="63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6"/>
      <c r="AH93" s="62"/>
      <c r="AI93" s="62"/>
      <c r="AJ93" s="66"/>
      <c r="AK93" s="62"/>
      <c r="AL93" s="62"/>
      <c r="AM93" s="485"/>
      <c r="AN93" s="485"/>
      <c r="AO93" s="485"/>
      <c r="AP93" s="485"/>
      <c r="AQ93" s="485"/>
      <c r="AR93" s="485"/>
      <c r="AS93" s="485"/>
      <c r="AT93" s="485"/>
      <c r="AU93" s="485"/>
      <c r="AV93" s="485"/>
      <c r="AW93" s="485"/>
      <c r="AX93" s="485"/>
      <c r="AY93" s="485"/>
      <c r="AZ93" s="485"/>
      <c r="BA93" s="485"/>
      <c r="BB93" s="485"/>
      <c r="BC93" s="485"/>
      <c r="BD93" s="485"/>
      <c r="BE93" s="485"/>
      <c r="BF93" s="485"/>
      <c r="BG93" s="485"/>
      <c r="BH93" s="485"/>
      <c r="BI93" s="485"/>
      <c r="BJ93" s="485"/>
      <c r="BK93" s="485"/>
      <c r="BL93" s="485"/>
      <c r="BM93" s="485"/>
      <c r="BN93" s="485"/>
      <c r="BO93" s="485"/>
      <c r="BP93" s="485"/>
      <c r="BQ93" s="485"/>
      <c r="BR93" s="485"/>
      <c r="BS93" s="485"/>
      <c r="BT93" s="485"/>
      <c r="BU93" s="485"/>
      <c r="BV93" s="485"/>
      <c r="BW93" s="485"/>
      <c r="BX93" s="485"/>
      <c r="BY93" s="485"/>
      <c r="BZ93" s="485"/>
      <c r="CA93" s="485"/>
      <c r="CB93" s="485"/>
      <c r="CC93" s="485"/>
      <c r="CD93" s="485"/>
      <c r="CE93" s="485"/>
      <c r="CF93" s="485"/>
      <c r="CG93" s="485"/>
      <c r="CH93" s="485"/>
      <c r="CI93" s="485"/>
      <c r="CJ93" s="485"/>
      <c r="CK93" s="485"/>
      <c r="CL93" s="777"/>
      <c r="CM93" s="485"/>
      <c r="CN93" s="485"/>
      <c r="CO93" s="485"/>
      <c r="CP93" s="485"/>
      <c r="CQ93" s="485"/>
      <c r="CR93" s="485"/>
      <c r="CS93" s="485"/>
      <c r="CT93" s="485"/>
      <c r="CU93" s="485"/>
      <c r="CV93" s="485"/>
      <c r="CW93" s="485"/>
      <c r="CX93" s="485"/>
      <c r="CY93" s="485"/>
      <c r="CZ93" s="485"/>
      <c r="DA93" s="485"/>
      <c r="DB93" s="485"/>
      <c r="DC93" s="485"/>
      <c r="DD93" s="485"/>
      <c r="DE93" s="485"/>
      <c r="DF93" s="485"/>
      <c r="DG93" s="485"/>
      <c r="DH93" s="485"/>
      <c r="DI93" s="485"/>
      <c r="DJ93" s="485"/>
      <c r="DK93" s="485"/>
      <c r="DL93" s="485"/>
      <c r="DM93" s="485"/>
      <c r="DN93" s="485"/>
      <c r="DO93" s="485"/>
      <c r="DP93" s="485"/>
      <c r="DQ93" s="485"/>
      <c r="DR93" s="485"/>
      <c r="DS93" s="485"/>
      <c r="DT93" s="485"/>
      <c r="DU93" s="485"/>
      <c r="DV93" s="485"/>
      <c r="DW93" s="484"/>
      <c r="DX93" s="484"/>
      <c r="DY93" s="484"/>
      <c r="DZ93" s="484"/>
      <c r="EA93" s="484"/>
      <c r="EB93" s="484"/>
      <c r="EC93" s="484"/>
      <c r="ED93" s="484"/>
      <c r="EE93" s="484"/>
      <c r="EF93" s="484"/>
      <c r="EG93" s="484"/>
      <c r="EH93" s="484"/>
      <c r="EI93" s="484"/>
      <c r="EJ93" s="484"/>
      <c r="EK93" s="484"/>
      <c r="EL93" s="484"/>
      <c r="EM93" s="484"/>
      <c r="EN93" s="484"/>
      <c r="EO93" s="484"/>
      <c r="EP93" s="484"/>
      <c r="EQ93" s="484"/>
      <c r="ER93" s="484"/>
      <c r="ES93" s="484"/>
      <c r="ET93" s="484"/>
      <c r="EU93" s="484"/>
      <c r="EV93" s="484"/>
      <c r="EW93" s="484"/>
      <c r="EX93" s="484"/>
      <c r="EY93" s="484"/>
      <c r="EZ93" s="484"/>
      <c r="FA93" s="484"/>
      <c r="FB93" s="484"/>
      <c r="FC93" s="484"/>
      <c r="FD93" s="484"/>
      <c r="FE93" s="484"/>
      <c r="FF93" s="484"/>
      <c r="FG93" s="484"/>
      <c r="FH93" s="486"/>
      <c r="FI93" s="485"/>
      <c r="FJ93" s="485"/>
      <c r="FK93" s="485"/>
      <c r="FL93" s="485"/>
      <c r="FM93" s="485"/>
      <c r="FN93" s="485"/>
      <c r="FO93" s="485"/>
      <c r="FP93" s="485"/>
      <c r="FQ93" s="485"/>
      <c r="FR93" s="485"/>
      <c r="FS93" s="485"/>
      <c r="FT93" s="485"/>
      <c r="FU93" s="485"/>
      <c r="FV93" s="485"/>
      <c r="FW93" s="485"/>
      <c r="FX93" s="485"/>
      <c r="FY93" s="485"/>
      <c r="FZ93" s="485"/>
      <c r="GA93" s="485"/>
      <c r="GB93" s="485"/>
      <c r="GC93" s="485"/>
      <c r="GD93" s="485"/>
      <c r="GE93" s="485"/>
      <c r="GF93" s="485"/>
      <c r="GG93" s="485"/>
      <c r="GH93" s="485"/>
      <c r="GI93" s="485"/>
      <c r="GJ93" s="485"/>
      <c r="GK93" s="485"/>
      <c r="GL93" s="485"/>
      <c r="GM93" s="485"/>
      <c r="GN93" s="485"/>
      <c r="GO93" s="485"/>
      <c r="GP93" s="485"/>
      <c r="GQ93" s="485"/>
      <c r="GR93" s="485"/>
      <c r="GS93" s="485"/>
      <c r="GT93" s="485"/>
      <c r="GU93" s="485"/>
      <c r="GV93" s="485"/>
      <c r="GW93" s="485"/>
      <c r="GX93" s="485"/>
      <c r="GY93" s="485"/>
      <c r="GZ93" s="485"/>
      <c r="HA93" s="485"/>
      <c r="HB93" s="485"/>
      <c r="HC93" s="485"/>
      <c r="HD93" s="485"/>
      <c r="HE93" s="485"/>
      <c r="HF93" s="485"/>
      <c r="HG93" s="485"/>
      <c r="HH93" s="485"/>
      <c r="HI93" s="485"/>
      <c r="HJ93" s="485"/>
      <c r="HK93" s="485"/>
      <c r="HL93" s="485"/>
      <c r="HM93" s="485"/>
      <c r="HN93" s="485"/>
      <c r="HO93" s="485"/>
      <c r="HP93" s="485"/>
      <c r="HQ93" s="485"/>
      <c r="HR93" s="485"/>
      <c r="HS93" s="485"/>
      <c r="HT93" s="485"/>
      <c r="HU93" s="485"/>
      <c r="HV93" s="485"/>
      <c r="HW93" s="485"/>
      <c r="HX93" s="485"/>
      <c r="HY93" s="485"/>
      <c r="HZ93" s="485"/>
      <c r="IA93" s="485"/>
      <c r="IB93" s="485"/>
      <c r="IC93" s="485"/>
      <c r="ID93" s="485"/>
    </row>
    <row r="94" spans="1:238" s="40" customFormat="1" ht="18" x14ac:dyDescent="0.35">
      <c r="A94" s="288"/>
      <c r="B94" s="289">
        <f>IF(O94=1,SUM($O$41:O94),0)</f>
        <v>0</v>
      </c>
      <c r="C94" s="274">
        <v>48</v>
      </c>
      <c r="D94" s="290" t="s">
        <v>18</v>
      </c>
      <c r="E94" s="291">
        <v>20</v>
      </c>
      <c r="F94" s="292" t="s">
        <v>106</v>
      </c>
      <c r="G94" s="293"/>
      <c r="H94" s="294"/>
      <c r="I94" s="298" t="s">
        <v>20</v>
      </c>
      <c r="J94" s="288">
        <f>SUMIFS($HV$14:$HV$38,$AS$14:$AS$38,E94,$U$14:$U$38,F94)</f>
        <v>0</v>
      </c>
      <c r="K94" s="288"/>
      <c r="L94" s="295">
        <f>VLOOKUP(D94,'قائمة الأسعار'!D15:F103,3,0)</f>
        <v>1</v>
      </c>
      <c r="M94" s="296">
        <f>L94*J94</f>
        <v>0</v>
      </c>
      <c r="N94" s="413"/>
      <c r="O94" s="288">
        <f t="shared" si="199"/>
        <v>0</v>
      </c>
      <c r="Q94" s="63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188"/>
      <c r="AH94" s="95"/>
      <c r="AI94" s="95"/>
      <c r="AJ94" s="63"/>
      <c r="AM94" s="485"/>
      <c r="AN94" s="485"/>
      <c r="AO94" s="485"/>
      <c r="AP94" s="485"/>
      <c r="AQ94" s="485"/>
      <c r="AR94" s="485"/>
      <c r="AS94" s="485"/>
      <c r="AT94" s="485"/>
      <c r="AU94" s="485"/>
      <c r="AV94" s="485"/>
      <c r="AW94" s="485"/>
      <c r="AX94" s="485"/>
      <c r="AY94" s="485"/>
      <c r="AZ94" s="485"/>
      <c r="BA94" s="485"/>
      <c r="BB94" s="485"/>
      <c r="BC94" s="485"/>
      <c r="BD94" s="485"/>
      <c r="BE94" s="485"/>
      <c r="BF94" s="485"/>
      <c r="BG94" s="485"/>
      <c r="BH94" s="485"/>
      <c r="BI94" s="485"/>
      <c r="BJ94" s="485"/>
      <c r="BK94" s="485"/>
      <c r="BL94" s="485"/>
      <c r="BM94" s="485"/>
      <c r="BN94" s="485"/>
      <c r="BO94" s="485"/>
      <c r="BP94" s="485"/>
      <c r="BQ94" s="485"/>
      <c r="BR94" s="485"/>
      <c r="BS94" s="485"/>
      <c r="BT94" s="485"/>
      <c r="BU94" s="485"/>
      <c r="BV94" s="485"/>
      <c r="BW94" s="485"/>
      <c r="BX94" s="485"/>
      <c r="BY94" s="485"/>
      <c r="BZ94" s="485"/>
      <c r="CA94" s="485"/>
      <c r="CB94" s="485"/>
      <c r="CC94" s="485"/>
      <c r="CD94" s="485"/>
      <c r="CE94" s="485"/>
      <c r="CF94" s="485"/>
      <c r="CG94" s="485"/>
      <c r="CH94" s="485"/>
      <c r="CI94" s="485"/>
      <c r="CJ94" s="485"/>
      <c r="CK94" s="485"/>
      <c r="CL94" s="777"/>
      <c r="CM94" s="485"/>
      <c r="CN94" s="485"/>
      <c r="CO94" s="485"/>
      <c r="CP94" s="485"/>
      <c r="CQ94" s="485"/>
      <c r="CR94" s="485"/>
      <c r="CS94" s="485"/>
      <c r="CT94" s="485"/>
      <c r="CU94" s="485"/>
      <c r="CV94" s="485"/>
      <c r="CW94" s="485"/>
      <c r="CX94" s="485"/>
      <c r="CY94" s="485"/>
      <c r="CZ94" s="485"/>
      <c r="DA94" s="485"/>
      <c r="DB94" s="485"/>
      <c r="DC94" s="485"/>
      <c r="DD94" s="485"/>
      <c r="DE94" s="485"/>
      <c r="DF94" s="485"/>
      <c r="DG94" s="485"/>
      <c r="DH94" s="485"/>
      <c r="DI94" s="485"/>
      <c r="DJ94" s="485"/>
      <c r="DK94" s="485"/>
      <c r="DL94" s="485"/>
      <c r="DM94" s="485"/>
      <c r="DN94" s="485"/>
      <c r="DO94" s="485"/>
      <c r="DP94" s="485"/>
      <c r="DQ94" s="485"/>
      <c r="DR94" s="485"/>
      <c r="DS94" s="485"/>
      <c r="DT94" s="485"/>
      <c r="DU94" s="485"/>
      <c r="DV94" s="485"/>
      <c r="DW94" s="484"/>
      <c r="DX94" s="484"/>
      <c r="DY94" s="484"/>
      <c r="DZ94" s="484"/>
      <c r="EA94" s="484"/>
      <c r="EB94" s="484"/>
      <c r="EC94" s="484"/>
      <c r="ED94" s="484"/>
      <c r="EE94" s="484"/>
      <c r="EF94" s="484"/>
      <c r="EG94" s="484"/>
      <c r="EH94" s="484"/>
      <c r="EI94" s="484"/>
      <c r="EJ94" s="484"/>
      <c r="EK94" s="484"/>
      <c r="EL94" s="484"/>
      <c r="EM94" s="484"/>
      <c r="EN94" s="484"/>
      <c r="EO94" s="484"/>
      <c r="EP94" s="484"/>
      <c r="EQ94" s="484"/>
      <c r="ER94" s="484"/>
      <c r="ES94" s="484"/>
      <c r="ET94" s="484"/>
      <c r="EU94" s="484"/>
      <c r="EV94" s="484"/>
      <c r="EW94" s="484"/>
      <c r="EX94" s="484"/>
      <c r="EY94" s="484"/>
      <c r="EZ94" s="484"/>
      <c r="FA94" s="484"/>
      <c r="FB94" s="484"/>
      <c r="FC94" s="484"/>
      <c r="FD94" s="484"/>
      <c r="FE94" s="484"/>
      <c r="FF94" s="484"/>
      <c r="FG94" s="484"/>
      <c r="FH94" s="486"/>
      <c r="FI94" s="485"/>
      <c r="FJ94" s="485"/>
      <c r="FK94" s="485"/>
      <c r="FL94" s="485"/>
      <c r="FM94" s="485"/>
      <c r="FN94" s="485"/>
      <c r="FO94" s="485"/>
      <c r="FP94" s="485"/>
      <c r="FQ94" s="485"/>
      <c r="FR94" s="485"/>
      <c r="FS94" s="485"/>
      <c r="FT94" s="485"/>
      <c r="FU94" s="485"/>
      <c r="FV94" s="485"/>
      <c r="FW94" s="485"/>
      <c r="FX94" s="485"/>
      <c r="FY94" s="485"/>
      <c r="FZ94" s="485"/>
      <c r="GA94" s="485"/>
      <c r="GB94" s="485"/>
      <c r="GC94" s="485"/>
      <c r="GD94" s="485"/>
      <c r="GE94" s="485"/>
      <c r="GF94" s="485"/>
      <c r="GG94" s="485"/>
      <c r="GH94" s="485"/>
      <c r="GI94" s="485"/>
      <c r="GJ94" s="485"/>
      <c r="GK94" s="485"/>
      <c r="GL94" s="485"/>
      <c r="GM94" s="485"/>
      <c r="GN94" s="485"/>
      <c r="GO94" s="485"/>
      <c r="GP94" s="485"/>
      <c r="GQ94" s="485"/>
      <c r="GR94" s="485"/>
      <c r="GS94" s="485"/>
      <c r="GT94" s="485"/>
      <c r="GU94" s="485"/>
      <c r="GV94" s="485"/>
      <c r="GW94" s="485"/>
      <c r="GX94" s="485"/>
      <c r="GY94" s="485"/>
      <c r="GZ94" s="485"/>
      <c r="HA94" s="485"/>
      <c r="HB94" s="485"/>
      <c r="HC94" s="485"/>
      <c r="HD94" s="485"/>
      <c r="HE94" s="485"/>
      <c r="HF94" s="485"/>
      <c r="HG94" s="485"/>
      <c r="HH94" s="485"/>
      <c r="HI94" s="485"/>
      <c r="HJ94" s="485"/>
      <c r="HK94" s="485"/>
      <c r="HL94" s="485"/>
      <c r="HM94" s="485"/>
      <c r="HN94" s="485"/>
      <c r="HO94" s="485"/>
      <c r="HP94" s="485"/>
      <c r="HQ94" s="485"/>
      <c r="HR94" s="485"/>
      <c r="HS94" s="485"/>
      <c r="HT94" s="485"/>
      <c r="HU94" s="485"/>
      <c r="HV94" s="485"/>
      <c r="HW94" s="485"/>
      <c r="HX94" s="485"/>
      <c r="HY94" s="485"/>
      <c r="HZ94" s="485"/>
      <c r="IA94" s="485"/>
      <c r="IB94" s="485"/>
      <c r="IC94" s="485"/>
      <c r="ID94" s="485"/>
    </row>
    <row r="95" spans="1:238" s="40" customFormat="1" ht="18" x14ac:dyDescent="0.35">
      <c r="A95" s="288"/>
      <c r="B95" s="289">
        <f>IF(O95=1,SUM($O$41:O95),0)</f>
        <v>0</v>
      </c>
      <c r="C95" s="274">
        <v>49</v>
      </c>
      <c r="D95" s="290" t="s">
        <v>17</v>
      </c>
      <c r="E95" s="291">
        <v>20</v>
      </c>
      <c r="F95" s="292" t="s">
        <v>105</v>
      </c>
      <c r="G95" s="293"/>
      <c r="H95" s="294"/>
      <c r="I95" s="288">
        <f>SUMIFS($AU$14:$AU$38,$AS$14:$AS$38,E95,$U$14:$U$38,F95)/100</f>
        <v>0</v>
      </c>
      <c r="J95" s="295">
        <v>1</v>
      </c>
      <c r="K95" s="295"/>
      <c r="L95" s="295">
        <f>VLOOKUP(D95,'قائمة الأسعار'!D17:F105,3,0)</f>
        <v>1</v>
      </c>
      <c r="M95" s="296">
        <f>L95*J95*I95</f>
        <v>0</v>
      </c>
      <c r="N95" s="413"/>
      <c r="O95" s="288">
        <f t="shared" si="199"/>
        <v>0</v>
      </c>
      <c r="Q95" s="63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6"/>
      <c r="AH95" s="62"/>
      <c r="AI95" s="62"/>
      <c r="AJ95" s="66"/>
      <c r="AK95" s="62"/>
      <c r="AL95" s="62"/>
      <c r="AM95" s="485"/>
      <c r="AN95" s="485"/>
      <c r="AO95" s="485"/>
      <c r="AP95" s="485"/>
      <c r="AQ95" s="485"/>
      <c r="AR95" s="485"/>
      <c r="AS95" s="485"/>
      <c r="AT95" s="485"/>
      <c r="AU95" s="485"/>
      <c r="AV95" s="485"/>
      <c r="AW95" s="485"/>
      <c r="AX95" s="485"/>
      <c r="AY95" s="485"/>
      <c r="AZ95" s="485"/>
      <c r="BA95" s="485"/>
      <c r="BB95" s="485"/>
      <c r="BC95" s="485"/>
      <c r="BD95" s="485"/>
      <c r="BE95" s="485"/>
      <c r="BF95" s="485"/>
      <c r="BG95" s="485"/>
      <c r="BH95" s="485"/>
      <c r="BI95" s="485"/>
      <c r="BJ95" s="485"/>
      <c r="BK95" s="485"/>
      <c r="BL95" s="485"/>
      <c r="BM95" s="485"/>
      <c r="BN95" s="485"/>
      <c r="BO95" s="485"/>
      <c r="BP95" s="485"/>
      <c r="BQ95" s="485"/>
      <c r="BR95" s="485"/>
      <c r="BS95" s="485"/>
      <c r="BT95" s="485"/>
      <c r="BU95" s="485"/>
      <c r="BV95" s="485"/>
      <c r="BW95" s="485"/>
      <c r="BX95" s="485"/>
      <c r="BY95" s="485"/>
      <c r="BZ95" s="485"/>
      <c r="CA95" s="485"/>
      <c r="CB95" s="485"/>
      <c r="CC95" s="485"/>
      <c r="CD95" s="485"/>
      <c r="CE95" s="485"/>
      <c r="CF95" s="485"/>
      <c r="CG95" s="485"/>
      <c r="CH95" s="485"/>
      <c r="CI95" s="485"/>
      <c r="CJ95" s="485"/>
      <c r="CK95" s="485"/>
      <c r="CL95" s="777"/>
      <c r="CM95" s="485"/>
      <c r="CN95" s="485"/>
      <c r="CO95" s="485"/>
      <c r="CP95" s="485"/>
      <c r="CQ95" s="485"/>
      <c r="CR95" s="485"/>
      <c r="CS95" s="485"/>
      <c r="CT95" s="485"/>
      <c r="CU95" s="485"/>
      <c r="CV95" s="485"/>
      <c r="CW95" s="485"/>
      <c r="CX95" s="485"/>
      <c r="CY95" s="485"/>
      <c r="CZ95" s="485"/>
      <c r="DA95" s="485"/>
      <c r="DB95" s="485"/>
      <c r="DC95" s="485"/>
      <c r="DD95" s="485"/>
      <c r="DE95" s="485"/>
      <c r="DF95" s="485"/>
      <c r="DG95" s="485"/>
      <c r="DH95" s="485"/>
      <c r="DI95" s="485"/>
      <c r="DJ95" s="485"/>
      <c r="DK95" s="485"/>
      <c r="DL95" s="485"/>
      <c r="DM95" s="485"/>
      <c r="DN95" s="485"/>
      <c r="DO95" s="485"/>
      <c r="DP95" s="485"/>
      <c r="DQ95" s="485"/>
      <c r="DR95" s="485"/>
      <c r="DS95" s="485"/>
      <c r="DT95" s="485"/>
      <c r="DU95" s="485"/>
      <c r="DV95" s="485"/>
      <c r="DW95" s="484"/>
      <c r="DX95" s="484"/>
      <c r="DY95" s="484"/>
      <c r="DZ95" s="484"/>
      <c r="EA95" s="484"/>
      <c r="EB95" s="484"/>
      <c r="EC95" s="484"/>
      <c r="ED95" s="484"/>
      <c r="EE95" s="484"/>
      <c r="EF95" s="484"/>
      <c r="EG95" s="484"/>
      <c r="EH95" s="484"/>
      <c r="EI95" s="484"/>
      <c r="EJ95" s="484"/>
      <c r="EK95" s="484"/>
      <c r="EL95" s="484"/>
      <c r="EM95" s="484"/>
      <c r="EN95" s="484"/>
      <c r="EO95" s="484"/>
      <c r="EP95" s="484"/>
      <c r="EQ95" s="484"/>
      <c r="ER95" s="484"/>
      <c r="ES95" s="484"/>
      <c r="ET95" s="484"/>
      <c r="EU95" s="484"/>
      <c r="EV95" s="484"/>
      <c r="EW95" s="484"/>
      <c r="EX95" s="484"/>
      <c r="EY95" s="484"/>
      <c r="EZ95" s="484"/>
      <c r="FA95" s="484"/>
      <c r="FB95" s="484"/>
      <c r="FC95" s="484"/>
      <c r="FD95" s="484"/>
      <c r="FE95" s="484"/>
      <c r="FF95" s="484"/>
      <c r="FG95" s="484"/>
      <c r="FH95" s="486"/>
      <c r="FI95" s="485"/>
      <c r="FJ95" s="485"/>
      <c r="FK95" s="485"/>
      <c r="FL95" s="485"/>
      <c r="FM95" s="485"/>
      <c r="FN95" s="485"/>
      <c r="FO95" s="485"/>
      <c r="FP95" s="485"/>
      <c r="FQ95" s="485"/>
      <c r="FR95" s="485"/>
      <c r="FS95" s="485"/>
      <c r="FT95" s="485"/>
      <c r="FU95" s="485"/>
      <c r="FV95" s="485"/>
      <c r="FW95" s="485"/>
      <c r="FX95" s="485"/>
      <c r="FY95" s="485"/>
      <c r="FZ95" s="485"/>
      <c r="GA95" s="485"/>
      <c r="GB95" s="485"/>
      <c r="GC95" s="485"/>
      <c r="GD95" s="485"/>
      <c r="GE95" s="485"/>
      <c r="GF95" s="485"/>
      <c r="GG95" s="485"/>
      <c r="GH95" s="485"/>
      <c r="GI95" s="485"/>
      <c r="GJ95" s="485"/>
      <c r="GK95" s="485"/>
      <c r="GL95" s="485"/>
      <c r="GM95" s="485"/>
      <c r="GN95" s="485"/>
      <c r="GO95" s="485"/>
      <c r="GP95" s="485"/>
      <c r="GQ95" s="485"/>
      <c r="GR95" s="485"/>
      <c r="GS95" s="485"/>
      <c r="GT95" s="485"/>
      <c r="GU95" s="485"/>
      <c r="GV95" s="485"/>
      <c r="GW95" s="485"/>
      <c r="GX95" s="485"/>
      <c r="GY95" s="485"/>
      <c r="GZ95" s="485"/>
      <c r="HA95" s="485"/>
      <c r="HB95" s="485"/>
      <c r="HC95" s="485"/>
      <c r="HD95" s="485"/>
      <c r="HE95" s="485"/>
      <c r="HF95" s="485"/>
      <c r="HG95" s="485"/>
      <c r="HH95" s="485"/>
      <c r="HI95" s="485"/>
      <c r="HJ95" s="485"/>
      <c r="HK95" s="485"/>
      <c r="HL95" s="485"/>
      <c r="HM95" s="485"/>
      <c r="HN95" s="485"/>
      <c r="HO95" s="485"/>
      <c r="HP95" s="485"/>
      <c r="HQ95" s="485"/>
      <c r="HR95" s="485"/>
      <c r="HS95" s="485"/>
      <c r="HT95" s="485"/>
      <c r="HU95" s="485"/>
      <c r="HV95" s="485"/>
      <c r="HW95" s="485"/>
      <c r="HX95" s="485"/>
      <c r="HY95" s="485"/>
      <c r="HZ95" s="485"/>
      <c r="IA95" s="485"/>
      <c r="IB95" s="485"/>
      <c r="IC95" s="485"/>
      <c r="ID95" s="485"/>
    </row>
    <row r="96" spans="1:238" s="40" customFormat="1" ht="18" x14ac:dyDescent="0.35">
      <c r="A96" s="288"/>
      <c r="B96" s="289">
        <f>IF(O96=1,SUM($O$41:O96),0)</f>
        <v>0</v>
      </c>
      <c r="C96" s="274">
        <v>50</v>
      </c>
      <c r="D96" s="290" t="s">
        <v>18</v>
      </c>
      <c r="E96" s="291">
        <v>20</v>
      </c>
      <c r="F96" s="292" t="s">
        <v>105</v>
      </c>
      <c r="G96" s="293"/>
      <c r="H96" s="294"/>
      <c r="I96" s="298" t="s">
        <v>20</v>
      </c>
      <c r="J96" s="288">
        <f>SUMIFS($HV$14:$HV$38,$AS$14:$AS$38,E96,$U$14:$U$38,F96)</f>
        <v>0</v>
      </c>
      <c r="K96" s="288"/>
      <c r="L96" s="295">
        <f>VLOOKUP(D96,'قائمة الأسعار'!D17:F105,3,0)</f>
        <v>1</v>
      </c>
      <c r="M96" s="296">
        <f>L96*J96</f>
        <v>0</v>
      </c>
      <c r="N96" s="413"/>
      <c r="O96" s="288">
        <f t="shared" si="199"/>
        <v>0</v>
      </c>
      <c r="Q96" s="63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188"/>
      <c r="AH96" s="95"/>
      <c r="AI96" s="95"/>
      <c r="AJ96" s="63"/>
      <c r="AM96" s="485"/>
      <c r="AN96" s="485"/>
      <c r="AO96" s="485"/>
      <c r="AP96" s="485"/>
      <c r="AQ96" s="485"/>
      <c r="AR96" s="485"/>
      <c r="AS96" s="485"/>
      <c r="AT96" s="485"/>
      <c r="AU96" s="485"/>
      <c r="AV96" s="485"/>
      <c r="AW96" s="485"/>
      <c r="AX96" s="485"/>
      <c r="AY96" s="485"/>
      <c r="AZ96" s="485"/>
      <c r="BA96" s="485"/>
      <c r="BB96" s="485"/>
      <c r="BC96" s="485"/>
      <c r="BD96" s="485"/>
      <c r="BE96" s="485"/>
      <c r="BF96" s="485"/>
      <c r="BG96" s="485"/>
      <c r="BH96" s="485"/>
      <c r="BI96" s="485"/>
      <c r="BJ96" s="485"/>
      <c r="BK96" s="485"/>
      <c r="BL96" s="485"/>
      <c r="BM96" s="485"/>
      <c r="BN96" s="485"/>
      <c r="BO96" s="485"/>
      <c r="BP96" s="485"/>
      <c r="BQ96" s="485"/>
      <c r="BR96" s="485"/>
      <c r="BS96" s="485"/>
      <c r="BT96" s="485"/>
      <c r="BU96" s="485"/>
      <c r="BV96" s="485"/>
      <c r="BW96" s="485"/>
      <c r="BX96" s="485"/>
      <c r="BY96" s="485"/>
      <c r="BZ96" s="485"/>
      <c r="CA96" s="485"/>
      <c r="CB96" s="485"/>
      <c r="CC96" s="485"/>
      <c r="CD96" s="485"/>
      <c r="CE96" s="485"/>
      <c r="CF96" s="485"/>
      <c r="CG96" s="485"/>
      <c r="CH96" s="485"/>
      <c r="CI96" s="485"/>
      <c r="CJ96" s="485"/>
      <c r="CK96" s="485"/>
      <c r="CL96" s="777"/>
      <c r="CM96" s="485"/>
      <c r="CN96" s="485"/>
      <c r="CO96" s="485"/>
      <c r="CP96" s="485"/>
      <c r="CQ96" s="485"/>
      <c r="CR96" s="485"/>
      <c r="CS96" s="485"/>
      <c r="CT96" s="485"/>
      <c r="CU96" s="485"/>
      <c r="CV96" s="485"/>
      <c r="CW96" s="485"/>
      <c r="CX96" s="485"/>
      <c r="CY96" s="485"/>
      <c r="CZ96" s="485"/>
      <c r="DA96" s="485"/>
      <c r="DB96" s="485"/>
      <c r="DC96" s="485"/>
      <c r="DD96" s="485"/>
      <c r="DE96" s="485"/>
      <c r="DF96" s="485"/>
      <c r="DG96" s="485"/>
      <c r="DH96" s="485"/>
      <c r="DI96" s="485"/>
      <c r="DJ96" s="485"/>
      <c r="DK96" s="485"/>
      <c r="DL96" s="485"/>
      <c r="DM96" s="485"/>
      <c r="DN96" s="485"/>
      <c r="DO96" s="485"/>
      <c r="DP96" s="485"/>
      <c r="DQ96" s="485"/>
      <c r="DR96" s="485"/>
      <c r="DS96" s="485"/>
      <c r="DT96" s="485"/>
      <c r="DU96" s="485"/>
      <c r="DV96" s="485"/>
      <c r="DW96" s="484"/>
      <c r="DX96" s="484"/>
      <c r="DY96" s="484"/>
      <c r="DZ96" s="484"/>
      <c r="EA96" s="484"/>
      <c r="EB96" s="484"/>
      <c r="EC96" s="484"/>
      <c r="ED96" s="484"/>
      <c r="EE96" s="484"/>
      <c r="EF96" s="484"/>
      <c r="EG96" s="484"/>
      <c r="EH96" s="484"/>
      <c r="EI96" s="484"/>
      <c r="EJ96" s="484"/>
      <c r="EK96" s="484"/>
      <c r="EL96" s="484"/>
      <c r="EM96" s="484"/>
      <c r="EN96" s="484"/>
      <c r="EO96" s="484"/>
      <c r="EP96" s="484"/>
      <c r="EQ96" s="484"/>
      <c r="ER96" s="484"/>
      <c r="ES96" s="484"/>
      <c r="ET96" s="484"/>
      <c r="EU96" s="484"/>
      <c r="EV96" s="484"/>
      <c r="EW96" s="484"/>
      <c r="EX96" s="484"/>
      <c r="EY96" s="484"/>
      <c r="EZ96" s="484"/>
      <c r="FA96" s="484"/>
      <c r="FB96" s="484"/>
      <c r="FC96" s="484"/>
      <c r="FD96" s="484"/>
      <c r="FE96" s="484"/>
      <c r="FF96" s="484"/>
      <c r="FG96" s="484"/>
      <c r="FH96" s="486"/>
      <c r="FI96" s="485"/>
      <c r="FJ96" s="485"/>
      <c r="FK96" s="485"/>
      <c r="FL96" s="485"/>
      <c r="FM96" s="485"/>
      <c r="FN96" s="485"/>
      <c r="FO96" s="485"/>
      <c r="FP96" s="485"/>
      <c r="FQ96" s="485"/>
      <c r="FR96" s="485"/>
      <c r="FS96" s="485"/>
      <c r="FT96" s="485"/>
      <c r="FU96" s="485"/>
      <c r="FV96" s="485"/>
      <c r="FW96" s="485"/>
      <c r="FX96" s="485"/>
      <c r="FY96" s="485"/>
      <c r="FZ96" s="485"/>
      <c r="GA96" s="485"/>
      <c r="GB96" s="485"/>
      <c r="GC96" s="485"/>
      <c r="GD96" s="485"/>
      <c r="GE96" s="485"/>
      <c r="GF96" s="485"/>
      <c r="GG96" s="485"/>
      <c r="GH96" s="485"/>
      <c r="GI96" s="485"/>
      <c r="GJ96" s="485"/>
      <c r="GK96" s="485"/>
      <c r="GL96" s="485"/>
      <c r="GM96" s="485"/>
      <c r="GN96" s="485"/>
      <c r="GO96" s="485"/>
      <c r="GP96" s="485"/>
      <c r="GQ96" s="485"/>
      <c r="GR96" s="485"/>
      <c r="GS96" s="485"/>
      <c r="GT96" s="485"/>
      <c r="GU96" s="485"/>
      <c r="GV96" s="485"/>
      <c r="GW96" s="485"/>
      <c r="GX96" s="485"/>
      <c r="GY96" s="485"/>
      <c r="GZ96" s="485"/>
      <c r="HA96" s="485"/>
      <c r="HB96" s="485"/>
      <c r="HC96" s="485"/>
      <c r="HD96" s="485"/>
      <c r="HE96" s="485"/>
      <c r="HF96" s="485"/>
      <c r="HG96" s="485"/>
      <c r="HH96" s="485"/>
      <c r="HI96" s="485"/>
      <c r="HJ96" s="485"/>
      <c r="HK96" s="485"/>
      <c r="HL96" s="485"/>
      <c r="HM96" s="485"/>
      <c r="HN96" s="485"/>
      <c r="HO96" s="485"/>
      <c r="HP96" s="485"/>
      <c r="HQ96" s="485"/>
      <c r="HR96" s="485"/>
      <c r="HS96" s="485"/>
      <c r="HT96" s="485"/>
      <c r="HU96" s="485"/>
      <c r="HV96" s="485"/>
      <c r="HW96" s="485"/>
      <c r="HX96" s="485"/>
      <c r="HY96" s="485"/>
      <c r="HZ96" s="485"/>
      <c r="IA96" s="485"/>
      <c r="IB96" s="485"/>
      <c r="IC96" s="485"/>
      <c r="ID96" s="485"/>
    </row>
    <row r="97" spans="1:238" s="40" customFormat="1" ht="18" x14ac:dyDescent="0.35">
      <c r="A97" s="288"/>
      <c r="B97" s="289">
        <f>IF(O97=1,SUM($O$41:O97),0)</f>
        <v>0</v>
      </c>
      <c r="C97" s="274">
        <v>51</v>
      </c>
      <c r="D97" s="290" t="s">
        <v>17</v>
      </c>
      <c r="E97" s="291">
        <v>20</v>
      </c>
      <c r="F97" s="292" t="s">
        <v>107</v>
      </c>
      <c r="G97" s="293"/>
      <c r="H97" s="294"/>
      <c r="I97" s="288">
        <f>SUMIFS($AU$14:$AU$38,$AS$14:$AS$38,E97,$U$14:$U$38,F97)/100</f>
        <v>0</v>
      </c>
      <c r="J97" s="295">
        <v>1</v>
      </c>
      <c r="K97" s="295"/>
      <c r="L97" s="295">
        <f>VLOOKUP(D97,'قائمة الأسعار'!D17:F105,3,0)</f>
        <v>1</v>
      </c>
      <c r="M97" s="296">
        <f>L97*J97*I97</f>
        <v>0</v>
      </c>
      <c r="N97" s="413"/>
      <c r="O97" s="288">
        <f t="shared" si="199"/>
        <v>0</v>
      </c>
      <c r="Q97" s="63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6"/>
      <c r="AH97" s="62"/>
      <c r="AI97" s="62"/>
      <c r="AJ97" s="66"/>
      <c r="AK97" s="62"/>
      <c r="AL97" s="62"/>
      <c r="AM97" s="485"/>
      <c r="AN97" s="485"/>
      <c r="AO97" s="485"/>
      <c r="AP97" s="485"/>
      <c r="AQ97" s="485"/>
      <c r="AR97" s="485"/>
      <c r="AS97" s="485"/>
      <c r="AT97" s="485"/>
      <c r="AU97" s="485"/>
      <c r="AV97" s="485"/>
      <c r="AW97" s="485"/>
      <c r="AX97" s="485"/>
      <c r="AY97" s="485"/>
      <c r="AZ97" s="485"/>
      <c r="BA97" s="485"/>
      <c r="BB97" s="485"/>
      <c r="BC97" s="485"/>
      <c r="BD97" s="485"/>
      <c r="BE97" s="485"/>
      <c r="BF97" s="485"/>
      <c r="BG97" s="485"/>
      <c r="BH97" s="485"/>
      <c r="BI97" s="485"/>
      <c r="BJ97" s="485"/>
      <c r="BK97" s="485"/>
      <c r="BL97" s="485"/>
      <c r="BM97" s="485"/>
      <c r="BN97" s="485"/>
      <c r="BO97" s="485"/>
      <c r="BP97" s="485"/>
      <c r="BQ97" s="485"/>
      <c r="BR97" s="485"/>
      <c r="BS97" s="485"/>
      <c r="BT97" s="485"/>
      <c r="BU97" s="485"/>
      <c r="BV97" s="485"/>
      <c r="BW97" s="485"/>
      <c r="BX97" s="485"/>
      <c r="BY97" s="485"/>
      <c r="BZ97" s="485"/>
      <c r="CA97" s="485"/>
      <c r="CB97" s="485"/>
      <c r="CC97" s="485"/>
      <c r="CD97" s="485"/>
      <c r="CE97" s="485"/>
      <c r="CF97" s="485"/>
      <c r="CG97" s="485"/>
      <c r="CH97" s="485"/>
      <c r="CI97" s="485"/>
      <c r="CJ97" s="485"/>
      <c r="CK97" s="485"/>
      <c r="CL97" s="777"/>
      <c r="CM97" s="485"/>
      <c r="CN97" s="485"/>
      <c r="CO97" s="485"/>
      <c r="CP97" s="485"/>
      <c r="CQ97" s="485"/>
      <c r="CR97" s="485"/>
      <c r="CS97" s="485"/>
      <c r="CT97" s="485"/>
      <c r="CU97" s="485"/>
      <c r="CV97" s="485"/>
      <c r="CW97" s="485"/>
      <c r="CX97" s="485"/>
      <c r="CY97" s="485"/>
      <c r="CZ97" s="485"/>
      <c r="DA97" s="485"/>
      <c r="DB97" s="485"/>
      <c r="DC97" s="485"/>
      <c r="DD97" s="485"/>
      <c r="DE97" s="485"/>
      <c r="DF97" s="485"/>
      <c r="DG97" s="485"/>
      <c r="DH97" s="485"/>
      <c r="DI97" s="485"/>
      <c r="DJ97" s="485"/>
      <c r="DK97" s="485"/>
      <c r="DL97" s="485"/>
      <c r="DM97" s="485"/>
      <c r="DN97" s="485"/>
      <c r="DO97" s="485"/>
      <c r="DP97" s="485"/>
      <c r="DQ97" s="485"/>
      <c r="DR97" s="485"/>
      <c r="DS97" s="485"/>
      <c r="DT97" s="485"/>
      <c r="DU97" s="485"/>
      <c r="DV97" s="485"/>
      <c r="DW97" s="484"/>
      <c r="DX97" s="484"/>
      <c r="DY97" s="484"/>
      <c r="DZ97" s="484"/>
      <c r="EA97" s="484"/>
      <c r="EB97" s="484"/>
      <c r="EC97" s="484"/>
      <c r="ED97" s="484"/>
      <c r="EE97" s="484"/>
      <c r="EF97" s="484"/>
      <c r="EG97" s="484"/>
      <c r="EH97" s="484"/>
      <c r="EI97" s="484"/>
      <c r="EJ97" s="484"/>
      <c r="EK97" s="484"/>
      <c r="EL97" s="484"/>
      <c r="EM97" s="484"/>
      <c r="EN97" s="484"/>
      <c r="EO97" s="484"/>
      <c r="EP97" s="484"/>
      <c r="EQ97" s="484"/>
      <c r="ER97" s="484"/>
      <c r="ES97" s="484"/>
      <c r="ET97" s="484"/>
      <c r="EU97" s="484"/>
      <c r="EV97" s="484"/>
      <c r="EW97" s="484"/>
      <c r="EX97" s="484"/>
      <c r="EY97" s="484"/>
      <c r="EZ97" s="484"/>
      <c r="FA97" s="484"/>
      <c r="FB97" s="484"/>
      <c r="FC97" s="484"/>
      <c r="FD97" s="484"/>
      <c r="FE97" s="484"/>
      <c r="FF97" s="484"/>
      <c r="FG97" s="484"/>
      <c r="FH97" s="486"/>
      <c r="FI97" s="485"/>
      <c r="FJ97" s="485"/>
      <c r="FK97" s="485"/>
      <c r="FL97" s="485"/>
      <c r="FM97" s="485"/>
      <c r="FN97" s="485"/>
      <c r="FO97" s="485"/>
      <c r="FP97" s="485"/>
      <c r="FQ97" s="485"/>
      <c r="FR97" s="485"/>
      <c r="FS97" s="485"/>
      <c r="FT97" s="485"/>
      <c r="FU97" s="485"/>
      <c r="FV97" s="485"/>
      <c r="FW97" s="485"/>
      <c r="FX97" s="485"/>
      <c r="FY97" s="485"/>
      <c r="FZ97" s="485"/>
      <c r="GA97" s="485"/>
      <c r="GB97" s="485"/>
      <c r="GC97" s="485"/>
      <c r="GD97" s="485"/>
      <c r="GE97" s="485"/>
      <c r="GF97" s="485"/>
      <c r="GG97" s="485"/>
      <c r="GH97" s="485"/>
      <c r="GI97" s="485"/>
      <c r="GJ97" s="485"/>
      <c r="GK97" s="485"/>
      <c r="GL97" s="485"/>
      <c r="GM97" s="485"/>
      <c r="GN97" s="485"/>
      <c r="GO97" s="485"/>
      <c r="GP97" s="485"/>
      <c r="GQ97" s="485"/>
      <c r="GR97" s="485"/>
      <c r="GS97" s="485"/>
      <c r="GT97" s="485"/>
      <c r="GU97" s="485"/>
      <c r="GV97" s="485"/>
      <c r="GW97" s="485"/>
      <c r="GX97" s="485"/>
      <c r="GY97" s="485"/>
      <c r="GZ97" s="485"/>
      <c r="HA97" s="485"/>
      <c r="HB97" s="485"/>
      <c r="HC97" s="485"/>
      <c r="HD97" s="485"/>
      <c r="HE97" s="485"/>
      <c r="HF97" s="485"/>
      <c r="HG97" s="485"/>
      <c r="HH97" s="485"/>
      <c r="HI97" s="485"/>
      <c r="HJ97" s="485"/>
      <c r="HK97" s="485"/>
      <c r="HL97" s="485"/>
      <c r="HM97" s="485"/>
      <c r="HN97" s="485"/>
      <c r="HO97" s="485"/>
      <c r="HP97" s="485"/>
      <c r="HQ97" s="485"/>
      <c r="HR97" s="485"/>
      <c r="HS97" s="485"/>
      <c r="HT97" s="485"/>
      <c r="HU97" s="485"/>
      <c r="HV97" s="485"/>
      <c r="HW97" s="485"/>
      <c r="HX97" s="485"/>
      <c r="HY97" s="485"/>
      <c r="HZ97" s="485"/>
      <c r="IA97" s="485"/>
      <c r="IB97" s="485"/>
      <c r="IC97" s="485"/>
      <c r="ID97" s="485"/>
    </row>
    <row r="98" spans="1:238" s="40" customFormat="1" ht="18" x14ac:dyDescent="0.35">
      <c r="A98" s="288"/>
      <c r="B98" s="289">
        <f>IF(O98=1,SUM($O$41:O98),0)</f>
        <v>0</v>
      </c>
      <c r="C98" s="274">
        <v>52</v>
      </c>
      <c r="D98" s="290" t="s">
        <v>18</v>
      </c>
      <c r="E98" s="291">
        <v>20</v>
      </c>
      <c r="F98" s="292" t="s">
        <v>107</v>
      </c>
      <c r="G98" s="293"/>
      <c r="H98" s="294"/>
      <c r="I98" s="298" t="s">
        <v>20</v>
      </c>
      <c r="J98" s="288">
        <f>SUMIFS($HV$14:$HV$38,$AS$14:$AS$38,E98,$U$14:$U$38,F98)</f>
        <v>0</v>
      </c>
      <c r="K98" s="288"/>
      <c r="L98" s="295">
        <f>VLOOKUP(D98,'قائمة الأسعار'!D17:F105,3,0)</f>
        <v>1</v>
      </c>
      <c r="M98" s="296">
        <f>L98*J98</f>
        <v>0</v>
      </c>
      <c r="N98" s="413"/>
      <c r="O98" s="288">
        <f t="shared" si="199"/>
        <v>0</v>
      </c>
      <c r="Q98" s="63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188"/>
      <c r="AH98" s="95"/>
      <c r="AI98" s="95"/>
      <c r="AJ98" s="63"/>
      <c r="AM98" s="485"/>
      <c r="AN98" s="485"/>
      <c r="AO98" s="485"/>
      <c r="AP98" s="485"/>
      <c r="AQ98" s="485"/>
      <c r="AR98" s="485"/>
      <c r="AS98" s="485"/>
      <c r="AT98" s="485"/>
      <c r="AU98" s="485"/>
      <c r="AV98" s="485"/>
      <c r="AW98" s="485"/>
      <c r="AX98" s="485"/>
      <c r="AY98" s="485"/>
      <c r="AZ98" s="485"/>
      <c r="BA98" s="485"/>
      <c r="BB98" s="485"/>
      <c r="BC98" s="485"/>
      <c r="BD98" s="485"/>
      <c r="BE98" s="485"/>
      <c r="BF98" s="485"/>
      <c r="BG98" s="485"/>
      <c r="BH98" s="485"/>
      <c r="BI98" s="485"/>
      <c r="BJ98" s="485"/>
      <c r="BK98" s="485"/>
      <c r="BL98" s="485"/>
      <c r="BM98" s="485"/>
      <c r="BN98" s="485"/>
      <c r="BO98" s="485"/>
      <c r="BP98" s="485"/>
      <c r="BQ98" s="485"/>
      <c r="BR98" s="485"/>
      <c r="BS98" s="485"/>
      <c r="BT98" s="485"/>
      <c r="BU98" s="485"/>
      <c r="BV98" s="485"/>
      <c r="BW98" s="485"/>
      <c r="BX98" s="485"/>
      <c r="BY98" s="485"/>
      <c r="BZ98" s="485"/>
      <c r="CA98" s="485"/>
      <c r="CB98" s="485"/>
      <c r="CC98" s="485"/>
      <c r="CD98" s="485"/>
      <c r="CE98" s="485"/>
      <c r="CF98" s="485"/>
      <c r="CG98" s="485"/>
      <c r="CH98" s="485"/>
      <c r="CI98" s="485"/>
      <c r="CJ98" s="485"/>
      <c r="CK98" s="485"/>
      <c r="CL98" s="777"/>
      <c r="CM98" s="485"/>
      <c r="CN98" s="485"/>
      <c r="CO98" s="485"/>
      <c r="CP98" s="485"/>
      <c r="CQ98" s="485"/>
      <c r="CR98" s="485"/>
      <c r="CS98" s="485"/>
      <c r="CT98" s="485"/>
      <c r="CU98" s="485"/>
      <c r="CV98" s="485"/>
      <c r="CW98" s="485"/>
      <c r="CX98" s="485"/>
      <c r="CY98" s="485"/>
      <c r="CZ98" s="485"/>
      <c r="DA98" s="485"/>
      <c r="DB98" s="485"/>
      <c r="DC98" s="485"/>
      <c r="DD98" s="485"/>
      <c r="DE98" s="485"/>
      <c r="DF98" s="485"/>
      <c r="DG98" s="485"/>
      <c r="DH98" s="485"/>
      <c r="DI98" s="485"/>
      <c r="DJ98" s="485"/>
      <c r="DK98" s="485"/>
      <c r="DL98" s="485"/>
      <c r="DM98" s="485"/>
      <c r="DN98" s="485"/>
      <c r="DO98" s="485"/>
      <c r="DP98" s="485"/>
      <c r="DQ98" s="485"/>
      <c r="DR98" s="485"/>
      <c r="DS98" s="485"/>
      <c r="DT98" s="485"/>
      <c r="DU98" s="485"/>
      <c r="DV98" s="485"/>
      <c r="DW98" s="484"/>
      <c r="DX98" s="484"/>
      <c r="DY98" s="484"/>
      <c r="DZ98" s="484"/>
      <c r="EA98" s="484"/>
      <c r="EB98" s="484"/>
      <c r="EC98" s="484"/>
      <c r="ED98" s="484"/>
      <c r="EE98" s="484"/>
      <c r="EF98" s="484"/>
      <c r="EG98" s="484"/>
      <c r="EH98" s="484"/>
      <c r="EI98" s="484"/>
      <c r="EJ98" s="484"/>
      <c r="EK98" s="484"/>
      <c r="EL98" s="484"/>
      <c r="EM98" s="484"/>
      <c r="EN98" s="484"/>
      <c r="EO98" s="484"/>
      <c r="EP98" s="484"/>
      <c r="EQ98" s="484"/>
      <c r="ER98" s="484"/>
      <c r="ES98" s="484"/>
      <c r="ET98" s="484"/>
      <c r="EU98" s="484"/>
      <c r="EV98" s="484"/>
      <c r="EW98" s="484"/>
      <c r="EX98" s="484"/>
      <c r="EY98" s="484"/>
      <c r="EZ98" s="484"/>
      <c r="FA98" s="484"/>
      <c r="FB98" s="484"/>
      <c r="FC98" s="484"/>
      <c r="FD98" s="484"/>
      <c r="FE98" s="484"/>
      <c r="FF98" s="484"/>
      <c r="FG98" s="484"/>
      <c r="FH98" s="486"/>
      <c r="FI98" s="485"/>
      <c r="FJ98" s="485"/>
      <c r="FK98" s="485"/>
      <c r="FL98" s="485"/>
      <c r="FM98" s="485"/>
      <c r="FN98" s="485"/>
      <c r="FO98" s="485"/>
      <c r="FP98" s="485"/>
      <c r="FQ98" s="485"/>
      <c r="FR98" s="485"/>
      <c r="FS98" s="485"/>
      <c r="FT98" s="485"/>
      <c r="FU98" s="485"/>
      <c r="FV98" s="485"/>
      <c r="FW98" s="485"/>
      <c r="FX98" s="485"/>
      <c r="FY98" s="485"/>
      <c r="FZ98" s="485"/>
      <c r="GA98" s="485"/>
      <c r="GB98" s="485"/>
      <c r="GC98" s="485"/>
      <c r="GD98" s="485"/>
      <c r="GE98" s="485"/>
      <c r="GF98" s="485"/>
      <c r="GG98" s="485"/>
      <c r="GH98" s="485"/>
      <c r="GI98" s="485"/>
      <c r="GJ98" s="485"/>
      <c r="GK98" s="485"/>
      <c r="GL98" s="485"/>
      <c r="GM98" s="485"/>
      <c r="GN98" s="485"/>
      <c r="GO98" s="485"/>
      <c r="GP98" s="485"/>
      <c r="GQ98" s="485"/>
      <c r="GR98" s="485"/>
      <c r="GS98" s="485"/>
      <c r="GT98" s="485"/>
      <c r="GU98" s="485"/>
      <c r="GV98" s="485"/>
      <c r="GW98" s="485"/>
      <c r="GX98" s="485"/>
      <c r="GY98" s="485"/>
      <c r="GZ98" s="485"/>
      <c r="HA98" s="485"/>
      <c r="HB98" s="485"/>
      <c r="HC98" s="485"/>
      <c r="HD98" s="485"/>
      <c r="HE98" s="485"/>
      <c r="HF98" s="485"/>
      <c r="HG98" s="485"/>
      <c r="HH98" s="485"/>
      <c r="HI98" s="485"/>
      <c r="HJ98" s="485"/>
      <c r="HK98" s="485"/>
      <c r="HL98" s="485"/>
      <c r="HM98" s="485"/>
      <c r="HN98" s="485"/>
      <c r="HO98" s="485"/>
      <c r="HP98" s="485"/>
      <c r="HQ98" s="485"/>
      <c r="HR98" s="485"/>
      <c r="HS98" s="485"/>
      <c r="HT98" s="485"/>
      <c r="HU98" s="485"/>
      <c r="HV98" s="485"/>
      <c r="HW98" s="485"/>
      <c r="HX98" s="485"/>
      <c r="HY98" s="485"/>
      <c r="HZ98" s="485"/>
      <c r="IA98" s="485"/>
      <c r="IB98" s="485"/>
      <c r="IC98" s="485"/>
      <c r="ID98" s="485"/>
    </row>
    <row r="99" spans="1:238" s="40" customFormat="1" ht="18" x14ac:dyDescent="0.35">
      <c r="A99" s="288"/>
      <c r="B99" s="289">
        <f>IF(O99=1,SUM($O$41:O99),0)</f>
        <v>0</v>
      </c>
      <c r="C99" s="274">
        <v>53</v>
      </c>
      <c r="D99" s="290" t="s">
        <v>17</v>
      </c>
      <c r="E99" s="291">
        <v>20</v>
      </c>
      <c r="F99" s="287" t="s">
        <v>149</v>
      </c>
      <c r="G99" s="293"/>
      <c r="H99" s="294"/>
      <c r="I99" s="288">
        <f>SUMIFS($AU$14:$AU$38,$AS$14:$AS$38,E99,$U$14:$U$38,F99)/100</f>
        <v>0</v>
      </c>
      <c r="J99" s="295">
        <v>1</v>
      </c>
      <c r="K99" s="295"/>
      <c r="L99" s="295">
        <f>VLOOKUP(D99,'قائمة الأسعار'!D19:F107,3,0)</f>
        <v>1</v>
      </c>
      <c r="M99" s="296">
        <f>L99*J99*I99</f>
        <v>0</v>
      </c>
      <c r="N99" s="413"/>
      <c r="O99" s="288">
        <f t="shared" si="199"/>
        <v>0</v>
      </c>
      <c r="Q99" s="63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188"/>
      <c r="AH99" s="95"/>
      <c r="AI99" s="95"/>
      <c r="AJ99" s="63"/>
      <c r="AM99" s="485"/>
      <c r="AN99" s="485"/>
      <c r="AO99" s="485"/>
      <c r="AP99" s="485"/>
      <c r="AQ99" s="485"/>
      <c r="AR99" s="485"/>
      <c r="AS99" s="485"/>
      <c r="AT99" s="485"/>
      <c r="AU99" s="485"/>
      <c r="AV99" s="485"/>
      <c r="AW99" s="485"/>
      <c r="AX99" s="485"/>
      <c r="AY99" s="485"/>
      <c r="AZ99" s="485"/>
      <c r="BA99" s="485"/>
      <c r="BB99" s="485"/>
      <c r="BC99" s="485"/>
      <c r="BD99" s="485"/>
      <c r="BE99" s="485"/>
      <c r="BF99" s="485"/>
      <c r="BG99" s="485"/>
      <c r="BH99" s="485"/>
      <c r="BI99" s="485"/>
      <c r="BJ99" s="485"/>
      <c r="BK99" s="485"/>
      <c r="BL99" s="485"/>
      <c r="BM99" s="485"/>
      <c r="BN99" s="485"/>
      <c r="BO99" s="485"/>
      <c r="BP99" s="485"/>
      <c r="BQ99" s="485"/>
      <c r="BR99" s="485"/>
      <c r="BS99" s="485"/>
      <c r="BT99" s="485"/>
      <c r="BU99" s="485"/>
      <c r="BV99" s="485"/>
      <c r="BW99" s="485"/>
      <c r="BX99" s="485"/>
      <c r="BY99" s="485"/>
      <c r="BZ99" s="485"/>
      <c r="CA99" s="485"/>
      <c r="CB99" s="485"/>
      <c r="CC99" s="485"/>
      <c r="CD99" s="485"/>
      <c r="CE99" s="485"/>
      <c r="CF99" s="485"/>
      <c r="CG99" s="485"/>
      <c r="CH99" s="485"/>
      <c r="CI99" s="485"/>
      <c r="CJ99" s="485"/>
      <c r="CK99" s="485"/>
      <c r="CL99" s="777"/>
      <c r="CM99" s="485"/>
      <c r="CN99" s="485"/>
      <c r="CO99" s="485"/>
      <c r="CP99" s="485"/>
      <c r="CQ99" s="485"/>
      <c r="CR99" s="485"/>
      <c r="CS99" s="485"/>
      <c r="CT99" s="485"/>
      <c r="CU99" s="485"/>
      <c r="CV99" s="485"/>
      <c r="CW99" s="485"/>
      <c r="CX99" s="485"/>
      <c r="CY99" s="485"/>
      <c r="CZ99" s="485"/>
      <c r="DA99" s="485"/>
      <c r="DB99" s="485"/>
      <c r="DC99" s="485"/>
      <c r="DD99" s="485"/>
      <c r="DE99" s="485"/>
      <c r="DF99" s="485"/>
      <c r="DG99" s="485"/>
      <c r="DH99" s="485"/>
      <c r="DI99" s="485"/>
      <c r="DJ99" s="485"/>
      <c r="DK99" s="485"/>
      <c r="DL99" s="485"/>
      <c r="DM99" s="485"/>
      <c r="DN99" s="485"/>
      <c r="DO99" s="485"/>
      <c r="DP99" s="485"/>
      <c r="DQ99" s="485"/>
      <c r="DR99" s="485"/>
      <c r="DS99" s="485"/>
      <c r="DT99" s="485"/>
      <c r="DU99" s="485"/>
      <c r="DV99" s="485"/>
      <c r="DW99" s="484"/>
      <c r="DX99" s="484"/>
      <c r="DY99" s="484"/>
      <c r="DZ99" s="484"/>
      <c r="EA99" s="484"/>
      <c r="EB99" s="484"/>
      <c r="EC99" s="484"/>
      <c r="ED99" s="484"/>
      <c r="EE99" s="484"/>
      <c r="EF99" s="484"/>
      <c r="EG99" s="484"/>
      <c r="EH99" s="484"/>
      <c r="EI99" s="484"/>
      <c r="EJ99" s="484"/>
      <c r="EK99" s="484"/>
      <c r="EL99" s="484"/>
      <c r="EM99" s="484"/>
      <c r="EN99" s="484"/>
      <c r="EO99" s="484"/>
      <c r="EP99" s="484"/>
      <c r="EQ99" s="484"/>
      <c r="ER99" s="484"/>
      <c r="ES99" s="484"/>
      <c r="ET99" s="484"/>
      <c r="EU99" s="484"/>
      <c r="EV99" s="484"/>
      <c r="EW99" s="484"/>
      <c r="EX99" s="484"/>
      <c r="EY99" s="484"/>
      <c r="EZ99" s="484"/>
      <c r="FA99" s="484"/>
      <c r="FB99" s="484"/>
      <c r="FC99" s="484"/>
      <c r="FD99" s="484"/>
      <c r="FE99" s="484"/>
      <c r="FF99" s="484"/>
      <c r="FG99" s="484"/>
      <c r="FH99" s="486"/>
      <c r="FI99" s="485"/>
      <c r="FJ99" s="485"/>
      <c r="FK99" s="485"/>
      <c r="FL99" s="485"/>
      <c r="FM99" s="485"/>
      <c r="FN99" s="485"/>
      <c r="FO99" s="485"/>
      <c r="FP99" s="485"/>
      <c r="FQ99" s="485"/>
      <c r="FR99" s="485"/>
      <c r="FS99" s="485"/>
      <c r="FT99" s="485"/>
      <c r="FU99" s="485"/>
      <c r="FV99" s="485"/>
      <c r="FW99" s="485"/>
      <c r="FX99" s="485"/>
      <c r="FY99" s="485"/>
      <c r="FZ99" s="485"/>
      <c r="GA99" s="485"/>
      <c r="GB99" s="485"/>
      <c r="GC99" s="485"/>
      <c r="GD99" s="485"/>
      <c r="GE99" s="485"/>
      <c r="GF99" s="485"/>
      <c r="GG99" s="485"/>
      <c r="GH99" s="485"/>
      <c r="GI99" s="485"/>
      <c r="GJ99" s="485"/>
      <c r="GK99" s="485"/>
      <c r="GL99" s="485"/>
      <c r="GM99" s="485"/>
      <c r="GN99" s="485"/>
      <c r="GO99" s="485"/>
      <c r="GP99" s="485"/>
      <c r="GQ99" s="485"/>
      <c r="GR99" s="485"/>
      <c r="GS99" s="485"/>
      <c r="GT99" s="485"/>
      <c r="GU99" s="485"/>
      <c r="GV99" s="485"/>
      <c r="GW99" s="485"/>
      <c r="GX99" s="485"/>
      <c r="GY99" s="485"/>
      <c r="GZ99" s="485"/>
      <c r="HA99" s="485"/>
      <c r="HB99" s="485"/>
      <c r="HC99" s="485"/>
      <c r="HD99" s="485"/>
      <c r="HE99" s="485"/>
      <c r="HF99" s="485"/>
      <c r="HG99" s="485"/>
      <c r="HH99" s="485"/>
      <c r="HI99" s="485"/>
      <c r="HJ99" s="485"/>
      <c r="HK99" s="485"/>
      <c r="HL99" s="485"/>
      <c r="HM99" s="485"/>
      <c r="HN99" s="485"/>
      <c r="HO99" s="485"/>
      <c r="HP99" s="485"/>
      <c r="HQ99" s="485"/>
      <c r="HR99" s="485"/>
      <c r="HS99" s="485"/>
      <c r="HT99" s="485"/>
      <c r="HU99" s="485"/>
      <c r="HV99" s="485"/>
      <c r="HW99" s="485"/>
      <c r="HX99" s="485"/>
      <c r="HY99" s="485"/>
      <c r="HZ99" s="485"/>
      <c r="IA99" s="485"/>
      <c r="IB99" s="485"/>
      <c r="IC99" s="485"/>
      <c r="ID99" s="485"/>
    </row>
    <row r="100" spans="1:238" s="40" customFormat="1" ht="18" x14ac:dyDescent="0.35">
      <c r="A100" s="288"/>
      <c r="B100" s="289">
        <f>IF(O100=1,SUM($O$41:O100),0)</f>
        <v>0</v>
      </c>
      <c r="C100" s="274">
        <v>54</v>
      </c>
      <c r="D100" s="290" t="s">
        <v>18</v>
      </c>
      <c r="E100" s="291">
        <v>20</v>
      </c>
      <c r="F100" s="287" t="s">
        <v>149</v>
      </c>
      <c r="G100" s="293"/>
      <c r="H100" s="294"/>
      <c r="I100" s="298" t="s">
        <v>20</v>
      </c>
      <c r="J100" s="288">
        <f>SUMIFS($HV$14:$HV$38,$AS$14:$AS$38,E100,$U$14:$U$38,F100)</f>
        <v>0</v>
      </c>
      <c r="K100" s="288"/>
      <c r="L100" s="295">
        <f>VLOOKUP(D100,'قائمة الأسعار'!D19:F107,3,0)</f>
        <v>1</v>
      </c>
      <c r="M100" s="296">
        <f>L100*J100</f>
        <v>0</v>
      </c>
      <c r="N100" s="413"/>
      <c r="O100" s="288">
        <f t="shared" si="199"/>
        <v>0</v>
      </c>
      <c r="Q100" s="63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188"/>
      <c r="AH100" s="95"/>
      <c r="AI100" s="95"/>
      <c r="AJ100" s="63"/>
      <c r="AM100" s="485"/>
      <c r="AN100" s="485"/>
      <c r="AO100" s="485"/>
      <c r="AP100" s="485"/>
      <c r="AQ100" s="485"/>
      <c r="AR100" s="485"/>
      <c r="AS100" s="485"/>
      <c r="AT100" s="485"/>
      <c r="AU100" s="485"/>
      <c r="AV100" s="485"/>
      <c r="AW100" s="485"/>
      <c r="AX100" s="485"/>
      <c r="AY100" s="485"/>
      <c r="AZ100" s="485"/>
      <c r="BA100" s="485"/>
      <c r="BB100" s="485"/>
      <c r="BC100" s="485"/>
      <c r="BD100" s="485"/>
      <c r="BE100" s="485"/>
      <c r="BF100" s="485"/>
      <c r="BG100" s="485"/>
      <c r="BH100" s="485"/>
      <c r="BI100" s="485"/>
      <c r="BJ100" s="485"/>
      <c r="BK100" s="485"/>
      <c r="BL100" s="485"/>
      <c r="BM100" s="485"/>
      <c r="BN100" s="485"/>
      <c r="BO100" s="485"/>
      <c r="BP100" s="485"/>
      <c r="BQ100" s="485"/>
      <c r="BR100" s="485"/>
      <c r="BS100" s="485"/>
      <c r="BT100" s="485"/>
      <c r="BU100" s="485"/>
      <c r="BV100" s="485"/>
      <c r="BW100" s="485"/>
      <c r="BX100" s="485"/>
      <c r="BY100" s="485"/>
      <c r="BZ100" s="485"/>
      <c r="CA100" s="485"/>
      <c r="CB100" s="485"/>
      <c r="CC100" s="485"/>
      <c r="CD100" s="485"/>
      <c r="CE100" s="485"/>
      <c r="CF100" s="485"/>
      <c r="CG100" s="485"/>
      <c r="CH100" s="485"/>
      <c r="CI100" s="485"/>
      <c r="CJ100" s="485"/>
      <c r="CK100" s="485"/>
      <c r="CL100" s="777"/>
      <c r="CM100" s="485"/>
      <c r="CN100" s="485"/>
      <c r="CO100" s="485"/>
      <c r="CP100" s="485"/>
      <c r="CQ100" s="485"/>
      <c r="CR100" s="485"/>
      <c r="CS100" s="485"/>
      <c r="CT100" s="485"/>
      <c r="CU100" s="485"/>
      <c r="CV100" s="485"/>
      <c r="CW100" s="485"/>
      <c r="CX100" s="485"/>
      <c r="CY100" s="485"/>
      <c r="CZ100" s="485"/>
      <c r="DA100" s="485"/>
      <c r="DB100" s="485"/>
      <c r="DC100" s="485"/>
      <c r="DD100" s="485"/>
      <c r="DE100" s="485"/>
      <c r="DF100" s="485"/>
      <c r="DG100" s="485"/>
      <c r="DH100" s="485"/>
      <c r="DI100" s="485"/>
      <c r="DJ100" s="485"/>
      <c r="DK100" s="485"/>
      <c r="DL100" s="485"/>
      <c r="DM100" s="485"/>
      <c r="DN100" s="485"/>
      <c r="DO100" s="485"/>
      <c r="DP100" s="485"/>
      <c r="DQ100" s="485"/>
      <c r="DR100" s="485"/>
      <c r="DS100" s="485"/>
      <c r="DT100" s="485"/>
      <c r="DU100" s="485"/>
      <c r="DV100" s="485"/>
      <c r="DW100" s="484"/>
      <c r="DX100" s="484"/>
      <c r="DY100" s="484"/>
      <c r="DZ100" s="484"/>
      <c r="EA100" s="484"/>
      <c r="EB100" s="484"/>
      <c r="EC100" s="484"/>
      <c r="ED100" s="484"/>
      <c r="EE100" s="484"/>
      <c r="EF100" s="484"/>
      <c r="EG100" s="484"/>
      <c r="EH100" s="484"/>
      <c r="EI100" s="484"/>
      <c r="EJ100" s="484"/>
      <c r="EK100" s="484"/>
      <c r="EL100" s="484"/>
      <c r="EM100" s="484"/>
      <c r="EN100" s="484"/>
      <c r="EO100" s="484"/>
      <c r="EP100" s="484"/>
      <c r="EQ100" s="484"/>
      <c r="ER100" s="484"/>
      <c r="ES100" s="484"/>
      <c r="ET100" s="484"/>
      <c r="EU100" s="484"/>
      <c r="EV100" s="484"/>
      <c r="EW100" s="484"/>
      <c r="EX100" s="484"/>
      <c r="EY100" s="484"/>
      <c r="EZ100" s="484"/>
      <c r="FA100" s="484"/>
      <c r="FB100" s="484"/>
      <c r="FC100" s="484"/>
      <c r="FD100" s="484"/>
      <c r="FE100" s="484"/>
      <c r="FF100" s="484"/>
      <c r="FG100" s="484"/>
      <c r="FH100" s="486"/>
      <c r="FI100" s="485"/>
      <c r="FJ100" s="485"/>
      <c r="FK100" s="485"/>
      <c r="FL100" s="485"/>
      <c r="FM100" s="485"/>
      <c r="FN100" s="485"/>
      <c r="FO100" s="485"/>
      <c r="FP100" s="485"/>
      <c r="FQ100" s="485"/>
      <c r="FR100" s="485"/>
      <c r="FS100" s="485"/>
      <c r="FT100" s="485"/>
      <c r="FU100" s="485"/>
      <c r="FV100" s="485"/>
      <c r="FW100" s="485"/>
      <c r="FX100" s="485"/>
      <c r="FY100" s="485"/>
      <c r="FZ100" s="485"/>
      <c r="GA100" s="485"/>
      <c r="GB100" s="485"/>
      <c r="GC100" s="485"/>
      <c r="GD100" s="485"/>
      <c r="GE100" s="485"/>
      <c r="GF100" s="485"/>
      <c r="GG100" s="485"/>
      <c r="GH100" s="485"/>
      <c r="GI100" s="485"/>
      <c r="GJ100" s="485"/>
      <c r="GK100" s="485"/>
      <c r="GL100" s="485"/>
      <c r="GM100" s="485"/>
      <c r="GN100" s="485"/>
      <c r="GO100" s="485"/>
      <c r="GP100" s="485"/>
      <c r="GQ100" s="485"/>
      <c r="GR100" s="485"/>
      <c r="GS100" s="485"/>
      <c r="GT100" s="485"/>
      <c r="GU100" s="485"/>
      <c r="GV100" s="485"/>
      <c r="GW100" s="485"/>
      <c r="GX100" s="485"/>
      <c r="GY100" s="485"/>
      <c r="GZ100" s="485"/>
      <c r="HA100" s="485"/>
      <c r="HB100" s="485"/>
      <c r="HC100" s="485"/>
      <c r="HD100" s="485"/>
      <c r="HE100" s="485"/>
      <c r="HF100" s="485"/>
      <c r="HG100" s="485"/>
      <c r="HH100" s="485"/>
      <c r="HI100" s="485"/>
      <c r="HJ100" s="485"/>
      <c r="HK100" s="485"/>
      <c r="HL100" s="485"/>
      <c r="HM100" s="485"/>
      <c r="HN100" s="485"/>
      <c r="HO100" s="485"/>
      <c r="HP100" s="485"/>
      <c r="HQ100" s="485"/>
      <c r="HR100" s="485"/>
      <c r="HS100" s="485"/>
      <c r="HT100" s="485"/>
      <c r="HU100" s="485"/>
      <c r="HV100" s="485"/>
      <c r="HW100" s="485"/>
      <c r="HX100" s="485"/>
      <c r="HY100" s="485"/>
      <c r="HZ100" s="485"/>
      <c r="IA100" s="485"/>
      <c r="IB100" s="485"/>
      <c r="IC100" s="485"/>
      <c r="ID100" s="485"/>
    </row>
    <row r="101" spans="1:238" ht="18" x14ac:dyDescent="0.35">
      <c r="A101" s="275"/>
      <c r="B101" s="289">
        <f>IF(O101=1,SUM($O$41:O101),0)</f>
        <v>0</v>
      </c>
      <c r="C101" s="274">
        <v>55</v>
      </c>
      <c r="D101" s="290" t="s">
        <v>17</v>
      </c>
      <c r="E101" s="291">
        <v>20</v>
      </c>
      <c r="F101" s="284" t="s">
        <v>143</v>
      </c>
      <c r="G101" s="293"/>
      <c r="H101" s="294"/>
      <c r="I101" s="288">
        <f>SUMIFS($AU$14:$AU$38,$AS$14:$AS$38,E101,$U$14:$U$38,F101)/100</f>
        <v>0</v>
      </c>
      <c r="J101" s="295">
        <v>1</v>
      </c>
      <c r="K101" s="295"/>
      <c r="L101" s="295">
        <f>VLOOKUP(D101,'قائمة الأسعار'!D21:F109,3,0)</f>
        <v>1</v>
      </c>
      <c r="M101" s="296">
        <f>L101*J101*I101</f>
        <v>0</v>
      </c>
      <c r="N101" s="413"/>
      <c r="O101" s="288">
        <f t="shared" si="199"/>
        <v>0</v>
      </c>
      <c r="P101" s="40"/>
      <c r="CL101" s="777"/>
    </row>
    <row r="102" spans="1:238" ht="18" x14ac:dyDescent="0.35">
      <c r="A102" s="275"/>
      <c r="B102" s="289">
        <f>IF(O102=1,SUM($O$41:O102),0)</f>
        <v>0</v>
      </c>
      <c r="C102" s="274">
        <v>56</v>
      </c>
      <c r="D102" s="290" t="s">
        <v>18</v>
      </c>
      <c r="E102" s="291">
        <v>20</v>
      </c>
      <c r="F102" s="284" t="s">
        <v>143</v>
      </c>
      <c r="G102" s="293"/>
      <c r="H102" s="294"/>
      <c r="I102" s="298" t="s">
        <v>20</v>
      </c>
      <c r="J102" s="288">
        <f>SUMIFS($HV$14:$HV$38,$AS$14:$AS$38,E102,$U$14:$U$38,F102)</f>
        <v>0</v>
      </c>
      <c r="K102" s="288"/>
      <c r="L102" s="295">
        <f>VLOOKUP(D102,'قائمة الأسعار'!D21:F109,3,0)</f>
        <v>1</v>
      </c>
      <c r="M102" s="296">
        <f>L102*J102</f>
        <v>0</v>
      </c>
      <c r="N102" s="413"/>
      <c r="O102" s="288">
        <f t="shared" si="199"/>
        <v>0</v>
      </c>
      <c r="CL102" s="777"/>
    </row>
    <row r="103" spans="1:238" ht="18" x14ac:dyDescent="0.35">
      <c r="A103" s="288"/>
      <c r="B103" s="289">
        <f>IF(O103=1,SUM($O$41:O103),0)</f>
        <v>0</v>
      </c>
      <c r="C103" s="274">
        <v>57</v>
      </c>
      <c r="D103" s="290" t="s">
        <v>16</v>
      </c>
      <c r="E103" s="291">
        <v>25</v>
      </c>
      <c r="F103" s="292" t="s">
        <v>106</v>
      </c>
      <c r="G103" s="293"/>
      <c r="H103" s="294"/>
      <c r="I103" s="288">
        <f>SUMIFS($AU$14:$AU$38,$AS$14:$AS$38,E103,$U$14:$U$38,F103)/100</f>
        <v>0</v>
      </c>
      <c r="J103" s="295">
        <v>1</v>
      </c>
      <c r="K103" s="295"/>
      <c r="L103" s="295">
        <f>VLOOKUP(D103,'قائمة الأسعار'!D15:F103,3,0)</f>
        <v>1</v>
      </c>
      <c r="M103" s="296">
        <f>L103*J103*I103</f>
        <v>0</v>
      </c>
      <c r="N103" s="413"/>
      <c r="O103" s="288">
        <f t="shared" si="199"/>
        <v>0</v>
      </c>
      <c r="CL103" s="777"/>
    </row>
    <row r="104" spans="1:238" ht="18" x14ac:dyDescent="0.35">
      <c r="A104" s="288"/>
      <c r="B104" s="289">
        <f>IF(O104=1,SUM($O$41:O104),0)</f>
        <v>0</v>
      </c>
      <c r="C104" s="274">
        <v>58</v>
      </c>
      <c r="D104" s="290" t="s">
        <v>8</v>
      </c>
      <c r="E104" s="291">
        <v>25</v>
      </c>
      <c r="F104" s="292" t="s">
        <v>106</v>
      </c>
      <c r="G104" s="293"/>
      <c r="H104" s="294"/>
      <c r="I104" s="295" t="s">
        <v>20</v>
      </c>
      <c r="J104" s="288">
        <f>SUMIFS($HV$14:$HV$38,$AS$14:$AS$38,E104,$U$14:$U$38,F104)</f>
        <v>0</v>
      </c>
      <c r="K104" s="295"/>
      <c r="L104" s="295">
        <f>VLOOKUP(D104,'قائمة الأسعار'!D17:F107,3,0)</f>
        <v>1</v>
      </c>
      <c r="M104" s="296">
        <f>L104*J104</f>
        <v>0</v>
      </c>
      <c r="N104" s="413"/>
      <c r="O104" s="288">
        <f t="shared" si="199"/>
        <v>0</v>
      </c>
      <c r="CL104" s="777"/>
    </row>
    <row r="105" spans="1:238" ht="18" x14ac:dyDescent="0.35">
      <c r="A105" s="288"/>
      <c r="B105" s="289">
        <f>IF(O105=1,SUM($O$41:O105),0)</f>
        <v>0</v>
      </c>
      <c r="C105" s="274">
        <v>59</v>
      </c>
      <c r="D105" s="290" t="s">
        <v>16</v>
      </c>
      <c r="E105" s="291">
        <v>25</v>
      </c>
      <c r="F105" s="292" t="s">
        <v>105</v>
      </c>
      <c r="G105" s="293"/>
      <c r="H105" s="294"/>
      <c r="I105" s="288">
        <f>SUMIFS($AU$14:$AU$38,$AS$14:$AS$38,E105,$U$14:$U$38,F105)/100</f>
        <v>0</v>
      </c>
      <c r="J105" s="295">
        <v>1</v>
      </c>
      <c r="K105" s="295"/>
      <c r="L105" s="295">
        <f>VLOOKUP(D105,'قائمة الأسعار'!D17:F105,3,0)</f>
        <v>1</v>
      </c>
      <c r="M105" s="296">
        <f>L105*J105*I105</f>
        <v>0</v>
      </c>
      <c r="N105" s="413"/>
      <c r="O105" s="288">
        <f t="shared" si="199"/>
        <v>0</v>
      </c>
      <c r="CL105" s="777"/>
    </row>
    <row r="106" spans="1:238" ht="18" x14ac:dyDescent="0.35">
      <c r="A106" s="288"/>
      <c r="B106" s="289">
        <f>IF(O106=1,SUM($O$41:O106),0)</f>
        <v>0</v>
      </c>
      <c r="C106" s="274">
        <v>60</v>
      </c>
      <c r="D106" s="290" t="s">
        <v>8</v>
      </c>
      <c r="E106" s="291">
        <v>25</v>
      </c>
      <c r="F106" s="292" t="s">
        <v>105</v>
      </c>
      <c r="G106" s="293"/>
      <c r="H106" s="294"/>
      <c r="I106" s="295" t="s">
        <v>20</v>
      </c>
      <c r="J106" s="288">
        <f>SUMIFS($HV$14:$HV$38,$AS$14:$AS$38,E106,$U$14:$U$38,F106)</f>
        <v>0</v>
      </c>
      <c r="K106" s="295"/>
      <c r="L106" s="295">
        <f>VLOOKUP(D106,'قائمة الأسعار'!D19:F109,3,0)</f>
        <v>1</v>
      </c>
      <c r="M106" s="296">
        <f>L106*J106</f>
        <v>0</v>
      </c>
      <c r="N106" s="413"/>
      <c r="O106" s="288">
        <f>IF(M106&gt;0,1,0)</f>
        <v>0</v>
      </c>
      <c r="CL106" s="777"/>
    </row>
    <row r="107" spans="1:238" ht="18" x14ac:dyDescent="0.35">
      <c r="A107" s="288"/>
      <c r="B107" s="289">
        <f>IF(O107=1,SUM($O$41:O107),0)</f>
        <v>0</v>
      </c>
      <c r="C107" s="274">
        <v>61</v>
      </c>
      <c r="D107" s="290" t="s">
        <v>16</v>
      </c>
      <c r="E107" s="291">
        <v>25</v>
      </c>
      <c r="F107" s="292" t="s">
        <v>107</v>
      </c>
      <c r="G107" s="293"/>
      <c r="H107" s="294"/>
      <c r="I107" s="288">
        <f>SUMIFS($AU$14:$AU$38,$AS$14:$AS$38,E107,$U$14:$U$38,F107)/100</f>
        <v>0</v>
      </c>
      <c r="J107" s="295">
        <v>1</v>
      </c>
      <c r="K107" s="295"/>
      <c r="L107" s="295">
        <f>VLOOKUP(D107,'قائمة الأسعار'!D17:F105,3,0)</f>
        <v>1</v>
      </c>
      <c r="M107" s="296">
        <f>L107*J107*I107</f>
        <v>0</v>
      </c>
      <c r="N107" s="413"/>
      <c r="O107" s="288">
        <f t="shared" ref="O107:O115" si="200">IF(M107&gt;0,1,0)</f>
        <v>0</v>
      </c>
      <c r="CL107" s="777"/>
    </row>
    <row r="108" spans="1:238" ht="18" x14ac:dyDescent="0.35">
      <c r="A108" s="288"/>
      <c r="B108" s="289">
        <f>IF(O108=1,SUM($O$41:O108),0)</f>
        <v>0</v>
      </c>
      <c r="C108" s="274">
        <v>62</v>
      </c>
      <c r="D108" s="290" t="s">
        <v>8</v>
      </c>
      <c r="E108" s="291">
        <v>25</v>
      </c>
      <c r="F108" s="292" t="s">
        <v>107</v>
      </c>
      <c r="G108" s="293"/>
      <c r="H108" s="294"/>
      <c r="I108" s="295" t="s">
        <v>20</v>
      </c>
      <c r="J108" s="288">
        <f>SUMIFS($HV$14:$HV$38,$AS$14:$AS$38,E108,$U$14:$U$38,F108)</f>
        <v>0</v>
      </c>
      <c r="K108" s="295"/>
      <c r="L108" s="295">
        <f>VLOOKUP(D108,'قائمة الأسعار'!D19:F109,3,0)</f>
        <v>1</v>
      </c>
      <c r="M108" s="296">
        <f>L108*J108</f>
        <v>0</v>
      </c>
      <c r="N108" s="413"/>
      <c r="O108" s="288">
        <f t="shared" si="200"/>
        <v>0</v>
      </c>
      <c r="CL108" s="777"/>
    </row>
    <row r="109" spans="1:238" ht="18" x14ac:dyDescent="0.35">
      <c r="A109" s="275"/>
      <c r="B109" s="289">
        <f>IF(O109=1,SUM($O$41:O109),0)</f>
        <v>0</v>
      </c>
      <c r="C109" s="274">
        <v>63</v>
      </c>
      <c r="D109" s="290" t="s">
        <v>16</v>
      </c>
      <c r="E109" s="291">
        <v>25</v>
      </c>
      <c r="F109" s="287" t="s">
        <v>149</v>
      </c>
      <c r="G109" s="293"/>
      <c r="H109" s="294"/>
      <c r="I109" s="288">
        <f>SUMIFS($AU$14:$AU$38,$AS$14:$AS$38,E109,$U$14:$U$38,F109)/100</f>
        <v>0</v>
      </c>
      <c r="J109" s="295">
        <v>1</v>
      </c>
      <c r="K109" s="295"/>
      <c r="L109" s="295">
        <f>VLOOKUP(D109,'قائمة الأسعار'!D19:F107,3,0)</f>
        <v>1</v>
      </c>
      <c r="M109" s="296">
        <f>L109*J109*I109</f>
        <v>0</v>
      </c>
      <c r="N109" s="413"/>
      <c r="O109" s="288">
        <f t="shared" si="200"/>
        <v>0</v>
      </c>
      <c r="CL109" s="777"/>
    </row>
    <row r="110" spans="1:238" ht="18" x14ac:dyDescent="0.35">
      <c r="A110" s="275"/>
      <c r="B110" s="289">
        <f>IF(O110=1,SUM($O$41:O110),0)</f>
        <v>0</v>
      </c>
      <c r="C110" s="274">
        <v>64</v>
      </c>
      <c r="D110" s="290" t="s">
        <v>8</v>
      </c>
      <c r="E110" s="291">
        <v>25</v>
      </c>
      <c r="F110" s="287" t="s">
        <v>149</v>
      </c>
      <c r="G110" s="293"/>
      <c r="H110" s="294"/>
      <c r="I110" s="295" t="s">
        <v>20</v>
      </c>
      <c r="J110" s="288">
        <f>SUMIFS($HV$14:$HV$38,$AS$14:$AS$38,E110,$U$14:$U$38,F110)</f>
        <v>0</v>
      </c>
      <c r="K110" s="295"/>
      <c r="L110" s="295">
        <f>VLOOKUP(D110,'قائمة الأسعار'!D21:F111,3,0)</f>
        <v>1</v>
      </c>
      <c r="M110" s="296">
        <f>L110*J110</f>
        <v>0</v>
      </c>
      <c r="N110" s="413"/>
      <c r="O110" s="288">
        <f t="shared" si="200"/>
        <v>0</v>
      </c>
      <c r="CL110" s="777"/>
    </row>
    <row r="111" spans="1:238" ht="18" x14ac:dyDescent="0.35">
      <c r="A111" s="275"/>
      <c r="B111" s="289">
        <f>IF(O111=1,SUM($O$41:O111),0)</f>
        <v>0</v>
      </c>
      <c r="C111" s="274">
        <v>65</v>
      </c>
      <c r="D111" s="290" t="s">
        <v>16</v>
      </c>
      <c r="E111" s="291">
        <v>25</v>
      </c>
      <c r="F111" s="284" t="s">
        <v>143</v>
      </c>
      <c r="G111" s="293"/>
      <c r="H111" s="294"/>
      <c r="I111" s="288">
        <f>SUMIFS($AU$14:$AU$38,$AS$14:$AS$38,E111,$U$14:$U$38,F111)/100</f>
        <v>0</v>
      </c>
      <c r="J111" s="295">
        <v>1</v>
      </c>
      <c r="K111" s="295"/>
      <c r="L111" s="295">
        <f>VLOOKUP(D111,'قائمة الأسعار'!D21:F109,3,0)</f>
        <v>1</v>
      </c>
      <c r="M111" s="296">
        <f>L111*J111*I111</f>
        <v>0</v>
      </c>
      <c r="N111" s="413"/>
      <c r="O111" s="288">
        <f t="shared" si="200"/>
        <v>0</v>
      </c>
      <c r="CL111" s="777"/>
    </row>
    <row r="112" spans="1:238" ht="18" x14ac:dyDescent="0.35">
      <c r="A112" s="275"/>
      <c r="B112" s="289">
        <f>IF(O112=1,SUM($O$41:O112),0)</f>
        <v>0</v>
      </c>
      <c r="C112" s="274">
        <v>66</v>
      </c>
      <c r="D112" s="290" t="s">
        <v>8</v>
      </c>
      <c r="E112" s="291">
        <v>25</v>
      </c>
      <c r="F112" s="284" t="s">
        <v>143</v>
      </c>
      <c r="G112" s="293"/>
      <c r="H112" s="294"/>
      <c r="I112" s="295" t="s">
        <v>20</v>
      </c>
      <c r="J112" s="288">
        <f>SUMIFS($HV$14:$HV$38,$AS$14:$AS$38,E112,$U$14:$U$38,F112)</f>
        <v>0</v>
      </c>
      <c r="K112" s="295"/>
      <c r="L112" s="295">
        <f>VLOOKUP(D112,'قائمة الأسعار'!D23:F113,3,0)</f>
        <v>1</v>
      </c>
      <c r="M112" s="296">
        <f>L112*J112</f>
        <v>0</v>
      </c>
      <c r="N112" s="413"/>
      <c r="O112" s="288">
        <f t="shared" si="200"/>
        <v>0</v>
      </c>
      <c r="CL112" s="777"/>
    </row>
    <row r="113" spans="1:90" ht="18" x14ac:dyDescent="0.35">
      <c r="A113" s="288"/>
      <c r="B113" s="289">
        <f>IF(O113=1,SUM($O$41:O113),0)</f>
        <v>0</v>
      </c>
      <c r="C113" s="274">
        <v>67</v>
      </c>
      <c r="D113" s="290" t="s">
        <v>86</v>
      </c>
      <c r="E113" s="291">
        <v>30</v>
      </c>
      <c r="F113" s="292" t="s">
        <v>106</v>
      </c>
      <c r="G113" s="293"/>
      <c r="H113" s="294"/>
      <c r="I113" s="288">
        <f>SUMIFS($AU$14:$AU$38,$AS$14:$AS$38,E113,$U$14:$U$38,F113)/100</f>
        <v>0</v>
      </c>
      <c r="J113" s="295">
        <v>1</v>
      </c>
      <c r="K113" s="295"/>
      <c r="L113" s="295">
        <f>VLOOKUP(D113,'قائمة الأسعار'!$D$77:$H$80,3,0)</f>
        <v>1</v>
      </c>
      <c r="M113" s="296">
        <f>L113*J113*I113</f>
        <v>0</v>
      </c>
      <c r="N113" s="413"/>
      <c r="O113" s="288">
        <f t="shared" si="200"/>
        <v>0</v>
      </c>
      <c r="S113" s="263"/>
      <c r="CL113" s="777"/>
    </row>
    <row r="114" spans="1:90" ht="18" x14ac:dyDescent="0.35">
      <c r="A114" s="288"/>
      <c r="B114" s="289">
        <f>IF(O114=1,SUM($O$41:O114),0)</f>
        <v>0</v>
      </c>
      <c r="C114" s="274">
        <v>68</v>
      </c>
      <c r="D114" s="290" t="s">
        <v>87</v>
      </c>
      <c r="E114" s="291">
        <v>30</v>
      </c>
      <c r="F114" s="292" t="s">
        <v>106</v>
      </c>
      <c r="G114" s="293"/>
      <c r="H114" s="294"/>
      <c r="I114" s="295" t="s">
        <v>20</v>
      </c>
      <c r="J114" s="295">
        <f>SUMIFS($HV$14:$HV$38,$AS$14:$AS$38,E114,$U$14:$U$38,F114)</f>
        <v>0</v>
      </c>
      <c r="K114" s="295"/>
      <c r="L114" s="295">
        <f>VLOOKUP(D114,'قائمة الأسعار'!D19:F109,3,0)</f>
        <v>1</v>
      </c>
      <c r="M114" s="296">
        <f>L114*J114</f>
        <v>0</v>
      </c>
      <c r="N114" s="413"/>
      <c r="O114" s="288">
        <f t="shared" si="200"/>
        <v>0</v>
      </c>
      <c r="S114" s="263"/>
      <c r="CL114" s="777"/>
    </row>
    <row r="115" spans="1:90" ht="18" x14ac:dyDescent="0.35">
      <c r="A115" s="288"/>
      <c r="B115" s="289">
        <f>IF(O115=1,SUM($O$41:O115),0)</f>
        <v>0</v>
      </c>
      <c r="C115" s="274">
        <v>69</v>
      </c>
      <c r="D115" s="290" t="s">
        <v>86</v>
      </c>
      <c r="E115" s="291">
        <v>30</v>
      </c>
      <c r="F115" s="292" t="s">
        <v>107</v>
      </c>
      <c r="G115" s="293"/>
      <c r="H115" s="294"/>
      <c r="I115" s="288">
        <f>SUMIFS($AU$14:$AU$38,$AS$14:$AS$38,E115,$U$14:$U$38,F115)/100</f>
        <v>0</v>
      </c>
      <c r="J115" s="295">
        <v>1</v>
      </c>
      <c r="K115" s="295"/>
      <c r="L115" s="295">
        <f>VLOOKUP(D115,'قائمة الأسعار'!$D$77:$H$80,3,0)</f>
        <v>1</v>
      </c>
      <c r="M115" s="296">
        <f>L115*J115*I115</f>
        <v>0</v>
      </c>
      <c r="N115" s="413"/>
      <c r="O115" s="288">
        <f t="shared" si="200"/>
        <v>0</v>
      </c>
      <c r="CL115" s="777"/>
    </row>
    <row r="116" spans="1:90" ht="18" x14ac:dyDescent="0.35">
      <c r="A116" s="288"/>
      <c r="B116" s="289">
        <f>IF(O116=1,SUM($O$41:O116),0)</f>
        <v>0</v>
      </c>
      <c r="C116" s="274">
        <v>70</v>
      </c>
      <c r="D116" s="290" t="s">
        <v>87</v>
      </c>
      <c r="E116" s="291">
        <v>30</v>
      </c>
      <c r="F116" s="292" t="s">
        <v>107</v>
      </c>
      <c r="G116" s="293"/>
      <c r="H116" s="294"/>
      <c r="I116" s="295" t="s">
        <v>20</v>
      </c>
      <c r="J116" s="295">
        <f>SUMIFS($HV$14:$HV$38,$AS$14:$AS$38,E116,$U$14:$U$38,F116)</f>
        <v>0</v>
      </c>
      <c r="K116" s="295"/>
      <c r="L116" s="295">
        <f>VLOOKUP(D116,'قائمة الأسعار'!D19:F109,3,0)</f>
        <v>1</v>
      </c>
      <c r="M116" s="296">
        <f>L116*J116</f>
        <v>0</v>
      </c>
      <c r="N116" s="413"/>
      <c r="O116" s="288">
        <f>IF(M116&gt;0,1,0)</f>
        <v>0</v>
      </c>
      <c r="CL116" s="777"/>
    </row>
    <row r="117" spans="1:90" ht="18" x14ac:dyDescent="0.35">
      <c r="A117" s="288"/>
      <c r="B117" s="289">
        <f>IF(O117=1,SUM($O$41:O117),0)</f>
        <v>0</v>
      </c>
      <c r="C117" s="274">
        <v>71</v>
      </c>
      <c r="D117" s="290" t="s">
        <v>86</v>
      </c>
      <c r="E117" s="291">
        <v>30</v>
      </c>
      <c r="F117" s="292" t="s">
        <v>105</v>
      </c>
      <c r="G117" s="293"/>
      <c r="H117" s="294"/>
      <c r="I117" s="288">
        <f>SUMIFS($AU$14:$AU$38,$AS$14:$AS$38,E117,$U$14:$U$38,F117)/100</f>
        <v>0</v>
      </c>
      <c r="J117" s="295">
        <v>1</v>
      </c>
      <c r="K117" s="295"/>
      <c r="L117" s="295">
        <f>VLOOKUP(D117,'قائمة الأسعار'!$D$77:$H$80,3,0)</f>
        <v>1</v>
      </c>
      <c r="M117" s="296">
        <f>L117*J117*I117</f>
        <v>0</v>
      </c>
      <c r="N117" s="413"/>
      <c r="O117" s="288">
        <f t="shared" ref="O117:O159" si="201">IF(M117&gt;0,1,0)</f>
        <v>0</v>
      </c>
      <c r="CL117" s="777"/>
    </row>
    <row r="118" spans="1:90" ht="18" x14ac:dyDescent="0.35">
      <c r="A118" s="288"/>
      <c r="B118" s="289">
        <f>IF(O118=1,SUM($O$41:O118),0)</f>
        <v>0</v>
      </c>
      <c r="C118" s="274">
        <v>72</v>
      </c>
      <c r="D118" s="290" t="s">
        <v>87</v>
      </c>
      <c r="E118" s="291">
        <v>30</v>
      </c>
      <c r="F118" s="292" t="s">
        <v>105</v>
      </c>
      <c r="G118" s="293"/>
      <c r="H118" s="294"/>
      <c r="I118" s="295" t="s">
        <v>20</v>
      </c>
      <c r="J118" s="295">
        <f>SUMIFS($HV$14:$HV$38,$AS$14:$AS$38,E118,$U$14:$U$38,F118)</f>
        <v>0</v>
      </c>
      <c r="K118" s="295"/>
      <c r="L118" s="295">
        <f>VLOOKUP(D118,'قائمة الأسعار'!D19:F109,3,0)</f>
        <v>1</v>
      </c>
      <c r="M118" s="296">
        <f>L118*J118</f>
        <v>0</v>
      </c>
      <c r="N118" s="413"/>
      <c r="O118" s="288">
        <f t="shared" si="201"/>
        <v>0</v>
      </c>
      <c r="CL118" s="777"/>
    </row>
    <row r="119" spans="1:90" ht="18" x14ac:dyDescent="0.35">
      <c r="A119" s="275"/>
      <c r="B119" s="289">
        <f>IF(O119=1,SUM($O$41:O119),0)</f>
        <v>0</v>
      </c>
      <c r="C119" s="274">
        <v>73</v>
      </c>
      <c r="D119" s="290" t="s">
        <v>86</v>
      </c>
      <c r="E119" s="291">
        <v>30</v>
      </c>
      <c r="F119" s="287" t="s">
        <v>149</v>
      </c>
      <c r="G119" s="293"/>
      <c r="H119" s="294"/>
      <c r="I119" s="288">
        <f>SUMIFS($AU$14:$AU$38,$AS$14:$AS$38,E119,$U$14:$U$38,F119)/100</f>
        <v>0</v>
      </c>
      <c r="J119" s="295">
        <v>1</v>
      </c>
      <c r="K119" s="295"/>
      <c r="L119" s="295">
        <f>VLOOKUP(D119,'قائمة الأسعار'!$D$77:$H$80,3,0)</f>
        <v>1</v>
      </c>
      <c r="M119" s="296">
        <f>L119*J119*I119</f>
        <v>0</v>
      </c>
      <c r="N119" s="413"/>
      <c r="O119" s="288">
        <f t="shared" si="201"/>
        <v>0</v>
      </c>
      <c r="CL119" s="777"/>
    </row>
    <row r="120" spans="1:90" ht="18" x14ac:dyDescent="0.35">
      <c r="A120" s="275"/>
      <c r="B120" s="289">
        <f>IF(O120=1,SUM($O$41:O120),0)</f>
        <v>0</v>
      </c>
      <c r="C120" s="274">
        <v>74</v>
      </c>
      <c r="D120" s="290" t="s">
        <v>87</v>
      </c>
      <c r="E120" s="291">
        <v>30</v>
      </c>
      <c r="F120" s="287" t="s">
        <v>149</v>
      </c>
      <c r="G120" s="293"/>
      <c r="H120" s="294"/>
      <c r="I120" s="295" t="s">
        <v>20</v>
      </c>
      <c r="J120" s="295">
        <f>SUMIFS($HV$14:$HV$38,$AS$14:$AS$38,E120,$U$14:$U$38,F120)</f>
        <v>0</v>
      </c>
      <c r="K120" s="295"/>
      <c r="L120" s="295">
        <f>VLOOKUP(D120,'قائمة الأسعار'!D21:F111,3,0)</f>
        <v>1</v>
      </c>
      <c r="M120" s="296">
        <f>L120*J120</f>
        <v>0</v>
      </c>
      <c r="N120" s="413"/>
      <c r="O120" s="288">
        <f t="shared" si="201"/>
        <v>0</v>
      </c>
      <c r="CL120" s="777"/>
    </row>
    <row r="121" spans="1:90" ht="18" x14ac:dyDescent="0.35">
      <c r="A121" s="275"/>
      <c r="B121" s="289">
        <f>IF(O121=1,SUM($O$41:O121),0)</f>
        <v>0</v>
      </c>
      <c r="C121" s="274">
        <v>75</v>
      </c>
      <c r="D121" s="290" t="s">
        <v>86</v>
      </c>
      <c r="E121" s="291">
        <v>30</v>
      </c>
      <c r="F121" s="284" t="s">
        <v>143</v>
      </c>
      <c r="G121" s="293"/>
      <c r="H121" s="294"/>
      <c r="I121" s="288">
        <f>SUMIFS($AU$14:$AU$38,$AS$14:$AS$38,E121,$U$14:$U$38,F121)/100</f>
        <v>0</v>
      </c>
      <c r="J121" s="295">
        <v>1</v>
      </c>
      <c r="K121" s="295"/>
      <c r="L121" s="295">
        <f>VLOOKUP(D121,'قائمة الأسعار'!$D$77:$H$80,3,0)</f>
        <v>1</v>
      </c>
      <c r="M121" s="296">
        <f>L121*J121*I121</f>
        <v>0</v>
      </c>
      <c r="N121" s="413"/>
      <c r="O121" s="288">
        <f t="shared" si="201"/>
        <v>0</v>
      </c>
      <c r="CL121" s="777"/>
    </row>
    <row r="122" spans="1:90" ht="18" x14ac:dyDescent="0.35">
      <c r="A122" s="275"/>
      <c r="B122" s="289">
        <f>IF(O122=1,SUM($O$41:O122),0)</f>
        <v>0</v>
      </c>
      <c r="C122" s="274">
        <v>76</v>
      </c>
      <c r="D122" s="290" t="s">
        <v>87</v>
      </c>
      <c r="E122" s="291">
        <v>30</v>
      </c>
      <c r="F122" s="284" t="s">
        <v>143</v>
      </c>
      <c r="G122" s="293"/>
      <c r="H122" s="294"/>
      <c r="I122" s="295" t="s">
        <v>20</v>
      </c>
      <c r="J122" s="295">
        <f>SUMIFS($HV$14:$HV$38,$AS$14:$AS$38,E122,$U$14:$U$38,F122)</f>
        <v>0</v>
      </c>
      <c r="K122" s="295"/>
      <c r="L122" s="295">
        <f>VLOOKUP(D122,'قائمة الأسعار'!D23:F113,3,0)</f>
        <v>1</v>
      </c>
      <c r="M122" s="296">
        <f>L122*J122</f>
        <v>0</v>
      </c>
      <c r="N122" s="413"/>
      <c r="O122" s="288">
        <f t="shared" si="201"/>
        <v>0</v>
      </c>
      <c r="CL122" s="777"/>
    </row>
    <row r="123" spans="1:90" ht="18" x14ac:dyDescent="0.35">
      <c r="A123" s="288"/>
      <c r="B123" s="289">
        <f>IF(O123=1,SUM($O$41:O123),0)</f>
        <v>3</v>
      </c>
      <c r="C123" s="274">
        <v>77</v>
      </c>
      <c r="D123" s="290" t="s">
        <v>6</v>
      </c>
      <c r="E123" s="291">
        <v>6</v>
      </c>
      <c r="F123" s="300" t="s">
        <v>92</v>
      </c>
      <c r="G123" s="301"/>
      <c r="H123" s="302"/>
      <c r="I123" s="288">
        <f>SUMIFS(AU14:AU38,AV14:AV38,E123)/100</f>
        <v>15.08</v>
      </c>
      <c r="J123" s="295">
        <v>1</v>
      </c>
      <c r="K123" s="295"/>
      <c r="L123" s="295">
        <f>VLOOKUP(D123,'قائمة الأسعار'!$D$13:$F$103,3,0)</f>
        <v>1</v>
      </c>
      <c r="M123" s="296">
        <f>L123*J123*I123</f>
        <v>15.08</v>
      </c>
      <c r="N123" s="413"/>
      <c r="O123" s="288">
        <f t="shared" si="201"/>
        <v>1</v>
      </c>
      <c r="CL123" s="777"/>
    </row>
    <row r="124" spans="1:90" ht="18" x14ac:dyDescent="0.35">
      <c r="A124" s="288"/>
      <c r="B124" s="289">
        <f>IF(O124=1,SUM($O$41:O124),0)</f>
        <v>0</v>
      </c>
      <c r="C124" s="274">
        <v>78</v>
      </c>
      <c r="D124" s="295" t="s">
        <v>4</v>
      </c>
      <c r="E124" s="295"/>
      <c r="F124" s="300" t="s">
        <v>20</v>
      </c>
      <c r="G124" s="301"/>
      <c r="H124" s="302"/>
      <c r="I124" s="295" t="s">
        <v>20</v>
      </c>
      <c r="J124" s="295">
        <f>SUMIF(BL14:BL38,6,$HV$14:$HV$38)</f>
        <v>0</v>
      </c>
      <c r="K124" s="295"/>
      <c r="L124" s="295">
        <f>VLOOKUP(D124,'قائمة الأسعار'!$D$13:$F$103,3,0)</f>
        <v>1</v>
      </c>
      <c r="M124" s="296">
        <f>L124*J124</f>
        <v>0</v>
      </c>
      <c r="N124" s="413"/>
      <c r="O124" s="288">
        <f t="shared" si="201"/>
        <v>0</v>
      </c>
      <c r="CL124" s="777"/>
    </row>
    <row r="125" spans="1:90" ht="18" x14ac:dyDescent="0.35">
      <c r="A125" s="275"/>
      <c r="B125" s="283">
        <f>IF(O125=1,SUM($O$41:O125),0)</f>
        <v>0</v>
      </c>
      <c r="C125" s="274">
        <v>79</v>
      </c>
      <c r="D125" s="274" t="s">
        <v>101</v>
      </c>
      <c r="E125" s="274"/>
      <c r="F125" s="303" t="s">
        <v>20</v>
      </c>
      <c r="G125" s="304"/>
      <c r="H125" s="305"/>
      <c r="I125" s="274" t="s">
        <v>20</v>
      </c>
      <c r="J125" s="306">
        <f>SUMIFS($HV$14:$HV$38,BL14:BL38,6)</f>
        <v>0</v>
      </c>
      <c r="K125" s="306"/>
      <c r="L125" s="274">
        <f>VLOOKUP(D125,'قائمة الأسعار'!$D$13:$F$103,3,0)</f>
        <v>1</v>
      </c>
      <c r="M125" s="282">
        <f>L125*J125</f>
        <v>0</v>
      </c>
      <c r="N125" s="412"/>
      <c r="O125" s="275">
        <f t="shared" si="201"/>
        <v>0</v>
      </c>
      <c r="CL125" s="777"/>
    </row>
    <row r="126" spans="1:90" ht="18" x14ac:dyDescent="0.35">
      <c r="A126" s="275"/>
      <c r="B126" s="283">
        <f>IF(O126=1,SUM($O$41:O126),0)</f>
        <v>4</v>
      </c>
      <c r="C126" s="274">
        <v>80</v>
      </c>
      <c r="D126" s="307" t="s">
        <v>97</v>
      </c>
      <c r="E126" s="308">
        <v>6</v>
      </c>
      <c r="F126" s="303" t="s">
        <v>20</v>
      </c>
      <c r="G126" s="304"/>
      <c r="H126" s="305"/>
      <c r="I126" s="274" t="s">
        <v>20</v>
      </c>
      <c r="J126" s="274">
        <f>SUMIF(AZ14:AZ38,6,BB14:BB38)</f>
        <v>6</v>
      </c>
      <c r="K126" s="306"/>
      <c r="L126" s="274">
        <f>VLOOKUP(D126,'قائمة الأسعار'!$D$12:$F$103,3,0)</f>
        <v>1</v>
      </c>
      <c r="M126" s="282">
        <f>L126*J126</f>
        <v>6</v>
      </c>
      <c r="N126" s="412"/>
      <c r="O126" s="275">
        <f t="shared" si="201"/>
        <v>1</v>
      </c>
      <c r="CL126" s="777"/>
    </row>
    <row r="127" spans="1:90" ht="18" x14ac:dyDescent="0.35">
      <c r="A127" s="275"/>
      <c r="B127" s="283">
        <f>IF(O127=1,SUM($O$41:O127),0)</f>
        <v>0</v>
      </c>
      <c r="C127" s="274">
        <v>81</v>
      </c>
      <c r="D127" s="307" t="s">
        <v>7</v>
      </c>
      <c r="E127" s="308">
        <v>7</v>
      </c>
      <c r="F127" s="303" t="s">
        <v>89</v>
      </c>
      <c r="G127" s="304"/>
      <c r="H127" s="305"/>
      <c r="I127" s="275">
        <f>SUMIFS(AU14:AU38,AV14:AV38,E127)/100</f>
        <v>0</v>
      </c>
      <c r="J127" s="274">
        <v>1</v>
      </c>
      <c r="K127" s="274"/>
      <c r="L127" s="274">
        <f>VLOOKUP(D127,'قائمة الأسعار'!$D$13:$F$103,3,0)</f>
        <v>1</v>
      </c>
      <c r="M127" s="282">
        <f>L127*J127*I127</f>
        <v>0</v>
      </c>
      <c r="N127" s="412"/>
      <c r="O127" s="275">
        <f t="shared" si="201"/>
        <v>0</v>
      </c>
      <c r="CL127" s="777"/>
    </row>
    <row r="128" spans="1:90" ht="18" x14ac:dyDescent="0.35">
      <c r="A128" s="275"/>
      <c r="B128" s="283">
        <f>IF(O128=1,SUM($O$41:O128),0)</f>
        <v>0</v>
      </c>
      <c r="C128" s="274">
        <v>82</v>
      </c>
      <c r="D128" s="274" t="s">
        <v>5</v>
      </c>
      <c r="E128" s="274"/>
      <c r="F128" s="303" t="s">
        <v>20</v>
      </c>
      <c r="G128" s="304"/>
      <c r="H128" s="305"/>
      <c r="I128" s="274" t="s">
        <v>20</v>
      </c>
      <c r="J128" s="274">
        <f>SUMIF(BL14:BL38,7,AA14:AA38)</f>
        <v>0</v>
      </c>
      <c r="K128" s="274"/>
      <c r="L128" s="274">
        <f>VLOOKUP(D128,'قائمة الأسعار'!$D$13:$F$103,3,0)</f>
        <v>1</v>
      </c>
      <c r="M128" s="282">
        <f>L128*J128</f>
        <v>0</v>
      </c>
      <c r="N128" s="412"/>
      <c r="O128" s="275">
        <f t="shared" si="201"/>
        <v>0</v>
      </c>
      <c r="CL128" s="777"/>
    </row>
    <row r="129" spans="1:90" ht="18" x14ac:dyDescent="0.35">
      <c r="A129" s="275"/>
      <c r="B129" s="283">
        <f>IF(O129=1,SUM($O$41:O129),0)</f>
        <v>0</v>
      </c>
      <c r="C129" s="274">
        <v>83</v>
      </c>
      <c r="D129" s="307" t="s">
        <v>98</v>
      </c>
      <c r="E129" s="308">
        <v>7</v>
      </c>
      <c r="F129" s="303" t="s">
        <v>20</v>
      </c>
      <c r="G129" s="304"/>
      <c r="H129" s="305"/>
      <c r="I129" s="274" t="s">
        <v>20</v>
      </c>
      <c r="J129" s="274">
        <f>SUMIF(AZ14:AZ38,7,BB14:BB38)</f>
        <v>0</v>
      </c>
      <c r="K129" s="306"/>
      <c r="L129" s="274">
        <f>VLOOKUP(D129,'قائمة الأسعار'!$D$12:$F$103,3,0)</f>
        <v>1</v>
      </c>
      <c r="M129" s="282">
        <f>L129*J129</f>
        <v>0</v>
      </c>
      <c r="N129" s="412"/>
      <c r="O129" s="275">
        <f t="shared" si="201"/>
        <v>0</v>
      </c>
      <c r="CL129" s="777"/>
    </row>
    <row r="130" spans="1:90" ht="18" x14ac:dyDescent="0.35">
      <c r="A130" s="275"/>
      <c r="B130" s="283">
        <f>IF(O130=1,SUM($O$41:O130),0)</f>
        <v>0</v>
      </c>
      <c r="C130" s="274">
        <v>84</v>
      </c>
      <c r="D130" s="274" t="s">
        <v>101</v>
      </c>
      <c r="E130" s="274"/>
      <c r="F130" s="303" t="s">
        <v>20</v>
      </c>
      <c r="G130" s="304"/>
      <c r="H130" s="305"/>
      <c r="I130" s="274" t="s">
        <v>20</v>
      </c>
      <c r="J130" s="274">
        <f>SUMIFS($HV$14:$HV$38,BL14:BL38,7)</f>
        <v>0</v>
      </c>
      <c r="K130" s="306"/>
      <c r="L130" s="274">
        <f>VLOOKUP(D130,'قائمة الأسعار'!$D$13:$F$103,3,0)</f>
        <v>1</v>
      </c>
      <c r="M130" s="282">
        <f>L130*J130</f>
        <v>0</v>
      </c>
      <c r="N130" s="412"/>
      <c r="O130" s="275">
        <f t="shared" si="201"/>
        <v>0</v>
      </c>
      <c r="CL130" s="777"/>
    </row>
    <row r="131" spans="1:90" ht="22.8" x14ac:dyDescent="0.35">
      <c r="A131" s="275"/>
      <c r="B131" s="283">
        <f>IF(O131=1,SUM($O$41:O131),0)</f>
        <v>0</v>
      </c>
      <c r="C131" s="274">
        <v>85</v>
      </c>
      <c r="D131" s="307" t="s">
        <v>99</v>
      </c>
      <c r="E131" s="308">
        <v>10.199999999999999</v>
      </c>
      <c r="F131" s="303" t="s">
        <v>102</v>
      </c>
      <c r="G131" s="304"/>
      <c r="H131" s="305"/>
      <c r="I131" s="275">
        <f>SUMIFS(AU14:AU38,AV14:AV38,E131)/100</f>
        <v>0</v>
      </c>
      <c r="J131" s="274">
        <v>1</v>
      </c>
      <c r="K131" s="274"/>
      <c r="L131" s="274">
        <f>VLOOKUP(D131,'قائمة الأسعار'!$D$12:$F$103,3,0)</f>
        <v>1</v>
      </c>
      <c r="M131" s="282">
        <f>L131*J131*I131</f>
        <v>0</v>
      </c>
      <c r="N131" s="412"/>
      <c r="O131" s="275">
        <f t="shared" si="201"/>
        <v>0</v>
      </c>
      <c r="CL131" s="777"/>
    </row>
    <row r="132" spans="1:90" ht="34.200000000000003" x14ac:dyDescent="0.35">
      <c r="A132" s="275"/>
      <c r="B132" s="283">
        <f>IF(O132=1,SUM($O$41:O132),0)</f>
        <v>0</v>
      </c>
      <c r="C132" s="274">
        <v>86</v>
      </c>
      <c r="D132" s="274" t="s">
        <v>100</v>
      </c>
      <c r="E132" s="274"/>
      <c r="F132" s="303" t="s">
        <v>103</v>
      </c>
      <c r="G132" s="304"/>
      <c r="H132" s="305"/>
      <c r="I132" s="274" t="s">
        <v>20</v>
      </c>
      <c r="J132" s="274">
        <f>SUMIF(AV14:AV38,10.2,AA14:AA38)</f>
        <v>0</v>
      </c>
      <c r="K132" s="274"/>
      <c r="L132" s="274">
        <f>VLOOKUP(D132,'قائمة الأسعار'!$D$12:$F$103,3,0)</f>
        <v>1</v>
      </c>
      <c r="M132" s="282">
        <f t="shared" ref="M132:M150" si="202">L132*J132</f>
        <v>0</v>
      </c>
      <c r="N132" s="412"/>
      <c r="O132" s="275">
        <f t="shared" si="201"/>
        <v>0</v>
      </c>
      <c r="CL132" s="777"/>
    </row>
    <row r="133" spans="1:90" ht="18" x14ac:dyDescent="0.35">
      <c r="A133" s="275"/>
      <c r="B133" s="283">
        <f>IF(O133=1,SUM($O$41:O133),0)</f>
        <v>5</v>
      </c>
      <c r="C133" s="274">
        <v>87</v>
      </c>
      <c r="D133" s="274" t="s">
        <v>191</v>
      </c>
      <c r="E133" s="274"/>
      <c r="F133" s="303" t="s">
        <v>20</v>
      </c>
      <c r="G133" s="304"/>
      <c r="H133" s="305"/>
      <c r="I133" s="274" t="s">
        <v>20</v>
      </c>
      <c r="J133" s="306">
        <f>SUMIF(AZ14:AZ38,"نابضية ص",BB14:BB38)</f>
        <v>9</v>
      </c>
      <c r="K133" s="306"/>
      <c r="L133" s="274">
        <f>VLOOKUP(D133,'قائمة الأسعار'!$D$13:$F$103,3,0)</f>
        <v>1</v>
      </c>
      <c r="M133" s="282">
        <f t="shared" si="202"/>
        <v>9</v>
      </c>
      <c r="N133" s="412"/>
      <c r="O133" s="275">
        <f t="shared" si="201"/>
        <v>1</v>
      </c>
      <c r="CL133" s="777"/>
    </row>
    <row r="134" spans="1:90" ht="18" x14ac:dyDescent="0.35">
      <c r="A134" s="275"/>
      <c r="B134" s="283">
        <f>IF(O134=1,SUM($O$41:O134),0)</f>
        <v>6</v>
      </c>
      <c r="C134" s="274">
        <v>88</v>
      </c>
      <c r="D134" s="274" t="s">
        <v>192</v>
      </c>
      <c r="E134" s="274"/>
      <c r="F134" s="303" t="s">
        <v>20</v>
      </c>
      <c r="G134" s="304"/>
      <c r="H134" s="305"/>
      <c r="I134" s="274" t="s">
        <v>20</v>
      </c>
      <c r="J134" s="306">
        <f>SUMIF(AZ14:AZ38,"نابضية ك",BB14:BB38)</f>
        <v>21</v>
      </c>
      <c r="K134" s="306"/>
      <c r="L134" s="274">
        <f>VLOOKUP(D134,'قائمة الأسعار'!$D$13:$F$103,3,0)</f>
        <v>1</v>
      </c>
      <c r="M134" s="282">
        <f t="shared" si="202"/>
        <v>21</v>
      </c>
      <c r="N134" s="412"/>
      <c r="O134" s="275">
        <f t="shared" si="201"/>
        <v>1</v>
      </c>
      <c r="CL134" s="777"/>
    </row>
    <row r="135" spans="1:90" ht="22.8" x14ac:dyDescent="0.35">
      <c r="A135" s="275">
        <f>IF(O135=1,SUM($O$135:O135),0)</f>
        <v>0</v>
      </c>
      <c r="B135" s="283">
        <f>IF(O135=1,SUM($O$41:O135),0)</f>
        <v>0</v>
      </c>
      <c r="C135" s="274">
        <v>89</v>
      </c>
      <c r="D135" s="274" t="s">
        <v>546</v>
      </c>
      <c r="E135" s="274"/>
      <c r="F135" s="303" t="s">
        <v>20</v>
      </c>
      <c r="G135" s="304"/>
      <c r="H135" s="305"/>
      <c r="I135" s="274" t="s">
        <v>20</v>
      </c>
      <c r="J135" s="306">
        <f>CE39</f>
        <v>0</v>
      </c>
      <c r="K135" s="306"/>
      <c r="L135" s="274">
        <f>VLOOKUP(D135,'قائمة الأسعار'!$D$13:$F$103,3,0)</f>
        <v>1</v>
      </c>
      <c r="M135" s="282">
        <f t="shared" si="202"/>
        <v>0</v>
      </c>
      <c r="N135" s="412"/>
      <c r="O135" s="275">
        <f t="shared" si="201"/>
        <v>0</v>
      </c>
      <c r="CL135" s="777"/>
    </row>
    <row r="136" spans="1:90" ht="22.8" x14ac:dyDescent="0.35">
      <c r="A136" s="275">
        <f>IF(O136=1,SUM($O$135:O136),0)</f>
        <v>0</v>
      </c>
      <c r="B136" s="283">
        <f>IF(O136=1,SUM($O$41:O136),0)</f>
        <v>0</v>
      </c>
      <c r="C136" s="274">
        <v>90</v>
      </c>
      <c r="D136" s="274" t="s">
        <v>545</v>
      </c>
      <c r="E136" s="274"/>
      <c r="F136" s="303" t="s">
        <v>20</v>
      </c>
      <c r="G136" s="304"/>
      <c r="H136" s="305"/>
      <c r="I136" s="274" t="s">
        <v>20</v>
      </c>
      <c r="J136" s="306">
        <f>CF39</f>
        <v>0</v>
      </c>
      <c r="K136" s="306"/>
      <c r="L136" s="274">
        <f>VLOOKUP(D136,'قائمة الأسعار'!$D$13:$F$103,3,0)</f>
        <v>1</v>
      </c>
      <c r="M136" s="282">
        <f t="shared" si="202"/>
        <v>0</v>
      </c>
      <c r="N136" s="412"/>
      <c r="O136" s="275">
        <f t="shared" si="201"/>
        <v>0</v>
      </c>
      <c r="CL136" s="777"/>
    </row>
    <row r="137" spans="1:90" ht="18" x14ac:dyDescent="0.35">
      <c r="A137" s="275">
        <f>IF(O137=1,SUM($O$135:O137),0)</f>
        <v>0</v>
      </c>
      <c r="B137" s="283">
        <f>IF(O137=1,SUM($O$41:O137),0)</f>
        <v>0</v>
      </c>
      <c r="C137" s="274">
        <v>91</v>
      </c>
      <c r="D137" s="274" t="s">
        <v>495</v>
      </c>
      <c r="E137" s="274"/>
      <c r="F137" s="303" t="s">
        <v>20</v>
      </c>
      <c r="G137" s="304"/>
      <c r="H137" s="305"/>
      <c r="I137" s="274" t="s">
        <v>20</v>
      </c>
      <c r="J137" s="306">
        <f>CG39</f>
        <v>0</v>
      </c>
      <c r="K137" s="306"/>
      <c r="L137" s="274">
        <f>VLOOKUP(D137,'قائمة الأسعار'!$D$13:$F$103,3,0)</f>
        <v>1</v>
      </c>
      <c r="M137" s="282">
        <f t="shared" si="202"/>
        <v>0</v>
      </c>
      <c r="N137" s="412"/>
      <c r="O137" s="275">
        <f t="shared" si="201"/>
        <v>0</v>
      </c>
      <c r="CL137" s="777"/>
    </row>
    <row r="138" spans="1:90" ht="18" x14ac:dyDescent="0.35">
      <c r="A138" s="275">
        <f>IF(O138=1,SUM($O$138:O138),0)</f>
        <v>0</v>
      </c>
      <c r="B138" s="283">
        <f>IF(O138=1,SUM($O$41:O138),0)</f>
        <v>0</v>
      </c>
      <c r="C138" s="274">
        <v>92</v>
      </c>
      <c r="D138" s="274" t="s">
        <v>486</v>
      </c>
      <c r="E138" s="274"/>
      <c r="F138" s="307">
        <v>8</v>
      </c>
      <c r="G138" s="309" t="s">
        <v>27</v>
      </c>
      <c r="H138" s="308"/>
      <c r="I138" s="309" t="s">
        <v>20</v>
      </c>
      <c r="J138" s="274">
        <f>SUMIFS($BE$14:$BE$38,$BD$14:$BD$38,F138,$BC$14:$BC$38,"somfy",$AC$14:$AC$38,"عادي")</f>
        <v>0</v>
      </c>
      <c r="K138" s="274"/>
      <c r="L138" s="274">
        <f>VLOOKUP(F138,'قائمة الأسعار'!$D$105:$F$115,3,0)</f>
        <v>1</v>
      </c>
      <c r="M138" s="282">
        <f t="shared" si="202"/>
        <v>0</v>
      </c>
      <c r="N138" s="412"/>
      <c r="O138" s="275">
        <f t="shared" si="201"/>
        <v>0</v>
      </c>
      <c r="CL138" s="777"/>
    </row>
    <row r="139" spans="1:90" ht="18" x14ac:dyDescent="0.35">
      <c r="A139" s="275">
        <f>IF(O139=1,SUM($O$138:O139),0)</f>
        <v>0</v>
      </c>
      <c r="B139" s="283">
        <f>IF(O139=1,SUM($O$41:O139),0)</f>
        <v>0</v>
      </c>
      <c r="C139" s="274">
        <v>93</v>
      </c>
      <c r="D139" s="274" t="s">
        <v>486</v>
      </c>
      <c r="E139" s="274"/>
      <c r="F139" s="307">
        <v>10</v>
      </c>
      <c r="G139" s="309" t="s">
        <v>27</v>
      </c>
      <c r="H139" s="308"/>
      <c r="I139" s="309" t="s">
        <v>20</v>
      </c>
      <c r="J139" s="274">
        <f t="shared" ref="J139:J147" si="203">SUMIFS($BE$14:$BE$38,$BD$14:$BD$38,F139,$BC$14:$BC$38,"somfy",$AC$14:$AC$38,"عادي")</f>
        <v>0</v>
      </c>
      <c r="K139" s="274"/>
      <c r="L139" s="274">
        <f>VLOOKUP(F139,'قائمة الأسعار'!$D$105:$F$115,3,0)</f>
        <v>1</v>
      </c>
      <c r="M139" s="282">
        <f t="shared" si="202"/>
        <v>0</v>
      </c>
      <c r="N139" s="412"/>
      <c r="O139" s="275">
        <f t="shared" si="201"/>
        <v>0</v>
      </c>
      <c r="CL139" s="777"/>
    </row>
    <row r="140" spans="1:90" ht="18" x14ac:dyDescent="0.35">
      <c r="A140" s="275">
        <f>IF(O140=1,SUM($O$138:O140),0)</f>
        <v>0</v>
      </c>
      <c r="B140" s="283">
        <f>IF(O140=1,SUM($O$41:O140),0)</f>
        <v>0</v>
      </c>
      <c r="C140" s="274">
        <v>94</v>
      </c>
      <c r="D140" s="274" t="s">
        <v>486</v>
      </c>
      <c r="E140" s="274"/>
      <c r="F140" s="307">
        <v>15</v>
      </c>
      <c r="G140" s="309" t="s">
        <v>27</v>
      </c>
      <c r="H140" s="308"/>
      <c r="I140" s="309" t="s">
        <v>20</v>
      </c>
      <c r="J140" s="274">
        <f t="shared" si="203"/>
        <v>0</v>
      </c>
      <c r="K140" s="274"/>
      <c r="L140" s="274">
        <f>VLOOKUP(F140,'قائمة الأسعار'!$D$105:$F$115,3,0)</f>
        <v>1</v>
      </c>
      <c r="M140" s="282">
        <f t="shared" si="202"/>
        <v>0</v>
      </c>
      <c r="N140" s="412"/>
      <c r="O140" s="275">
        <f t="shared" si="201"/>
        <v>0</v>
      </c>
      <c r="CL140" s="777"/>
    </row>
    <row r="141" spans="1:90" ht="18" x14ac:dyDescent="0.35">
      <c r="A141" s="275">
        <f>IF(O141=1,SUM($O$138:O141),0)</f>
        <v>0</v>
      </c>
      <c r="B141" s="283">
        <f>IF(O141=1,SUM($O$41:O141),0)</f>
        <v>0</v>
      </c>
      <c r="C141" s="274">
        <v>95</v>
      </c>
      <c r="D141" s="274" t="s">
        <v>486</v>
      </c>
      <c r="E141" s="274"/>
      <c r="F141" s="307">
        <v>20</v>
      </c>
      <c r="G141" s="309" t="s">
        <v>27</v>
      </c>
      <c r="H141" s="308"/>
      <c r="I141" s="309" t="s">
        <v>20</v>
      </c>
      <c r="J141" s="274">
        <f t="shared" si="203"/>
        <v>0</v>
      </c>
      <c r="K141" s="274"/>
      <c r="L141" s="274">
        <f>VLOOKUP(F141,'قائمة الأسعار'!$D$105:$F$115,3,0)</f>
        <v>1</v>
      </c>
      <c r="M141" s="282">
        <f t="shared" si="202"/>
        <v>0</v>
      </c>
      <c r="N141" s="412"/>
      <c r="O141" s="275">
        <f t="shared" si="201"/>
        <v>0</v>
      </c>
      <c r="CL141" s="777"/>
    </row>
    <row r="142" spans="1:90" ht="18" x14ac:dyDescent="0.35">
      <c r="A142" s="275">
        <f>IF(O142=1,SUM($O$138:O142),0)</f>
        <v>0</v>
      </c>
      <c r="B142" s="283">
        <f>IF(O142=1,SUM($O$41:O142),0)</f>
        <v>0</v>
      </c>
      <c r="C142" s="274">
        <v>96</v>
      </c>
      <c r="D142" s="274" t="s">
        <v>486</v>
      </c>
      <c r="E142" s="274"/>
      <c r="F142" s="307">
        <v>30</v>
      </c>
      <c r="G142" s="309" t="s">
        <v>27</v>
      </c>
      <c r="H142" s="308"/>
      <c r="I142" s="309" t="s">
        <v>20</v>
      </c>
      <c r="J142" s="274">
        <f t="shared" si="203"/>
        <v>0</v>
      </c>
      <c r="K142" s="274"/>
      <c r="L142" s="274">
        <f>VLOOKUP(F142,'قائمة الأسعار'!$D$105:$F$115,3,0)</f>
        <v>1</v>
      </c>
      <c r="M142" s="282">
        <f t="shared" si="202"/>
        <v>0</v>
      </c>
      <c r="N142" s="412"/>
      <c r="O142" s="275">
        <f t="shared" si="201"/>
        <v>0</v>
      </c>
      <c r="CL142" s="777"/>
    </row>
    <row r="143" spans="1:90" ht="18" x14ac:dyDescent="0.35">
      <c r="A143" s="275">
        <f>IF(O143=1,SUM($O$138:O143),0)</f>
        <v>0</v>
      </c>
      <c r="B143" s="283">
        <f>IF(O143=1,SUM($O$41:O143),0)</f>
        <v>0</v>
      </c>
      <c r="C143" s="274">
        <v>97</v>
      </c>
      <c r="D143" s="274" t="s">
        <v>486</v>
      </c>
      <c r="E143" s="274"/>
      <c r="F143" s="307">
        <v>40</v>
      </c>
      <c r="G143" s="309" t="s">
        <v>27</v>
      </c>
      <c r="H143" s="308"/>
      <c r="I143" s="309" t="s">
        <v>20</v>
      </c>
      <c r="J143" s="274">
        <f t="shared" si="203"/>
        <v>0</v>
      </c>
      <c r="K143" s="274"/>
      <c r="L143" s="274">
        <f>VLOOKUP(F143,'قائمة الأسعار'!$D$105:$F$115,3,0)</f>
        <v>1</v>
      </c>
      <c r="M143" s="282">
        <f t="shared" si="202"/>
        <v>0</v>
      </c>
      <c r="N143" s="412"/>
      <c r="O143" s="275">
        <f t="shared" si="201"/>
        <v>0</v>
      </c>
      <c r="CL143" s="777"/>
    </row>
    <row r="144" spans="1:90" ht="18" x14ac:dyDescent="0.35">
      <c r="A144" s="275">
        <f>IF(O144=1,SUM($O$138:O144),0)</f>
        <v>0</v>
      </c>
      <c r="B144" s="283">
        <f>IF(O144=1,SUM($O$41:O144),0)</f>
        <v>0</v>
      </c>
      <c r="C144" s="274">
        <v>98</v>
      </c>
      <c r="D144" s="274" t="s">
        <v>486</v>
      </c>
      <c r="E144" s="274"/>
      <c r="F144" s="307">
        <v>50</v>
      </c>
      <c r="G144" s="309" t="s">
        <v>27</v>
      </c>
      <c r="H144" s="308"/>
      <c r="I144" s="309" t="s">
        <v>20</v>
      </c>
      <c r="J144" s="274">
        <f t="shared" si="203"/>
        <v>0</v>
      </c>
      <c r="K144" s="274"/>
      <c r="L144" s="274">
        <f>VLOOKUP(F144,'قائمة الأسعار'!$D$105:$F$115,3,0)</f>
        <v>1</v>
      </c>
      <c r="M144" s="282">
        <f t="shared" si="202"/>
        <v>0</v>
      </c>
      <c r="N144" s="412"/>
      <c r="O144" s="275">
        <f t="shared" si="201"/>
        <v>0</v>
      </c>
      <c r="CL144" s="777"/>
    </row>
    <row r="145" spans="1:238" ht="18" x14ac:dyDescent="0.35">
      <c r="A145" s="275">
        <f>IF(O145=1,SUM($O$138:O145),0)</f>
        <v>0</v>
      </c>
      <c r="B145" s="283">
        <f>IF(O145=1,SUM($O$41:O145),0)</f>
        <v>0</v>
      </c>
      <c r="C145" s="274">
        <v>99</v>
      </c>
      <c r="D145" s="274" t="s">
        <v>486</v>
      </c>
      <c r="E145" s="274"/>
      <c r="F145" s="307">
        <v>60</v>
      </c>
      <c r="G145" s="309" t="s">
        <v>27</v>
      </c>
      <c r="H145" s="308"/>
      <c r="I145" s="309" t="s">
        <v>20</v>
      </c>
      <c r="J145" s="274">
        <f t="shared" si="203"/>
        <v>0</v>
      </c>
      <c r="K145" s="274"/>
      <c r="L145" s="274">
        <f>VLOOKUP(F145,'قائمة الأسعار'!$D$105:$F$115,3,0)</f>
        <v>1</v>
      </c>
      <c r="M145" s="282">
        <f t="shared" si="202"/>
        <v>0</v>
      </c>
      <c r="N145" s="412"/>
      <c r="O145" s="275">
        <f t="shared" si="201"/>
        <v>0</v>
      </c>
      <c r="CL145" s="777"/>
    </row>
    <row r="146" spans="1:238" ht="18" x14ac:dyDescent="0.35">
      <c r="A146" s="275">
        <f>IF(O146=1,SUM($O$138:O146),0)</f>
        <v>0</v>
      </c>
      <c r="B146" s="283">
        <f>IF(O146=1,SUM($O$41:O146),0)</f>
        <v>0</v>
      </c>
      <c r="C146" s="274">
        <v>100</v>
      </c>
      <c r="D146" s="274" t="s">
        <v>486</v>
      </c>
      <c r="E146" s="274"/>
      <c r="F146" s="307">
        <v>80</v>
      </c>
      <c r="G146" s="309" t="s">
        <v>27</v>
      </c>
      <c r="H146" s="308"/>
      <c r="I146" s="309" t="s">
        <v>20</v>
      </c>
      <c r="J146" s="274">
        <f>SUMIFS($BE$14:$BE$38,$BD$14:$BD$38,F146,$BC$14:$BC$38,"somfy",$AC$14:$AC$38,"عادي")</f>
        <v>0</v>
      </c>
      <c r="K146" s="274"/>
      <c r="L146" s="274">
        <f>VLOOKUP(F146,'قائمة الأسعار'!$D$105:$F$115,3,0)</f>
        <v>1</v>
      </c>
      <c r="M146" s="282">
        <f t="shared" si="202"/>
        <v>0</v>
      </c>
      <c r="N146" s="412"/>
      <c r="O146" s="275">
        <f t="shared" si="201"/>
        <v>0</v>
      </c>
      <c r="CL146" s="777"/>
    </row>
    <row r="147" spans="1:238" ht="18" x14ac:dyDescent="0.35">
      <c r="A147" s="275">
        <f>IF(O147=1,SUM($O$138:O147),0)</f>
        <v>0</v>
      </c>
      <c r="B147" s="283">
        <f>IF(O147=1,SUM($O$41:O147),0)</f>
        <v>0</v>
      </c>
      <c r="C147" s="274">
        <v>102</v>
      </c>
      <c r="D147" s="274" t="s">
        <v>486</v>
      </c>
      <c r="E147" s="274"/>
      <c r="F147" s="307">
        <v>100</v>
      </c>
      <c r="G147" s="309" t="s">
        <v>27</v>
      </c>
      <c r="H147" s="308"/>
      <c r="I147" s="309" t="s">
        <v>20</v>
      </c>
      <c r="J147" s="274">
        <f t="shared" si="203"/>
        <v>0</v>
      </c>
      <c r="K147" s="274"/>
      <c r="L147" s="274">
        <f>VLOOKUP(F147,'قائمة الأسعار'!$D$105:$F$115,3,0)</f>
        <v>1</v>
      </c>
      <c r="M147" s="282">
        <f t="shared" si="202"/>
        <v>0</v>
      </c>
      <c r="N147" s="412"/>
      <c r="O147" s="275">
        <f t="shared" si="201"/>
        <v>0</v>
      </c>
      <c r="CL147" s="777"/>
    </row>
    <row r="148" spans="1:238" s="60" customFormat="1" ht="18" x14ac:dyDescent="0.35">
      <c r="A148" s="275">
        <f>IF(O148=1,SUM($O$138:O148),0)</f>
        <v>0</v>
      </c>
      <c r="B148" s="283">
        <f>IF(O148=1,SUM($O$41:O148),0)</f>
        <v>0</v>
      </c>
      <c r="C148" s="274">
        <v>104</v>
      </c>
      <c r="D148" s="274" t="s">
        <v>486</v>
      </c>
      <c r="E148" s="274"/>
      <c r="F148" s="307">
        <v>120</v>
      </c>
      <c r="G148" s="309" t="s">
        <v>27</v>
      </c>
      <c r="H148" s="308"/>
      <c r="I148" s="309" t="s">
        <v>20</v>
      </c>
      <c r="J148" s="274">
        <f>SUMIFS($BE$14:$BE$38,$BD$14:$BD$38,F148,$BC$14:$BC$38,"somfy",$AC$14:$AC$38,"عادي")</f>
        <v>0</v>
      </c>
      <c r="K148" s="274"/>
      <c r="L148" s="274">
        <f>VLOOKUP(F148,'قائمة الأسعار'!$D$105:$F$115,3,0)</f>
        <v>1</v>
      </c>
      <c r="M148" s="282">
        <f t="shared" si="202"/>
        <v>0</v>
      </c>
      <c r="N148" s="412"/>
      <c r="O148" s="275">
        <f t="shared" si="201"/>
        <v>0</v>
      </c>
      <c r="P148" s="37"/>
      <c r="Q148" s="64"/>
      <c r="R148" s="212"/>
      <c r="S148" s="212"/>
      <c r="T148" s="212"/>
      <c r="U148" s="212"/>
      <c r="V148" s="212"/>
      <c r="W148" s="212"/>
      <c r="X148" s="212"/>
      <c r="Y148" s="212"/>
      <c r="Z148" s="212"/>
      <c r="AA148" s="212"/>
      <c r="AB148" s="212"/>
      <c r="AC148" s="212"/>
      <c r="AD148" s="212"/>
      <c r="AE148" s="212"/>
      <c r="AF148" s="212"/>
      <c r="AG148" s="193"/>
      <c r="AH148" s="212"/>
      <c r="AI148" s="212"/>
      <c r="AJ148" s="64"/>
      <c r="AM148" s="540"/>
      <c r="AN148" s="540"/>
      <c r="AO148" s="540"/>
      <c r="AP148" s="540"/>
      <c r="AQ148" s="540"/>
      <c r="AR148" s="540"/>
      <c r="AS148" s="540"/>
      <c r="AT148" s="540"/>
      <c r="AU148" s="540"/>
      <c r="AV148" s="540"/>
      <c r="AW148" s="540"/>
      <c r="AX148" s="540"/>
      <c r="AY148" s="540"/>
      <c r="AZ148" s="540"/>
      <c r="BA148" s="540"/>
      <c r="BB148" s="540"/>
      <c r="BC148" s="540"/>
      <c r="BD148" s="540"/>
      <c r="BE148" s="540"/>
      <c r="BF148" s="540"/>
      <c r="BG148" s="540"/>
      <c r="BH148" s="540"/>
      <c r="BI148" s="540"/>
      <c r="BJ148" s="540"/>
      <c r="BK148" s="540"/>
      <c r="BL148" s="540"/>
      <c r="BM148" s="540"/>
      <c r="BN148" s="540"/>
      <c r="BO148" s="540"/>
      <c r="BP148" s="540"/>
      <c r="BQ148" s="540"/>
      <c r="BR148" s="540"/>
      <c r="BS148" s="540"/>
      <c r="BT148" s="540"/>
      <c r="BU148" s="540"/>
      <c r="BV148" s="540"/>
      <c r="BW148" s="540"/>
      <c r="BX148" s="540"/>
      <c r="BY148" s="540"/>
      <c r="BZ148" s="540"/>
      <c r="CA148" s="540"/>
      <c r="CB148" s="540"/>
      <c r="CC148" s="540"/>
      <c r="CD148" s="540"/>
      <c r="CE148" s="540"/>
      <c r="CF148" s="540"/>
      <c r="CG148" s="540"/>
      <c r="CH148" s="540"/>
      <c r="CI148" s="540"/>
      <c r="CJ148" s="540"/>
      <c r="CK148" s="540"/>
      <c r="CL148" s="777"/>
      <c r="CM148" s="540"/>
      <c r="CN148" s="540"/>
      <c r="CO148" s="540"/>
      <c r="CP148" s="540"/>
      <c r="CQ148" s="540"/>
      <c r="CR148" s="540"/>
      <c r="CS148" s="540"/>
      <c r="CT148" s="540"/>
      <c r="CU148" s="540"/>
      <c r="CV148" s="540"/>
      <c r="CW148" s="540"/>
      <c r="CX148" s="540"/>
      <c r="CY148" s="540"/>
      <c r="CZ148" s="540"/>
      <c r="DA148" s="540"/>
      <c r="DB148" s="540"/>
      <c r="DC148" s="540"/>
      <c r="DD148" s="540"/>
      <c r="DE148" s="540"/>
      <c r="DF148" s="540"/>
      <c r="DG148" s="540"/>
      <c r="DH148" s="540"/>
      <c r="DI148" s="540"/>
      <c r="DJ148" s="540"/>
      <c r="DK148" s="540"/>
      <c r="DL148" s="540"/>
      <c r="DM148" s="540"/>
      <c r="DN148" s="540"/>
      <c r="DO148" s="540"/>
      <c r="DP148" s="540"/>
      <c r="DQ148" s="540"/>
      <c r="DR148" s="540"/>
      <c r="DS148" s="540"/>
      <c r="DT148" s="540"/>
      <c r="DU148" s="540"/>
      <c r="DV148" s="540"/>
      <c r="DW148" s="541"/>
      <c r="DX148" s="541"/>
      <c r="DY148" s="541"/>
      <c r="DZ148" s="541"/>
      <c r="EA148" s="541"/>
      <c r="EB148" s="541"/>
      <c r="EC148" s="541"/>
      <c r="ED148" s="541"/>
      <c r="EE148" s="541"/>
      <c r="EF148" s="541"/>
      <c r="EG148" s="541"/>
      <c r="EH148" s="541"/>
      <c r="EI148" s="541"/>
      <c r="EJ148" s="541"/>
      <c r="EK148" s="541"/>
      <c r="EL148" s="541"/>
      <c r="EM148" s="541"/>
      <c r="EN148" s="541"/>
      <c r="EO148" s="541"/>
      <c r="EP148" s="541"/>
      <c r="EQ148" s="541"/>
      <c r="ER148" s="541"/>
      <c r="ES148" s="541"/>
      <c r="ET148" s="541"/>
      <c r="EU148" s="541"/>
      <c r="EV148" s="541"/>
      <c r="EW148" s="541"/>
      <c r="EX148" s="541"/>
      <c r="EY148" s="541"/>
      <c r="EZ148" s="541"/>
      <c r="FA148" s="541"/>
      <c r="FB148" s="541"/>
      <c r="FC148" s="541"/>
      <c r="FD148" s="541"/>
      <c r="FE148" s="541"/>
      <c r="FF148" s="541"/>
      <c r="FG148" s="541"/>
      <c r="FH148" s="542"/>
      <c r="FI148" s="540"/>
      <c r="FJ148" s="540"/>
      <c r="FK148" s="540"/>
      <c r="FL148" s="540"/>
      <c r="FM148" s="540"/>
      <c r="FN148" s="540"/>
      <c r="FO148" s="540"/>
      <c r="FP148" s="540"/>
      <c r="FQ148" s="540"/>
      <c r="FR148" s="540"/>
      <c r="FS148" s="540"/>
      <c r="FT148" s="540"/>
      <c r="FU148" s="540"/>
      <c r="FV148" s="540"/>
      <c r="FW148" s="540"/>
      <c r="FX148" s="540"/>
      <c r="FY148" s="540"/>
      <c r="FZ148" s="540"/>
      <c r="GA148" s="540"/>
      <c r="GB148" s="540"/>
      <c r="GC148" s="540"/>
      <c r="GD148" s="540"/>
      <c r="GE148" s="540"/>
      <c r="GF148" s="540"/>
      <c r="GG148" s="540"/>
      <c r="GH148" s="540"/>
      <c r="GI148" s="540"/>
      <c r="GJ148" s="540"/>
      <c r="GK148" s="540"/>
      <c r="GL148" s="540"/>
      <c r="GM148" s="540"/>
      <c r="GN148" s="540"/>
      <c r="GO148" s="540"/>
      <c r="GP148" s="540"/>
      <c r="GQ148" s="540"/>
      <c r="GR148" s="540"/>
      <c r="GS148" s="540"/>
      <c r="GT148" s="540"/>
      <c r="GU148" s="540"/>
      <c r="GV148" s="540"/>
      <c r="GW148" s="540"/>
      <c r="GX148" s="540"/>
      <c r="GY148" s="540"/>
      <c r="GZ148" s="540"/>
      <c r="HA148" s="540"/>
      <c r="HB148" s="540"/>
      <c r="HC148" s="540"/>
      <c r="HD148" s="540"/>
      <c r="HE148" s="540"/>
      <c r="HF148" s="540"/>
      <c r="HG148" s="540"/>
      <c r="HH148" s="540"/>
      <c r="HI148" s="540"/>
      <c r="HJ148" s="540"/>
      <c r="HK148" s="540"/>
      <c r="HL148" s="540"/>
      <c r="HM148" s="540"/>
      <c r="HN148" s="540"/>
      <c r="HO148" s="540"/>
      <c r="HP148" s="540"/>
      <c r="HQ148" s="540"/>
      <c r="HR148" s="540"/>
      <c r="HS148" s="540"/>
      <c r="HT148" s="540"/>
      <c r="HU148" s="540"/>
      <c r="HV148" s="540"/>
      <c r="HW148" s="540"/>
      <c r="HX148" s="540"/>
      <c r="HY148" s="540"/>
      <c r="HZ148" s="540"/>
      <c r="IA148" s="540"/>
      <c r="IB148" s="540"/>
      <c r="IC148" s="540"/>
      <c r="ID148" s="540"/>
    </row>
    <row r="149" spans="1:238" s="60" customFormat="1" ht="18" x14ac:dyDescent="0.35">
      <c r="A149" s="275">
        <f>IF(O149=1,SUM($O$138:O149),0)</f>
        <v>0</v>
      </c>
      <c r="B149" s="283">
        <f>IF(O149=1,SUM($O$41:O149),0)</f>
        <v>0</v>
      </c>
      <c r="C149" s="274">
        <v>105</v>
      </c>
      <c r="D149" s="274" t="s">
        <v>323</v>
      </c>
      <c r="E149" s="274"/>
      <c r="F149" s="307" t="s">
        <v>116</v>
      </c>
      <c r="G149" s="309" t="s">
        <v>27</v>
      </c>
      <c r="H149" s="308"/>
      <c r="I149" s="309" t="s">
        <v>20</v>
      </c>
      <c r="J149" s="274">
        <f>SUMIFS($BE$14:$BE$38,$BD$14:$BD$38,"error",$AC$14:$AC$38,"عادي")</f>
        <v>0</v>
      </c>
      <c r="K149" s="274"/>
      <c r="L149" s="274">
        <v>1</v>
      </c>
      <c r="M149" s="282">
        <f t="shared" si="202"/>
        <v>0</v>
      </c>
      <c r="N149" s="412"/>
      <c r="O149" s="275">
        <f t="shared" si="201"/>
        <v>0</v>
      </c>
      <c r="P149" s="37"/>
      <c r="Q149" s="64"/>
      <c r="R149" s="212"/>
      <c r="S149" s="212"/>
      <c r="T149" s="212"/>
      <c r="U149" s="212"/>
      <c r="V149" s="212"/>
      <c r="W149" s="212"/>
      <c r="X149" s="212"/>
      <c r="Y149" s="212"/>
      <c r="Z149" s="212"/>
      <c r="AA149" s="212"/>
      <c r="AB149" s="212"/>
      <c r="AC149" s="212"/>
      <c r="AD149" s="212"/>
      <c r="AE149" s="212"/>
      <c r="AF149" s="212"/>
      <c r="AG149" s="193"/>
      <c r="AH149" s="212"/>
      <c r="AI149" s="212"/>
      <c r="AJ149" s="64"/>
      <c r="AM149" s="540"/>
      <c r="AN149" s="540"/>
      <c r="AO149" s="540"/>
      <c r="AP149" s="540"/>
      <c r="AQ149" s="540"/>
      <c r="AR149" s="540"/>
      <c r="AS149" s="540"/>
      <c r="AT149" s="540"/>
      <c r="AU149" s="540"/>
      <c r="AV149" s="540"/>
      <c r="AW149" s="540"/>
      <c r="AX149" s="540"/>
      <c r="AY149" s="540"/>
      <c r="AZ149" s="540"/>
      <c r="BA149" s="540"/>
      <c r="BB149" s="540"/>
      <c r="BC149" s="540"/>
      <c r="BD149" s="540"/>
      <c r="BE149" s="540"/>
      <c r="BF149" s="540"/>
      <c r="BG149" s="540"/>
      <c r="BH149" s="540"/>
      <c r="BI149" s="540"/>
      <c r="BJ149" s="540"/>
      <c r="BK149" s="540"/>
      <c r="BL149" s="540"/>
      <c r="BM149" s="540"/>
      <c r="BN149" s="540"/>
      <c r="BO149" s="540"/>
      <c r="BP149" s="540"/>
      <c r="BQ149" s="540"/>
      <c r="BR149" s="540"/>
      <c r="BS149" s="540"/>
      <c r="BT149" s="540"/>
      <c r="BU149" s="540"/>
      <c r="BV149" s="540"/>
      <c r="BW149" s="540"/>
      <c r="BX149" s="540"/>
      <c r="BY149" s="540"/>
      <c r="BZ149" s="540"/>
      <c r="CA149" s="540"/>
      <c r="CB149" s="540"/>
      <c r="CC149" s="540"/>
      <c r="CD149" s="540"/>
      <c r="CE149" s="540"/>
      <c r="CF149" s="540"/>
      <c r="CG149" s="540"/>
      <c r="CH149" s="540"/>
      <c r="CI149" s="540"/>
      <c r="CJ149" s="540"/>
      <c r="CK149" s="540"/>
      <c r="CL149" s="777"/>
      <c r="CM149" s="540"/>
      <c r="CN149" s="540"/>
      <c r="CO149" s="540"/>
      <c r="CP149" s="540"/>
      <c r="CQ149" s="540"/>
      <c r="CR149" s="540"/>
      <c r="CS149" s="540"/>
      <c r="CT149" s="540"/>
      <c r="CU149" s="540"/>
      <c r="CV149" s="540"/>
      <c r="CW149" s="540"/>
      <c r="CX149" s="540"/>
      <c r="CY149" s="540"/>
      <c r="CZ149" s="540"/>
      <c r="DA149" s="540"/>
      <c r="DB149" s="540"/>
      <c r="DC149" s="540"/>
      <c r="DD149" s="540"/>
      <c r="DE149" s="540"/>
      <c r="DF149" s="540"/>
      <c r="DG149" s="540"/>
      <c r="DH149" s="540"/>
      <c r="DI149" s="540"/>
      <c r="DJ149" s="540"/>
      <c r="DK149" s="540"/>
      <c r="DL149" s="540"/>
      <c r="DM149" s="540"/>
      <c r="DN149" s="540"/>
      <c r="DO149" s="540"/>
      <c r="DP149" s="540"/>
      <c r="DQ149" s="540"/>
      <c r="DR149" s="540"/>
      <c r="DS149" s="540"/>
      <c r="DT149" s="540"/>
      <c r="DU149" s="540"/>
      <c r="DV149" s="540"/>
      <c r="DW149" s="541"/>
      <c r="DX149" s="541"/>
      <c r="DY149" s="541"/>
      <c r="DZ149" s="541"/>
      <c r="EA149" s="541"/>
      <c r="EB149" s="541"/>
      <c r="EC149" s="541"/>
      <c r="ED149" s="541"/>
      <c r="EE149" s="541"/>
      <c r="EF149" s="541"/>
      <c r="EG149" s="541"/>
      <c r="EH149" s="541"/>
      <c r="EI149" s="541"/>
      <c r="EJ149" s="541"/>
      <c r="EK149" s="541"/>
      <c r="EL149" s="541"/>
      <c r="EM149" s="541"/>
      <c r="EN149" s="541"/>
      <c r="EO149" s="541"/>
      <c r="EP149" s="541"/>
      <c r="EQ149" s="541"/>
      <c r="ER149" s="541"/>
      <c r="ES149" s="541"/>
      <c r="ET149" s="541"/>
      <c r="EU149" s="541"/>
      <c r="EV149" s="541"/>
      <c r="EW149" s="541"/>
      <c r="EX149" s="541"/>
      <c r="EY149" s="541"/>
      <c r="EZ149" s="541"/>
      <c r="FA149" s="541"/>
      <c r="FB149" s="541"/>
      <c r="FC149" s="541"/>
      <c r="FD149" s="541"/>
      <c r="FE149" s="541"/>
      <c r="FF149" s="541"/>
      <c r="FG149" s="541"/>
      <c r="FH149" s="542"/>
      <c r="FI149" s="540"/>
      <c r="FJ149" s="540"/>
      <c r="FK149" s="540"/>
      <c r="FL149" s="540"/>
      <c r="FM149" s="540"/>
      <c r="FN149" s="540"/>
      <c r="FO149" s="540"/>
      <c r="FP149" s="540"/>
      <c r="FQ149" s="540"/>
      <c r="FR149" s="540"/>
      <c r="FS149" s="540"/>
      <c r="FT149" s="540"/>
      <c r="FU149" s="540"/>
      <c r="FV149" s="540"/>
      <c r="FW149" s="540"/>
      <c r="FX149" s="540"/>
      <c r="FY149" s="540"/>
      <c r="FZ149" s="540"/>
      <c r="GA149" s="540"/>
      <c r="GB149" s="540"/>
      <c r="GC149" s="540"/>
      <c r="GD149" s="540"/>
      <c r="GE149" s="540"/>
      <c r="GF149" s="540"/>
      <c r="GG149" s="540"/>
      <c r="GH149" s="540"/>
      <c r="GI149" s="540"/>
      <c r="GJ149" s="540"/>
      <c r="GK149" s="540"/>
      <c r="GL149" s="540"/>
      <c r="GM149" s="540"/>
      <c r="GN149" s="540"/>
      <c r="GO149" s="540"/>
      <c r="GP149" s="540"/>
      <c r="GQ149" s="540"/>
      <c r="GR149" s="540"/>
      <c r="GS149" s="540"/>
      <c r="GT149" s="540"/>
      <c r="GU149" s="540"/>
      <c r="GV149" s="540"/>
      <c r="GW149" s="540"/>
      <c r="GX149" s="540"/>
      <c r="GY149" s="540"/>
      <c r="GZ149" s="540"/>
      <c r="HA149" s="540"/>
      <c r="HB149" s="540"/>
      <c r="HC149" s="540"/>
      <c r="HD149" s="540"/>
      <c r="HE149" s="540"/>
      <c r="HF149" s="540"/>
      <c r="HG149" s="540"/>
      <c r="HH149" s="540"/>
      <c r="HI149" s="540"/>
      <c r="HJ149" s="540"/>
      <c r="HK149" s="540"/>
      <c r="HL149" s="540"/>
      <c r="HM149" s="540"/>
      <c r="HN149" s="540"/>
      <c r="HO149" s="540"/>
      <c r="HP149" s="540"/>
      <c r="HQ149" s="540"/>
      <c r="HR149" s="540"/>
      <c r="HS149" s="540"/>
      <c r="HT149" s="540"/>
      <c r="HU149" s="540"/>
      <c r="HV149" s="540"/>
      <c r="HW149" s="540"/>
      <c r="HX149" s="540"/>
      <c r="HY149" s="540"/>
      <c r="HZ149" s="540"/>
      <c r="IA149" s="540"/>
      <c r="IB149" s="540"/>
      <c r="IC149" s="540"/>
      <c r="ID149" s="540"/>
    </row>
    <row r="150" spans="1:238" s="60" customFormat="1" ht="18" x14ac:dyDescent="0.35">
      <c r="A150" s="275">
        <f>IF(O150=1,SUM($O$138:O150),0)</f>
        <v>0</v>
      </c>
      <c r="B150" s="283">
        <f>IF(O150=1,SUM($O$41:O150),0)</f>
        <v>0</v>
      </c>
      <c r="C150" s="274">
        <v>106</v>
      </c>
      <c r="D150" s="274" t="s">
        <v>331</v>
      </c>
      <c r="E150" s="274"/>
      <c r="F150" s="307">
        <v>6</v>
      </c>
      <c r="G150" s="309" t="s">
        <v>27</v>
      </c>
      <c r="H150" s="308"/>
      <c r="I150" s="309" t="s">
        <v>20</v>
      </c>
      <c r="J150" s="274">
        <f>SUMIFS($BE$14:$BE$38,$BD$14:$BD$38,F150,$BC$14:$BC$38,"asa",$AC$14:$AC$38,"عادي")</f>
        <v>0</v>
      </c>
      <c r="K150" s="274"/>
      <c r="L150" s="274">
        <f>VLOOKUP(F150,'قائمة الأسعار'!$D$122:$F$131,3,0)</f>
        <v>1</v>
      </c>
      <c r="M150" s="282">
        <f t="shared" si="202"/>
        <v>0</v>
      </c>
      <c r="N150" s="412"/>
      <c r="O150" s="275">
        <f t="shared" si="201"/>
        <v>0</v>
      </c>
      <c r="P150" s="252"/>
      <c r="Q150" s="64"/>
      <c r="R150" s="212"/>
      <c r="S150" s="212"/>
      <c r="T150" s="212"/>
      <c r="U150" s="212"/>
      <c r="V150" s="212"/>
      <c r="W150" s="212"/>
      <c r="X150" s="212"/>
      <c r="Y150" s="212"/>
      <c r="Z150" s="212"/>
      <c r="AA150" s="212"/>
      <c r="AB150" s="212"/>
      <c r="AC150" s="212"/>
      <c r="AD150" s="212"/>
      <c r="AE150" s="212"/>
      <c r="AF150" s="212"/>
      <c r="AG150" s="193"/>
      <c r="AH150" s="212"/>
      <c r="AI150" s="212"/>
      <c r="AJ150" s="64"/>
      <c r="AM150" s="540"/>
      <c r="AN150" s="540"/>
      <c r="AO150" s="540"/>
      <c r="AP150" s="540"/>
      <c r="AQ150" s="540"/>
      <c r="AR150" s="540"/>
      <c r="AS150" s="540"/>
      <c r="AT150" s="540"/>
      <c r="AU150" s="540"/>
      <c r="AV150" s="540"/>
      <c r="AW150" s="540"/>
      <c r="AX150" s="540"/>
      <c r="AY150" s="540"/>
      <c r="AZ150" s="540"/>
      <c r="BA150" s="540"/>
      <c r="BB150" s="540"/>
      <c r="BC150" s="540"/>
      <c r="BD150" s="540"/>
      <c r="BE150" s="540"/>
      <c r="BF150" s="540"/>
      <c r="BG150" s="540"/>
      <c r="BH150" s="540"/>
      <c r="BI150" s="540"/>
      <c r="BJ150" s="540"/>
      <c r="BK150" s="540"/>
      <c r="BL150" s="540"/>
      <c r="BM150" s="540"/>
      <c r="BN150" s="540"/>
      <c r="BO150" s="540"/>
      <c r="BP150" s="540"/>
      <c r="BQ150" s="540"/>
      <c r="BR150" s="540"/>
      <c r="BS150" s="540"/>
      <c r="BT150" s="540"/>
      <c r="BU150" s="540"/>
      <c r="BV150" s="540"/>
      <c r="BW150" s="540"/>
      <c r="BX150" s="540"/>
      <c r="BY150" s="540"/>
      <c r="BZ150" s="540"/>
      <c r="CA150" s="540"/>
      <c r="CB150" s="540"/>
      <c r="CC150" s="540"/>
      <c r="CD150" s="540"/>
      <c r="CE150" s="540"/>
      <c r="CF150" s="540"/>
      <c r="CG150" s="540"/>
      <c r="CH150" s="540"/>
      <c r="CI150" s="540"/>
      <c r="CJ150" s="540"/>
      <c r="CK150" s="540"/>
      <c r="CL150" s="777"/>
      <c r="CM150" s="540"/>
      <c r="CN150" s="540"/>
      <c r="CO150" s="540"/>
      <c r="CP150" s="540"/>
      <c r="CQ150" s="540"/>
      <c r="CR150" s="540"/>
      <c r="CS150" s="540"/>
      <c r="CT150" s="540"/>
      <c r="CU150" s="540"/>
      <c r="CV150" s="540"/>
      <c r="CW150" s="540"/>
      <c r="CX150" s="540"/>
      <c r="CY150" s="540"/>
      <c r="CZ150" s="540"/>
      <c r="DA150" s="540"/>
      <c r="DB150" s="540"/>
      <c r="DC150" s="540"/>
      <c r="DD150" s="540"/>
      <c r="DE150" s="540"/>
      <c r="DF150" s="540"/>
      <c r="DG150" s="540"/>
      <c r="DH150" s="540"/>
      <c r="DI150" s="540"/>
      <c r="DJ150" s="540"/>
      <c r="DK150" s="540"/>
      <c r="DL150" s="540"/>
      <c r="DM150" s="540"/>
      <c r="DN150" s="540"/>
      <c r="DO150" s="540"/>
      <c r="DP150" s="540"/>
      <c r="DQ150" s="540"/>
      <c r="DR150" s="540"/>
      <c r="DS150" s="540"/>
      <c r="DT150" s="540"/>
      <c r="DU150" s="540"/>
      <c r="DV150" s="540"/>
      <c r="DW150" s="541"/>
      <c r="DX150" s="541"/>
      <c r="DY150" s="541"/>
      <c r="DZ150" s="541"/>
      <c r="EA150" s="541"/>
      <c r="EB150" s="541"/>
      <c r="EC150" s="541"/>
      <c r="ED150" s="541"/>
      <c r="EE150" s="541"/>
      <c r="EF150" s="541"/>
      <c r="EG150" s="541"/>
      <c r="EH150" s="541"/>
      <c r="EI150" s="541"/>
      <c r="EJ150" s="541"/>
      <c r="EK150" s="541"/>
      <c r="EL150" s="541"/>
      <c r="EM150" s="541"/>
      <c r="EN150" s="541"/>
      <c r="EO150" s="541"/>
      <c r="EP150" s="541"/>
      <c r="EQ150" s="541"/>
      <c r="ER150" s="541"/>
      <c r="ES150" s="541"/>
      <c r="ET150" s="541"/>
      <c r="EU150" s="541"/>
      <c r="EV150" s="541"/>
      <c r="EW150" s="541"/>
      <c r="EX150" s="541"/>
      <c r="EY150" s="541"/>
      <c r="EZ150" s="541"/>
      <c r="FA150" s="541"/>
      <c r="FB150" s="541"/>
      <c r="FC150" s="541"/>
      <c r="FD150" s="541"/>
      <c r="FE150" s="541"/>
      <c r="FF150" s="541"/>
      <c r="FG150" s="541"/>
      <c r="FH150" s="542"/>
      <c r="FI150" s="540"/>
      <c r="FJ150" s="540"/>
      <c r="FK150" s="540"/>
      <c r="FL150" s="540"/>
      <c r="FM150" s="540"/>
      <c r="FN150" s="540"/>
      <c r="FO150" s="540"/>
      <c r="FP150" s="540"/>
      <c r="FQ150" s="540"/>
      <c r="FR150" s="540"/>
      <c r="FS150" s="540"/>
      <c r="FT150" s="540"/>
      <c r="FU150" s="540"/>
      <c r="FV150" s="540"/>
      <c r="FW150" s="540"/>
      <c r="FX150" s="540"/>
      <c r="FY150" s="540"/>
      <c r="FZ150" s="540"/>
      <c r="GA150" s="540"/>
      <c r="GB150" s="540"/>
      <c r="GC150" s="540"/>
      <c r="GD150" s="540"/>
      <c r="GE150" s="540"/>
      <c r="GF150" s="540"/>
      <c r="GG150" s="540"/>
      <c r="GH150" s="540"/>
      <c r="GI150" s="540"/>
      <c r="GJ150" s="540"/>
      <c r="GK150" s="540"/>
      <c r="GL150" s="540"/>
      <c r="GM150" s="540"/>
      <c r="GN150" s="540"/>
      <c r="GO150" s="540"/>
      <c r="GP150" s="540"/>
      <c r="GQ150" s="540"/>
      <c r="GR150" s="540"/>
      <c r="GS150" s="540"/>
      <c r="GT150" s="540"/>
      <c r="GU150" s="540"/>
      <c r="GV150" s="540"/>
      <c r="GW150" s="540"/>
      <c r="GX150" s="540"/>
      <c r="GY150" s="540"/>
      <c r="GZ150" s="540"/>
      <c r="HA150" s="540"/>
      <c r="HB150" s="540"/>
      <c r="HC150" s="540"/>
      <c r="HD150" s="540"/>
      <c r="HE150" s="540"/>
      <c r="HF150" s="540"/>
      <c r="HG150" s="540"/>
      <c r="HH150" s="540"/>
      <c r="HI150" s="540"/>
      <c r="HJ150" s="540"/>
      <c r="HK150" s="540"/>
      <c r="HL150" s="540"/>
      <c r="HM150" s="540"/>
      <c r="HN150" s="540"/>
      <c r="HO150" s="540"/>
      <c r="HP150" s="540"/>
      <c r="HQ150" s="540"/>
      <c r="HR150" s="540"/>
      <c r="HS150" s="540"/>
      <c r="HT150" s="540"/>
      <c r="HU150" s="540"/>
      <c r="HV150" s="540"/>
      <c r="HW150" s="540"/>
      <c r="HX150" s="540"/>
      <c r="HY150" s="540"/>
      <c r="HZ150" s="540"/>
      <c r="IA150" s="540"/>
      <c r="IB150" s="540"/>
      <c r="IC150" s="540"/>
      <c r="ID150" s="540"/>
    </row>
    <row r="151" spans="1:238" s="60" customFormat="1" ht="18" x14ac:dyDescent="0.35">
      <c r="A151" s="275">
        <f>IF(O151=1,SUM($O$138:O151),0)</f>
        <v>0</v>
      </c>
      <c r="B151" s="283">
        <f>IF(O151=1,SUM($O$41:O151),0)</f>
        <v>0</v>
      </c>
      <c r="C151" s="274">
        <v>107</v>
      </c>
      <c r="D151" s="274" t="s">
        <v>331</v>
      </c>
      <c r="E151" s="274"/>
      <c r="F151" s="307">
        <v>10</v>
      </c>
      <c r="G151" s="309" t="s">
        <v>27</v>
      </c>
      <c r="H151" s="308"/>
      <c r="I151" s="309" t="s">
        <v>20</v>
      </c>
      <c r="J151" s="274">
        <f t="shared" ref="J151:J159" si="204">SUMIFS($BE$14:$BE$38,$BD$14:$BD$38,F151,$BC$14:$BC$38,"asa",$AC$14:$AC$38,"عادي")</f>
        <v>0</v>
      </c>
      <c r="K151" s="274"/>
      <c r="L151" s="274">
        <f>VLOOKUP(F151,'قائمة الأسعار'!$D$122:$F$131,3,0)</f>
        <v>1</v>
      </c>
      <c r="M151" s="282">
        <f t="shared" ref="M151:M156" si="205">L151*J151</f>
        <v>0</v>
      </c>
      <c r="N151" s="412"/>
      <c r="O151" s="275">
        <f t="shared" si="201"/>
        <v>0</v>
      </c>
      <c r="P151" s="252"/>
      <c r="Q151" s="64"/>
      <c r="R151" s="212"/>
      <c r="S151" s="212"/>
      <c r="T151" s="212"/>
      <c r="U151" s="212"/>
      <c r="V151" s="212"/>
      <c r="W151" s="212"/>
      <c r="X151" s="212"/>
      <c r="Y151" s="212"/>
      <c r="Z151" s="212"/>
      <c r="AA151" s="212"/>
      <c r="AB151" s="212"/>
      <c r="AC151" s="212"/>
      <c r="AD151" s="212"/>
      <c r="AE151" s="212"/>
      <c r="AF151" s="212"/>
      <c r="AG151" s="193"/>
      <c r="AH151" s="212"/>
      <c r="AI151" s="212"/>
      <c r="AJ151" s="64"/>
      <c r="AM151" s="540"/>
      <c r="AN151" s="540"/>
      <c r="AO151" s="540"/>
      <c r="AP151" s="540"/>
      <c r="AQ151" s="540"/>
      <c r="AR151" s="540"/>
      <c r="AS151" s="540"/>
      <c r="AT151" s="540"/>
      <c r="AU151" s="540"/>
      <c r="AV151" s="540"/>
      <c r="AW151" s="540"/>
      <c r="AX151" s="540"/>
      <c r="AY151" s="540"/>
      <c r="AZ151" s="540"/>
      <c r="BA151" s="540"/>
      <c r="BB151" s="540"/>
      <c r="BC151" s="540"/>
      <c r="BD151" s="540"/>
      <c r="BE151" s="540"/>
      <c r="BF151" s="540"/>
      <c r="BG151" s="540"/>
      <c r="BH151" s="540"/>
      <c r="BI151" s="540"/>
      <c r="BJ151" s="540"/>
      <c r="BK151" s="540"/>
      <c r="BL151" s="540"/>
      <c r="BM151" s="540"/>
      <c r="BN151" s="540"/>
      <c r="BO151" s="540"/>
      <c r="BP151" s="540"/>
      <c r="BQ151" s="540"/>
      <c r="BR151" s="540"/>
      <c r="BS151" s="540"/>
      <c r="BT151" s="540"/>
      <c r="BU151" s="540"/>
      <c r="BV151" s="540"/>
      <c r="BW151" s="540"/>
      <c r="BX151" s="540"/>
      <c r="BY151" s="540"/>
      <c r="BZ151" s="540"/>
      <c r="CA151" s="540"/>
      <c r="CB151" s="540"/>
      <c r="CC151" s="540"/>
      <c r="CD151" s="540"/>
      <c r="CE151" s="540"/>
      <c r="CF151" s="540"/>
      <c r="CG151" s="540"/>
      <c r="CH151" s="540"/>
      <c r="CI151" s="540"/>
      <c r="CJ151" s="540"/>
      <c r="CK151" s="540"/>
      <c r="CL151" s="777"/>
      <c r="CM151" s="540"/>
      <c r="CN151" s="540"/>
      <c r="CO151" s="540"/>
      <c r="CP151" s="540"/>
      <c r="CQ151" s="540"/>
      <c r="CR151" s="540"/>
      <c r="CS151" s="540"/>
      <c r="CT151" s="540"/>
      <c r="CU151" s="540"/>
      <c r="CV151" s="540"/>
      <c r="CW151" s="540"/>
      <c r="CX151" s="540"/>
      <c r="CY151" s="540"/>
      <c r="CZ151" s="540"/>
      <c r="DA151" s="540"/>
      <c r="DB151" s="540"/>
      <c r="DC151" s="540"/>
      <c r="DD151" s="540"/>
      <c r="DE151" s="540"/>
      <c r="DF151" s="540"/>
      <c r="DG151" s="540"/>
      <c r="DH151" s="540"/>
      <c r="DI151" s="540"/>
      <c r="DJ151" s="540"/>
      <c r="DK151" s="540"/>
      <c r="DL151" s="540"/>
      <c r="DM151" s="540"/>
      <c r="DN151" s="540"/>
      <c r="DO151" s="540"/>
      <c r="DP151" s="540"/>
      <c r="DQ151" s="540"/>
      <c r="DR151" s="540"/>
      <c r="DS151" s="540"/>
      <c r="DT151" s="540"/>
      <c r="DU151" s="540"/>
      <c r="DV151" s="540"/>
      <c r="DW151" s="541"/>
      <c r="DX151" s="541"/>
      <c r="DY151" s="541"/>
      <c r="DZ151" s="541"/>
      <c r="EA151" s="541"/>
      <c r="EB151" s="541"/>
      <c r="EC151" s="541"/>
      <c r="ED151" s="541"/>
      <c r="EE151" s="541"/>
      <c r="EF151" s="541"/>
      <c r="EG151" s="541"/>
      <c r="EH151" s="541"/>
      <c r="EI151" s="541"/>
      <c r="EJ151" s="541"/>
      <c r="EK151" s="541"/>
      <c r="EL151" s="541"/>
      <c r="EM151" s="541"/>
      <c r="EN151" s="541"/>
      <c r="EO151" s="541"/>
      <c r="EP151" s="541"/>
      <c r="EQ151" s="541"/>
      <c r="ER151" s="541"/>
      <c r="ES151" s="541"/>
      <c r="ET151" s="541"/>
      <c r="EU151" s="541"/>
      <c r="EV151" s="541"/>
      <c r="EW151" s="541"/>
      <c r="EX151" s="541"/>
      <c r="EY151" s="541"/>
      <c r="EZ151" s="541"/>
      <c r="FA151" s="541"/>
      <c r="FB151" s="541"/>
      <c r="FC151" s="541"/>
      <c r="FD151" s="541"/>
      <c r="FE151" s="541"/>
      <c r="FF151" s="541"/>
      <c r="FG151" s="541"/>
      <c r="FH151" s="542"/>
      <c r="FI151" s="540"/>
      <c r="FJ151" s="540"/>
      <c r="FK151" s="540"/>
      <c r="FL151" s="540"/>
      <c r="FM151" s="540"/>
      <c r="FN151" s="540"/>
      <c r="FO151" s="540"/>
      <c r="FP151" s="540"/>
      <c r="FQ151" s="540"/>
      <c r="FR151" s="540"/>
      <c r="FS151" s="540"/>
      <c r="FT151" s="540"/>
      <c r="FU151" s="540"/>
      <c r="FV151" s="540"/>
      <c r="FW151" s="540"/>
      <c r="FX151" s="540"/>
      <c r="FY151" s="540"/>
      <c r="FZ151" s="540"/>
      <c r="GA151" s="540"/>
      <c r="GB151" s="540"/>
      <c r="GC151" s="540"/>
      <c r="GD151" s="540"/>
      <c r="GE151" s="540"/>
      <c r="GF151" s="540"/>
      <c r="GG151" s="540"/>
      <c r="GH151" s="540"/>
      <c r="GI151" s="540"/>
      <c r="GJ151" s="540"/>
      <c r="GK151" s="540"/>
      <c r="GL151" s="540"/>
      <c r="GM151" s="540"/>
      <c r="GN151" s="540"/>
      <c r="GO151" s="540"/>
      <c r="GP151" s="540"/>
      <c r="GQ151" s="540"/>
      <c r="GR151" s="540"/>
      <c r="GS151" s="540"/>
      <c r="GT151" s="540"/>
      <c r="GU151" s="540"/>
      <c r="GV151" s="540"/>
      <c r="GW151" s="540"/>
      <c r="GX151" s="540"/>
      <c r="GY151" s="540"/>
      <c r="GZ151" s="540"/>
      <c r="HA151" s="540"/>
      <c r="HB151" s="540"/>
      <c r="HC151" s="540"/>
      <c r="HD151" s="540"/>
      <c r="HE151" s="540"/>
      <c r="HF151" s="540"/>
      <c r="HG151" s="540"/>
      <c r="HH151" s="540"/>
      <c r="HI151" s="540"/>
      <c r="HJ151" s="540"/>
      <c r="HK151" s="540"/>
      <c r="HL151" s="540"/>
      <c r="HM151" s="540"/>
      <c r="HN151" s="540"/>
      <c r="HO151" s="540"/>
      <c r="HP151" s="540"/>
      <c r="HQ151" s="540"/>
      <c r="HR151" s="540"/>
      <c r="HS151" s="540"/>
      <c r="HT151" s="540"/>
      <c r="HU151" s="540"/>
      <c r="HV151" s="540"/>
      <c r="HW151" s="540"/>
      <c r="HX151" s="540"/>
      <c r="HY151" s="540"/>
      <c r="HZ151" s="540"/>
      <c r="IA151" s="540"/>
      <c r="IB151" s="540"/>
      <c r="IC151" s="540"/>
      <c r="ID151" s="540"/>
    </row>
    <row r="152" spans="1:238" s="60" customFormat="1" ht="18" x14ac:dyDescent="0.35">
      <c r="A152" s="275">
        <f>IF(O152=1,SUM($O$138:O152),0)</f>
        <v>0</v>
      </c>
      <c r="B152" s="283">
        <f>IF(O152=1,SUM($O$41:O152),0)</f>
        <v>0</v>
      </c>
      <c r="C152" s="274">
        <v>108</v>
      </c>
      <c r="D152" s="274" t="s">
        <v>331</v>
      </c>
      <c r="E152" s="274"/>
      <c r="F152" s="307">
        <v>15</v>
      </c>
      <c r="G152" s="309" t="s">
        <v>27</v>
      </c>
      <c r="H152" s="308"/>
      <c r="I152" s="309" t="s">
        <v>20</v>
      </c>
      <c r="J152" s="274">
        <f t="shared" si="204"/>
        <v>0</v>
      </c>
      <c r="K152" s="274"/>
      <c r="L152" s="274">
        <f>VLOOKUP(F152,'قائمة الأسعار'!$D$122:$F$131,3,0)</f>
        <v>1</v>
      </c>
      <c r="M152" s="282">
        <f t="shared" si="205"/>
        <v>0</v>
      </c>
      <c r="N152" s="412"/>
      <c r="O152" s="275">
        <f t="shared" si="201"/>
        <v>0</v>
      </c>
      <c r="P152" s="252"/>
      <c r="Q152" s="64"/>
      <c r="R152" s="212"/>
      <c r="S152" s="212"/>
      <c r="T152" s="212"/>
      <c r="U152" s="212"/>
      <c r="V152" s="212"/>
      <c r="W152" s="212"/>
      <c r="X152" s="212"/>
      <c r="Y152" s="212"/>
      <c r="Z152" s="212"/>
      <c r="AA152" s="212"/>
      <c r="AB152" s="212"/>
      <c r="AC152" s="212"/>
      <c r="AD152" s="212"/>
      <c r="AE152" s="212"/>
      <c r="AF152" s="212"/>
      <c r="AG152" s="193"/>
      <c r="AH152" s="212"/>
      <c r="AI152" s="212"/>
      <c r="AJ152" s="64"/>
      <c r="AM152" s="540"/>
      <c r="AN152" s="540"/>
      <c r="AO152" s="540"/>
      <c r="AP152" s="540"/>
      <c r="AQ152" s="540"/>
      <c r="AR152" s="540"/>
      <c r="AS152" s="540"/>
      <c r="AT152" s="540"/>
      <c r="AU152" s="540"/>
      <c r="AV152" s="540"/>
      <c r="AW152" s="540"/>
      <c r="AX152" s="540"/>
      <c r="AY152" s="540"/>
      <c r="AZ152" s="540"/>
      <c r="BA152" s="540"/>
      <c r="BB152" s="540"/>
      <c r="BC152" s="540"/>
      <c r="BD152" s="540"/>
      <c r="BE152" s="540"/>
      <c r="BF152" s="540"/>
      <c r="BG152" s="540"/>
      <c r="BH152" s="540"/>
      <c r="BI152" s="540"/>
      <c r="BJ152" s="540"/>
      <c r="BK152" s="540"/>
      <c r="BL152" s="540"/>
      <c r="BM152" s="540"/>
      <c r="BN152" s="540"/>
      <c r="BO152" s="540"/>
      <c r="BP152" s="540"/>
      <c r="BQ152" s="540"/>
      <c r="BR152" s="540"/>
      <c r="BS152" s="540"/>
      <c r="BT152" s="540"/>
      <c r="BU152" s="540"/>
      <c r="BV152" s="540"/>
      <c r="BW152" s="540"/>
      <c r="BX152" s="540"/>
      <c r="BY152" s="540"/>
      <c r="BZ152" s="540"/>
      <c r="CA152" s="540"/>
      <c r="CB152" s="540"/>
      <c r="CC152" s="540"/>
      <c r="CD152" s="540"/>
      <c r="CE152" s="540"/>
      <c r="CF152" s="540"/>
      <c r="CG152" s="540"/>
      <c r="CH152" s="540"/>
      <c r="CI152" s="540"/>
      <c r="CJ152" s="540"/>
      <c r="CK152" s="540"/>
      <c r="CL152" s="777"/>
      <c r="CM152" s="540"/>
      <c r="CN152" s="540"/>
      <c r="CO152" s="540"/>
      <c r="CP152" s="540"/>
      <c r="CQ152" s="540"/>
      <c r="CR152" s="540"/>
      <c r="CS152" s="540"/>
      <c r="CT152" s="540"/>
      <c r="CU152" s="540"/>
      <c r="CV152" s="540"/>
      <c r="CW152" s="540"/>
      <c r="CX152" s="540"/>
      <c r="CY152" s="540"/>
      <c r="CZ152" s="540"/>
      <c r="DA152" s="540"/>
      <c r="DB152" s="540"/>
      <c r="DC152" s="540"/>
      <c r="DD152" s="540"/>
      <c r="DE152" s="540"/>
      <c r="DF152" s="540"/>
      <c r="DG152" s="540"/>
      <c r="DH152" s="540"/>
      <c r="DI152" s="540"/>
      <c r="DJ152" s="540"/>
      <c r="DK152" s="540"/>
      <c r="DL152" s="540"/>
      <c r="DM152" s="540"/>
      <c r="DN152" s="540"/>
      <c r="DO152" s="540"/>
      <c r="DP152" s="540"/>
      <c r="DQ152" s="540"/>
      <c r="DR152" s="540"/>
      <c r="DS152" s="540"/>
      <c r="DT152" s="540"/>
      <c r="DU152" s="540"/>
      <c r="DV152" s="540"/>
      <c r="DW152" s="541"/>
      <c r="DX152" s="541"/>
      <c r="DY152" s="541"/>
      <c r="DZ152" s="541"/>
      <c r="EA152" s="541"/>
      <c r="EB152" s="541"/>
      <c r="EC152" s="541"/>
      <c r="ED152" s="541"/>
      <c r="EE152" s="541"/>
      <c r="EF152" s="541"/>
      <c r="EG152" s="541"/>
      <c r="EH152" s="541"/>
      <c r="EI152" s="541"/>
      <c r="EJ152" s="541"/>
      <c r="EK152" s="541"/>
      <c r="EL152" s="541"/>
      <c r="EM152" s="541"/>
      <c r="EN152" s="541"/>
      <c r="EO152" s="541"/>
      <c r="EP152" s="541"/>
      <c r="EQ152" s="541"/>
      <c r="ER152" s="541"/>
      <c r="ES152" s="541"/>
      <c r="ET152" s="541"/>
      <c r="EU152" s="541"/>
      <c r="EV152" s="541"/>
      <c r="EW152" s="541"/>
      <c r="EX152" s="541"/>
      <c r="EY152" s="541"/>
      <c r="EZ152" s="541"/>
      <c r="FA152" s="541"/>
      <c r="FB152" s="541"/>
      <c r="FC152" s="541"/>
      <c r="FD152" s="541"/>
      <c r="FE152" s="541"/>
      <c r="FF152" s="541"/>
      <c r="FG152" s="541"/>
      <c r="FH152" s="542"/>
      <c r="FI152" s="540"/>
      <c r="FJ152" s="540"/>
      <c r="FK152" s="540"/>
      <c r="FL152" s="540"/>
      <c r="FM152" s="540"/>
      <c r="FN152" s="540"/>
      <c r="FO152" s="540"/>
      <c r="FP152" s="540"/>
      <c r="FQ152" s="540"/>
      <c r="FR152" s="540"/>
      <c r="FS152" s="540"/>
      <c r="FT152" s="540"/>
      <c r="FU152" s="540"/>
      <c r="FV152" s="540"/>
      <c r="FW152" s="540"/>
      <c r="FX152" s="540"/>
      <c r="FY152" s="540"/>
      <c r="FZ152" s="540"/>
      <c r="GA152" s="540"/>
      <c r="GB152" s="540"/>
      <c r="GC152" s="540"/>
      <c r="GD152" s="540"/>
      <c r="GE152" s="540"/>
      <c r="GF152" s="540"/>
      <c r="GG152" s="540"/>
      <c r="GH152" s="540"/>
      <c r="GI152" s="540"/>
      <c r="GJ152" s="540"/>
      <c r="GK152" s="540"/>
      <c r="GL152" s="540"/>
      <c r="GM152" s="540"/>
      <c r="GN152" s="540"/>
      <c r="GO152" s="540"/>
      <c r="GP152" s="540"/>
      <c r="GQ152" s="540"/>
      <c r="GR152" s="540"/>
      <c r="GS152" s="540"/>
      <c r="GT152" s="540"/>
      <c r="GU152" s="540"/>
      <c r="GV152" s="540"/>
      <c r="GW152" s="540"/>
      <c r="GX152" s="540"/>
      <c r="GY152" s="540"/>
      <c r="GZ152" s="540"/>
      <c r="HA152" s="540"/>
      <c r="HB152" s="540"/>
      <c r="HC152" s="540"/>
      <c r="HD152" s="540"/>
      <c r="HE152" s="540"/>
      <c r="HF152" s="540"/>
      <c r="HG152" s="540"/>
      <c r="HH152" s="540"/>
      <c r="HI152" s="540"/>
      <c r="HJ152" s="540"/>
      <c r="HK152" s="540"/>
      <c r="HL152" s="540"/>
      <c r="HM152" s="540"/>
      <c r="HN152" s="540"/>
      <c r="HO152" s="540"/>
      <c r="HP152" s="540"/>
      <c r="HQ152" s="540"/>
      <c r="HR152" s="540"/>
      <c r="HS152" s="540"/>
      <c r="HT152" s="540"/>
      <c r="HU152" s="540"/>
      <c r="HV152" s="540"/>
      <c r="HW152" s="540"/>
      <c r="HX152" s="540"/>
      <c r="HY152" s="540"/>
      <c r="HZ152" s="540"/>
      <c r="IA152" s="540"/>
      <c r="IB152" s="540"/>
      <c r="IC152" s="540"/>
      <c r="ID152" s="540"/>
    </row>
    <row r="153" spans="1:238" s="60" customFormat="1" ht="17.100000000000001" customHeight="1" x14ac:dyDescent="0.35">
      <c r="A153" s="275">
        <f>IF(O153=1,SUM($O$138:O153),0)</f>
        <v>0</v>
      </c>
      <c r="B153" s="283">
        <f>IF(O153=1,SUM($O$41:O153),0)</f>
        <v>0</v>
      </c>
      <c r="C153" s="274">
        <v>109</v>
      </c>
      <c r="D153" s="274" t="s">
        <v>331</v>
      </c>
      <c r="E153" s="274"/>
      <c r="F153" s="307">
        <v>20</v>
      </c>
      <c r="G153" s="309" t="s">
        <v>27</v>
      </c>
      <c r="H153" s="308"/>
      <c r="I153" s="309" t="s">
        <v>20</v>
      </c>
      <c r="J153" s="274">
        <f t="shared" si="204"/>
        <v>0</v>
      </c>
      <c r="K153" s="274"/>
      <c r="L153" s="274">
        <f>VLOOKUP(F153,'قائمة الأسعار'!$D$122:$F$131,3,0)</f>
        <v>1</v>
      </c>
      <c r="M153" s="282">
        <f t="shared" si="205"/>
        <v>0</v>
      </c>
      <c r="N153" s="412"/>
      <c r="O153" s="275">
        <f t="shared" si="201"/>
        <v>0</v>
      </c>
      <c r="P153" s="252"/>
      <c r="Q153" s="64"/>
      <c r="R153" s="212"/>
      <c r="S153" s="212"/>
      <c r="T153" s="212"/>
      <c r="U153" s="212"/>
      <c r="V153" s="212"/>
      <c r="W153" s="212"/>
      <c r="X153" s="212"/>
      <c r="Y153" s="212"/>
      <c r="Z153" s="212"/>
      <c r="AA153" s="212"/>
      <c r="AB153" s="212"/>
      <c r="AC153" s="212"/>
      <c r="AD153" s="212"/>
      <c r="AE153" s="212"/>
      <c r="AF153" s="212"/>
      <c r="AG153" s="193"/>
      <c r="AH153" s="212"/>
      <c r="AI153" s="212"/>
      <c r="AJ153" s="64"/>
      <c r="AM153" s="540"/>
      <c r="AN153" s="540"/>
      <c r="AO153" s="540"/>
      <c r="AP153" s="540"/>
      <c r="AQ153" s="540"/>
      <c r="AR153" s="540"/>
      <c r="AS153" s="540"/>
      <c r="AT153" s="540"/>
      <c r="AU153" s="540"/>
      <c r="AV153" s="540"/>
      <c r="AW153" s="540"/>
      <c r="AX153" s="540"/>
      <c r="AY153" s="540"/>
      <c r="AZ153" s="540"/>
      <c r="BA153" s="540"/>
      <c r="BB153" s="540"/>
      <c r="BC153" s="540"/>
      <c r="BD153" s="540"/>
      <c r="BE153" s="540"/>
      <c r="BF153" s="540"/>
      <c r="BG153" s="540"/>
      <c r="BH153" s="540"/>
      <c r="BI153" s="540"/>
      <c r="BJ153" s="540"/>
      <c r="BK153" s="540"/>
      <c r="BL153" s="540"/>
      <c r="BM153" s="540"/>
      <c r="BN153" s="540"/>
      <c r="BO153" s="540"/>
      <c r="BP153" s="540"/>
      <c r="BQ153" s="540"/>
      <c r="BR153" s="540"/>
      <c r="BS153" s="540"/>
      <c r="BT153" s="540"/>
      <c r="BU153" s="540"/>
      <c r="BV153" s="540"/>
      <c r="BW153" s="540"/>
      <c r="BX153" s="540"/>
      <c r="BY153" s="540"/>
      <c r="BZ153" s="540"/>
      <c r="CA153" s="540"/>
      <c r="CB153" s="540"/>
      <c r="CC153" s="540"/>
      <c r="CD153" s="540"/>
      <c r="CE153" s="540"/>
      <c r="CF153" s="540"/>
      <c r="CG153" s="540"/>
      <c r="CH153" s="540"/>
      <c r="CI153" s="540"/>
      <c r="CJ153" s="540"/>
      <c r="CK153" s="540"/>
      <c r="CL153" s="777"/>
      <c r="CM153" s="540"/>
      <c r="CN153" s="540"/>
      <c r="CO153" s="540"/>
      <c r="CP153" s="540"/>
      <c r="CQ153" s="540"/>
      <c r="CR153" s="540"/>
      <c r="CS153" s="540"/>
      <c r="CT153" s="540"/>
      <c r="CU153" s="540"/>
      <c r="CV153" s="540"/>
      <c r="CW153" s="540"/>
      <c r="CX153" s="540"/>
      <c r="CY153" s="540"/>
      <c r="CZ153" s="540"/>
      <c r="DA153" s="540"/>
      <c r="DB153" s="540"/>
      <c r="DC153" s="540"/>
      <c r="DD153" s="540"/>
      <c r="DE153" s="540"/>
      <c r="DF153" s="540"/>
      <c r="DG153" s="540"/>
      <c r="DH153" s="540"/>
      <c r="DI153" s="540"/>
      <c r="DJ153" s="540"/>
      <c r="DK153" s="540"/>
      <c r="DL153" s="540"/>
      <c r="DM153" s="540"/>
      <c r="DN153" s="540"/>
      <c r="DO153" s="540"/>
      <c r="DP153" s="540"/>
      <c r="DQ153" s="540"/>
      <c r="DR153" s="540"/>
      <c r="DS153" s="540"/>
      <c r="DT153" s="540"/>
      <c r="DU153" s="540"/>
      <c r="DV153" s="540"/>
      <c r="DW153" s="541"/>
      <c r="DX153" s="541"/>
      <c r="DY153" s="541"/>
      <c r="DZ153" s="541"/>
      <c r="EA153" s="541"/>
      <c r="EB153" s="541"/>
      <c r="EC153" s="541"/>
      <c r="ED153" s="541"/>
      <c r="EE153" s="541"/>
      <c r="EF153" s="541"/>
      <c r="EG153" s="541"/>
      <c r="EH153" s="541"/>
      <c r="EI153" s="541"/>
      <c r="EJ153" s="541"/>
      <c r="EK153" s="541"/>
      <c r="EL153" s="541"/>
      <c r="EM153" s="541"/>
      <c r="EN153" s="541"/>
      <c r="EO153" s="541"/>
      <c r="EP153" s="541"/>
      <c r="EQ153" s="541"/>
      <c r="ER153" s="541"/>
      <c r="ES153" s="541"/>
      <c r="ET153" s="541"/>
      <c r="EU153" s="541"/>
      <c r="EV153" s="541"/>
      <c r="EW153" s="541"/>
      <c r="EX153" s="541"/>
      <c r="EY153" s="541"/>
      <c r="EZ153" s="541"/>
      <c r="FA153" s="541"/>
      <c r="FB153" s="541"/>
      <c r="FC153" s="541"/>
      <c r="FD153" s="541"/>
      <c r="FE153" s="541"/>
      <c r="FF153" s="541"/>
      <c r="FG153" s="541"/>
      <c r="FH153" s="542"/>
      <c r="FI153" s="540"/>
      <c r="FJ153" s="540"/>
      <c r="FK153" s="540"/>
      <c r="FL153" s="540"/>
      <c r="FM153" s="540"/>
      <c r="FN153" s="540"/>
      <c r="FO153" s="540"/>
      <c r="FP153" s="540"/>
      <c r="FQ153" s="540"/>
      <c r="FR153" s="540"/>
      <c r="FS153" s="540"/>
      <c r="FT153" s="540"/>
      <c r="FU153" s="540"/>
      <c r="FV153" s="540"/>
      <c r="FW153" s="540"/>
      <c r="FX153" s="540"/>
      <c r="FY153" s="540"/>
      <c r="FZ153" s="540"/>
      <c r="GA153" s="540"/>
      <c r="GB153" s="540"/>
      <c r="GC153" s="540"/>
      <c r="GD153" s="540"/>
      <c r="GE153" s="540"/>
      <c r="GF153" s="540"/>
      <c r="GG153" s="540"/>
      <c r="GH153" s="540"/>
      <c r="GI153" s="540"/>
      <c r="GJ153" s="540"/>
      <c r="GK153" s="540"/>
      <c r="GL153" s="540"/>
      <c r="GM153" s="540"/>
      <c r="GN153" s="540"/>
      <c r="GO153" s="540"/>
      <c r="GP153" s="540"/>
      <c r="GQ153" s="540"/>
      <c r="GR153" s="540"/>
      <c r="GS153" s="540"/>
      <c r="GT153" s="540"/>
      <c r="GU153" s="540"/>
      <c r="GV153" s="540"/>
      <c r="GW153" s="540"/>
      <c r="GX153" s="540"/>
      <c r="GY153" s="540"/>
      <c r="GZ153" s="540"/>
      <c r="HA153" s="540"/>
      <c r="HB153" s="540"/>
      <c r="HC153" s="540"/>
      <c r="HD153" s="540"/>
      <c r="HE153" s="540"/>
      <c r="HF153" s="540"/>
      <c r="HG153" s="540"/>
      <c r="HH153" s="540"/>
      <c r="HI153" s="540"/>
      <c r="HJ153" s="540"/>
      <c r="HK153" s="540"/>
      <c r="HL153" s="540"/>
      <c r="HM153" s="540"/>
      <c r="HN153" s="540"/>
      <c r="HO153" s="540"/>
      <c r="HP153" s="540"/>
      <c r="HQ153" s="540"/>
      <c r="HR153" s="540"/>
      <c r="HS153" s="540"/>
      <c r="HT153" s="540"/>
      <c r="HU153" s="540"/>
      <c r="HV153" s="540"/>
      <c r="HW153" s="540"/>
      <c r="HX153" s="540"/>
      <c r="HY153" s="540"/>
      <c r="HZ153" s="540"/>
      <c r="IA153" s="540"/>
      <c r="IB153" s="540"/>
      <c r="IC153" s="540"/>
      <c r="ID153" s="540"/>
    </row>
    <row r="154" spans="1:238" s="60" customFormat="1" ht="17.100000000000001" customHeight="1" thickBot="1" x14ac:dyDescent="0.4">
      <c r="A154" s="275">
        <f>IF(O154=1,SUM($O$138:O154),0)</f>
        <v>0</v>
      </c>
      <c r="B154" s="283">
        <f>IF(O154=1,SUM($O$41:O154),0)</f>
        <v>0</v>
      </c>
      <c r="C154" s="274">
        <v>110</v>
      </c>
      <c r="D154" s="274" t="s">
        <v>331</v>
      </c>
      <c r="E154" s="274"/>
      <c r="F154" s="307">
        <v>30</v>
      </c>
      <c r="G154" s="309" t="s">
        <v>27</v>
      </c>
      <c r="H154" s="308"/>
      <c r="I154" s="309" t="s">
        <v>20</v>
      </c>
      <c r="J154" s="274">
        <f t="shared" si="204"/>
        <v>0</v>
      </c>
      <c r="K154" s="274"/>
      <c r="L154" s="274">
        <f>VLOOKUP(F154,'قائمة الأسعار'!$D$122:$F$131,3,0)</f>
        <v>1</v>
      </c>
      <c r="M154" s="282">
        <f t="shared" si="205"/>
        <v>0</v>
      </c>
      <c r="N154" s="412"/>
      <c r="O154" s="275">
        <f t="shared" si="201"/>
        <v>0</v>
      </c>
      <c r="P154" s="252"/>
      <c r="Q154" s="64"/>
      <c r="R154" s="187"/>
      <c r="S154" s="187"/>
      <c r="T154" s="187"/>
      <c r="U154" s="187"/>
      <c r="V154" s="187"/>
      <c r="W154" s="187"/>
      <c r="X154" s="187"/>
      <c r="Y154" s="187"/>
      <c r="Z154" s="187"/>
      <c r="AA154" s="187"/>
      <c r="AB154" s="187"/>
      <c r="AC154" s="187"/>
      <c r="AD154" s="187"/>
      <c r="AE154" s="187"/>
      <c r="AF154" s="187"/>
      <c r="AG154" s="188"/>
      <c r="AH154" s="187"/>
      <c r="AI154" s="187"/>
      <c r="AJ154" s="63"/>
      <c r="AK154" s="37"/>
      <c r="AL154" s="37"/>
      <c r="AM154" s="438"/>
      <c r="AN154" s="438"/>
      <c r="AO154" s="438"/>
      <c r="AP154" s="438"/>
      <c r="AQ154" s="438"/>
      <c r="AR154" s="438"/>
      <c r="AS154" s="438"/>
      <c r="AT154" s="438"/>
      <c r="AU154" s="438"/>
      <c r="AV154" s="438"/>
      <c r="AW154" s="438"/>
      <c r="AX154" s="438"/>
      <c r="AY154" s="438"/>
      <c r="AZ154" s="438"/>
      <c r="BA154" s="438"/>
      <c r="BB154" s="438"/>
      <c r="BC154" s="438"/>
      <c r="BD154" s="438"/>
      <c r="BE154" s="438"/>
      <c r="BF154" s="540"/>
      <c r="BG154" s="540"/>
      <c r="BH154" s="540"/>
      <c r="BI154" s="540"/>
      <c r="BJ154" s="540"/>
      <c r="BK154" s="540"/>
      <c r="BL154" s="540"/>
      <c r="BM154" s="540"/>
      <c r="BN154" s="540"/>
      <c r="BO154" s="540"/>
      <c r="BP154" s="540"/>
      <c r="BQ154" s="540"/>
      <c r="BR154" s="540"/>
      <c r="BS154" s="540"/>
      <c r="BT154" s="540"/>
      <c r="BU154" s="540"/>
      <c r="BV154" s="540"/>
      <c r="BW154" s="540"/>
      <c r="BX154" s="540"/>
      <c r="BY154" s="540"/>
      <c r="BZ154" s="540"/>
      <c r="CA154" s="540"/>
      <c r="CB154" s="540"/>
      <c r="CC154" s="540"/>
      <c r="CD154" s="540"/>
      <c r="CE154" s="540"/>
      <c r="CF154" s="540"/>
      <c r="CG154" s="540"/>
      <c r="CH154" s="540"/>
      <c r="CI154" s="540"/>
      <c r="CJ154" s="540"/>
      <c r="CK154" s="540"/>
      <c r="CL154" s="777"/>
      <c r="CM154" s="540"/>
      <c r="CN154" s="540"/>
      <c r="CO154" s="540"/>
      <c r="CP154" s="540"/>
      <c r="CQ154" s="540"/>
      <c r="CR154" s="540"/>
      <c r="CS154" s="540"/>
      <c r="CT154" s="540"/>
      <c r="CU154" s="540"/>
      <c r="CV154" s="540"/>
      <c r="CW154" s="540"/>
      <c r="CX154" s="540"/>
      <c r="CY154" s="540"/>
      <c r="CZ154" s="540"/>
      <c r="DA154" s="540"/>
      <c r="DB154" s="540"/>
      <c r="DC154" s="540"/>
      <c r="DD154" s="540"/>
      <c r="DE154" s="540"/>
      <c r="DF154" s="540"/>
      <c r="DG154" s="540"/>
      <c r="DH154" s="540"/>
      <c r="DI154" s="540"/>
      <c r="DJ154" s="540"/>
      <c r="DK154" s="540"/>
      <c r="DL154" s="540"/>
      <c r="DM154" s="540"/>
      <c r="DN154" s="540"/>
      <c r="DO154" s="540"/>
      <c r="DP154" s="540"/>
      <c r="DQ154" s="540"/>
      <c r="DR154" s="540"/>
      <c r="DS154" s="540"/>
      <c r="DT154" s="540"/>
      <c r="DU154" s="540"/>
      <c r="DV154" s="540"/>
      <c r="DW154" s="541"/>
      <c r="DX154" s="541"/>
      <c r="DY154" s="541"/>
      <c r="DZ154" s="541"/>
      <c r="EA154" s="541"/>
      <c r="EB154" s="541"/>
      <c r="EC154" s="541"/>
      <c r="ED154" s="541"/>
      <c r="EE154" s="541"/>
      <c r="EF154" s="541"/>
      <c r="EG154" s="541"/>
      <c r="EH154" s="541"/>
      <c r="EI154" s="541"/>
      <c r="EJ154" s="541"/>
      <c r="EK154" s="541"/>
      <c r="EL154" s="541"/>
      <c r="EM154" s="541"/>
      <c r="EN154" s="541"/>
      <c r="EO154" s="541"/>
      <c r="EP154" s="541"/>
      <c r="EQ154" s="541"/>
      <c r="ER154" s="541"/>
      <c r="ES154" s="541"/>
      <c r="ET154" s="541"/>
      <c r="EU154" s="541"/>
      <c r="EV154" s="541"/>
      <c r="EW154" s="541"/>
      <c r="EX154" s="541"/>
      <c r="EY154" s="541"/>
      <c r="EZ154" s="541"/>
      <c r="FA154" s="541"/>
      <c r="FB154" s="541"/>
      <c r="FC154" s="541"/>
      <c r="FD154" s="541"/>
      <c r="FE154" s="541"/>
      <c r="FF154" s="541"/>
      <c r="FG154" s="541"/>
      <c r="FH154" s="542"/>
      <c r="FI154" s="540"/>
      <c r="FJ154" s="540"/>
      <c r="FK154" s="540"/>
      <c r="FL154" s="540"/>
      <c r="FM154" s="540"/>
      <c r="FN154" s="540"/>
      <c r="FO154" s="540"/>
      <c r="FP154" s="540"/>
      <c r="FQ154" s="540"/>
      <c r="FR154" s="540"/>
      <c r="FS154" s="540"/>
      <c r="FT154" s="540"/>
      <c r="FU154" s="540"/>
      <c r="FV154" s="540"/>
      <c r="FW154" s="540"/>
      <c r="FX154" s="540"/>
      <c r="FY154" s="540"/>
      <c r="FZ154" s="540"/>
      <c r="GA154" s="540"/>
      <c r="GB154" s="540"/>
      <c r="GC154" s="540"/>
      <c r="GD154" s="540"/>
      <c r="GE154" s="540"/>
      <c r="GF154" s="540"/>
      <c r="GG154" s="540"/>
      <c r="GH154" s="540"/>
      <c r="GI154" s="540"/>
      <c r="GJ154" s="540"/>
      <c r="GK154" s="540"/>
      <c r="GL154" s="540"/>
      <c r="GM154" s="540"/>
      <c r="GN154" s="540"/>
      <c r="GO154" s="540"/>
      <c r="GP154" s="540"/>
      <c r="GQ154" s="540"/>
      <c r="GR154" s="540"/>
      <c r="GS154" s="540"/>
      <c r="GT154" s="540"/>
      <c r="GU154" s="540"/>
      <c r="GV154" s="540"/>
      <c r="GW154" s="540"/>
      <c r="GX154" s="540"/>
      <c r="GY154" s="540"/>
      <c r="GZ154" s="540"/>
      <c r="HA154" s="540"/>
      <c r="HB154" s="540"/>
      <c r="HC154" s="540"/>
      <c r="HD154" s="540"/>
      <c r="HE154" s="540"/>
      <c r="HF154" s="540"/>
      <c r="HG154" s="540"/>
      <c r="HH154" s="540"/>
      <c r="HI154" s="540"/>
      <c r="HJ154" s="540"/>
      <c r="HK154" s="540"/>
      <c r="HL154" s="540"/>
      <c r="HM154" s="540"/>
      <c r="HN154" s="540"/>
      <c r="HO154" s="540"/>
      <c r="HP154" s="540"/>
      <c r="HQ154" s="540"/>
      <c r="HR154" s="540"/>
      <c r="HS154" s="540"/>
      <c r="HT154" s="540"/>
      <c r="HU154" s="540"/>
      <c r="HV154" s="540"/>
      <c r="HW154" s="540"/>
      <c r="HX154" s="540"/>
      <c r="HY154" s="540"/>
      <c r="HZ154" s="540"/>
      <c r="IA154" s="540"/>
      <c r="IB154" s="540"/>
      <c r="IC154" s="540"/>
      <c r="ID154" s="540"/>
    </row>
    <row r="155" spans="1:238" ht="15.9" customHeight="1" thickTop="1" x14ac:dyDescent="0.35">
      <c r="A155" s="275">
        <f>IF(O155=1,SUM($O$138:O155),0)</f>
        <v>0</v>
      </c>
      <c r="B155" s="283">
        <f>IF(O155=1,SUM($O$41:O155),0)</f>
        <v>0</v>
      </c>
      <c r="C155" s="274">
        <v>111</v>
      </c>
      <c r="D155" s="274" t="s">
        <v>331</v>
      </c>
      <c r="E155" s="274"/>
      <c r="F155" s="307">
        <v>40</v>
      </c>
      <c r="G155" s="309" t="s">
        <v>27</v>
      </c>
      <c r="H155" s="308"/>
      <c r="I155" s="309" t="s">
        <v>20</v>
      </c>
      <c r="J155" s="274">
        <f t="shared" si="204"/>
        <v>0</v>
      </c>
      <c r="K155" s="274"/>
      <c r="L155" s="274">
        <f>VLOOKUP(F155,'قائمة الأسعار'!$D$122:$F$131,3,0)</f>
        <v>1</v>
      </c>
      <c r="M155" s="282">
        <f t="shared" si="205"/>
        <v>0</v>
      </c>
      <c r="N155" s="412"/>
      <c r="O155" s="275">
        <f t="shared" si="201"/>
        <v>0</v>
      </c>
      <c r="P155" s="252"/>
    </row>
    <row r="156" spans="1:238" ht="15.9" customHeight="1" x14ac:dyDescent="0.35">
      <c r="A156" s="275">
        <f>IF(O156=1,SUM($O$138:O156),0)</f>
        <v>0</v>
      </c>
      <c r="B156" s="283">
        <f>IF(O156=1,SUM($O$41:O156),0)</f>
        <v>0</v>
      </c>
      <c r="C156" s="274">
        <v>112</v>
      </c>
      <c r="D156" s="274" t="s">
        <v>331</v>
      </c>
      <c r="E156" s="274"/>
      <c r="F156" s="307">
        <v>50</v>
      </c>
      <c r="G156" s="309" t="s">
        <v>27</v>
      </c>
      <c r="H156" s="308"/>
      <c r="I156" s="309" t="s">
        <v>20</v>
      </c>
      <c r="J156" s="274">
        <f t="shared" si="204"/>
        <v>0</v>
      </c>
      <c r="K156" s="274"/>
      <c r="L156" s="274">
        <f>VLOOKUP(F156,'قائمة الأسعار'!$D$122:$F$131,3,0)</f>
        <v>1</v>
      </c>
      <c r="M156" s="282">
        <f t="shared" si="205"/>
        <v>0</v>
      </c>
      <c r="N156" s="412"/>
      <c r="O156" s="275">
        <f t="shared" si="201"/>
        <v>0</v>
      </c>
      <c r="P156" s="252"/>
      <c r="CL156" s="777"/>
    </row>
    <row r="157" spans="1:238" ht="15.9" customHeight="1" x14ac:dyDescent="0.35">
      <c r="A157" s="275">
        <f>IF(O157=1,SUM($O$138:O157),0)</f>
        <v>0</v>
      </c>
      <c r="B157" s="283">
        <f>IF(O157=1,SUM($O$41:O157),0)</f>
        <v>0</v>
      </c>
      <c r="C157" s="274">
        <v>115</v>
      </c>
      <c r="D157" s="274" t="s">
        <v>331</v>
      </c>
      <c r="E157" s="274"/>
      <c r="F157" s="307">
        <v>80</v>
      </c>
      <c r="G157" s="309" t="s">
        <v>27</v>
      </c>
      <c r="H157" s="308"/>
      <c r="I157" s="309" t="s">
        <v>20</v>
      </c>
      <c r="J157" s="274">
        <f t="shared" si="204"/>
        <v>0</v>
      </c>
      <c r="K157" s="274"/>
      <c r="L157" s="274">
        <f>VLOOKUP(F157,'قائمة الأسعار'!$D$122:$F$131,3,0)</f>
        <v>1</v>
      </c>
      <c r="M157" s="282">
        <f>L157*J157</f>
        <v>0</v>
      </c>
      <c r="N157" s="412"/>
      <c r="O157" s="275">
        <f t="shared" si="201"/>
        <v>0</v>
      </c>
      <c r="P157" s="252"/>
      <c r="CL157" s="777"/>
    </row>
    <row r="158" spans="1:238" ht="15.9" customHeight="1" x14ac:dyDescent="0.35">
      <c r="A158" s="275">
        <f>IF(O158=1,SUM($O$138:O158),0)</f>
        <v>0</v>
      </c>
      <c r="B158" s="283">
        <f>IF(O158=1,SUM($O$41:O158),0)</f>
        <v>0</v>
      </c>
      <c r="C158" s="274">
        <v>117</v>
      </c>
      <c r="D158" s="274" t="s">
        <v>331</v>
      </c>
      <c r="E158" s="274"/>
      <c r="F158" s="307">
        <v>100</v>
      </c>
      <c r="G158" s="309" t="s">
        <v>27</v>
      </c>
      <c r="H158" s="308"/>
      <c r="I158" s="309" t="s">
        <v>20</v>
      </c>
      <c r="J158" s="274">
        <f t="shared" si="204"/>
        <v>0</v>
      </c>
      <c r="K158" s="274"/>
      <c r="L158" s="274">
        <f>VLOOKUP(F158,'قائمة الأسعار'!$D$122:$F$131,3,0)</f>
        <v>1</v>
      </c>
      <c r="M158" s="282">
        <f t="shared" ref="M158:M166" si="206">L158*J158</f>
        <v>0</v>
      </c>
      <c r="N158" s="412"/>
      <c r="O158" s="275">
        <f t="shared" si="201"/>
        <v>0</v>
      </c>
      <c r="P158" s="252"/>
      <c r="CL158" s="777"/>
    </row>
    <row r="159" spans="1:238" ht="15.9" customHeight="1" x14ac:dyDescent="0.35">
      <c r="A159" s="275">
        <f>IF(O159=1,SUM($O$138:O159),0)</f>
        <v>0</v>
      </c>
      <c r="B159" s="283">
        <f>IF(O159=1,SUM($O$41:O159),0)</f>
        <v>0</v>
      </c>
      <c r="C159" s="274">
        <v>118</v>
      </c>
      <c r="D159" s="274" t="s">
        <v>331</v>
      </c>
      <c r="E159" s="274"/>
      <c r="F159" s="307">
        <v>120</v>
      </c>
      <c r="G159" s="309" t="s">
        <v>27</v>
      </c>
      <c r="H159" s="308"/>
      <c r="I159" s="309" t="s">
        <v>20</v>
      </c>
      <c r="J159" s="274">
        <f t="shared" si="204"/>
        <v>0</v>
      </c>
      <c r="K159" s="274"/>
      <c r="L159" s="274">
        <f>VLOOKUP(F159,'قائمة الأسعار'!$D$122:$F$131,3,0)</f>
        <v>1</v>
      </c>
      <c r="M159" s="282">
        <f t="shared" si="206"/>
        <v>0</v>
      </c>
      <c r="N159" s="412"/>
      <c r="O159" s="275">
        <f t="shared" si="201"/>
        <v>0</v>
      </c>
      <c r="P159" s="252"/>
      <c r="CL159" s="777"/>
    </row>
    <row r="160" spans="1:238" ht="15.9" customHeight="1" x14ac:dyDescent="0.35">
      <c r="A160" s="275">
        <f>IF(O160=1,SUM($O$138:O160),0)</f>
        <v>0</v>
      </c>
      <c r="B160" s="283">
        <f>IF(O160=1,SUM($O$41:O160),0)</f>
        <v>0</v>
      </c>
      <c r="C160" s="274">
        <v>119</v>
      </c>
      <c r="D160" s="274" t="s">
        <v>332</v>
      </c>
      <c r="E160" s="274"/>
      <c r="F160" s="307">
        <v>6</v>
      </c>
      <c r="G160" s="309" t="s">
        <v>27</v>
      </c>
      <c r="H160" s="308"/>
      <c r="I160" s="309" t="s">
        <v>20</v>
      </c>
      <c r="J160" s="274">
        <f>SUMIFS($BE$14:$BE$38,$BD$14:$BD$38,F160,$BC$14:$BC$38,"Gaposa",$AC$14:$AC$38,"عادي")</f>
        <v>0</v>
      </c>
      <c r="K160" s="274"/>
      <c r="L160" s="274">
        <f>VLOOKUP(F160,'قائمة الأسعار'!$D$133:$F$143,3,0)</f>
        <v>1</v>
      </c>
      <c r="M160" s="282">
        <f t="shared" si="206"/>
        <v>0</v>
      </c>
      <c r="N160" s="412"/>
      <c r="O160" s="275">
        <f>IF(M160&gt;0,1,0)</f>
        <v>0</v>
      </c>
      <c r="CL160" s="777"/>
    </row>
    <row r="161" spans="1:90" ht="15.9" customHeight="1" x14ac:dyDescent="0.35">
      <c r="A161" s="275">
        <f>IF(O161=1,SUM($O$138:O161),0)</f>
        <v>0</v>
      </c>
      <c r="B161" s="283">
        <f>IF(O161=1,SUM($O$41:O161),0)</f>
        <v>0</v>
      </c>
      <c r="C161" s="274">
        <v>120</v>
      </c>
      <c r="D161" s="274" t="s">
        <v>332</v>
      </c>
      <c r="E161" s="274"/>
      <c r="F161" s="307">
        <v>10</v>
      </c>
      <c r="G161" s="309" t="s">
        <v>27</v>
      </c>
      <c r="H161" s="308"/>
      <c r="I161" s="309" t="s">
        <v>20</v>
      </c>
      <c r="J161" s="274">
        <f t="shared" ref="J161:J170" si="207">SUMIFS($BE$14:$BE$38,$BD$14:$BD$38,F161,$BC$14:$BC$38,"Gaposa",$AC$14:$AC$38,"عادي")</f>
        <v>0</v>
      </c>
      <c r="K161" s="274"/>
      <c r="L161" s="274">
        <f>VLOOKUP(F161,'قائمة الأسعار'!$D$133:$F$143,3,0)</f>
        <v>1</v>
      </c>
      <c r="M161" s="282">
        <f t="shared" si="206"/>
        <v>0</v>
      </c>
      <c r="N161" s="412"/>
      <c r="O161" s="275">
        <f t="shared" ref="O161:O224" si="208">IF(M161&gt;0,1,0)</f>
        <v>0</v>
      </c>
      <c r="CL161" s="777"/>
    </row>
    <row r="162" spans="1:90" ht="15.9" customHeight="1" x14ac:dyDescent="0.35">
      <c r="A162" s="275">
        <f>IF(O162=1,SUM($O$138:O162),0)</f>
        <v>0</v>
      </c>
      <c r="B162" s="283">
        <f>IF(O162=1,SUM($O$41:O162),0)</f>
        <v>0</v>
      </c>
      <c r="C162" s="274">
        <v>121</v>
      </c>
      <c r="D162" s="274" t="s">
        <v>332</v>
      </c>
      <c r="E162" s="274"/>
      <c r="F162" s="307">
        <v>15</v>
      </c>
      <c r="G162" s="309" t="s">
        <v>27</v>
      </c>
      <c r="H162" s="308"/>
      <c r="I162" s="309" t="s">
        <v>20</v>
      </c>
      <c r="J162" s="274">
        <f t="shared" si="207"/>
        <v>0</v>
      </c>
      <c r="K162" s="274"/>
      <c r="L162" s="274">
        <f>VLOOKUP(F162,'قائمة الأسعار'!$D$133:$F$143,3,0)</f>
        <v>1</v>
      </c>
      <c r="M162" s="282">
        <f t="shared" si="206"/>
        <v>0</v>
      </c>
      <c r="N162" s="412"/>
      <c r="O162" s="275">
        <f t="shared" si="208"/>
        <v>0</v>
      </c>
      <c r="CL162" s="777"/>
    </row>
    <row r="163" spans="1:90" ht="15.9" customHeight="1" x14ac:dyDescent="0.35">
      <c r="A163" s="275">
        <f>IF(O163=1,SUM($O$138:O163),0)</f>
        <v>0</v>
      </c>
      <c r="B163" s="283">
        <f>IF(O163=1,SUM($O$41:O163),0)</f>
        <v>0</v>
      </c>
      <c r="C163" s="274">
        <v>122</v>
      </c>
      <c r="D163" s="274" t="s">
        <v>332</v>
      </c>
      <c r="E163" s="274"/>
      <c r="F163" s="307">
        <v>20</v>
      </c>
      <c r="G163" s="309" t="s">
        <v>27</v>
      </c>
      <c r="H163" s="308"/>
      <c r="I163" s="309" t="s">
        <v>20</v>
      </c>
      <c r="J163" s="274">
        <f t="shared" si="207"/>
        <v>0</v>
      </c>
      <c r="K163" s="274"/>
      <c r="L163" s="274">
        <f>VLOOKUP(F163,'قائمة الأسعار'!$D$133:$F$143,3,0)</f>
        <v>1</v>
      </c>
      <c r="M163" s="282">
        <f t="shared" si="206"/>
        <v>0</v>
      </c>
      <c r="N163" s="412"/>
      <c r="O163" s="275">
        <f t="shared" si="208"/>
        <v>0</v>
      </c>
      <c r="CL163" s="777"/>
    </row>
    <row r="164" spans="1:90" ht="15.9" customHeight="1" x14ac:dyDescent="0.35">
      <c r="A164" s="275">
        <f>IF(O164=1,SUM($O$138:O164),0)</f>
        <v>0</v>
      </c>
      <c r="B164" s="283">
        <f>IF(O164=1,SUM($O$41:O164),0)</f>
        <v>0</v>
      </c>
      <c r="C164" s="274">
        <v>123</v>
      </c>
      <c r="D164" s="274" t="s">
        <v>332</v>
      </c>
      <c r="E164" s="274"/>
      <c r="F164" s="307">
        <v>30</v>
      </c>
      <c r="G164" s="309" t="s">
        <v>27</v>
      </c>
      <c r="H164" s="308"/>
      <c r="I164" s="309" t="s">
        <v>20</v>
      </c>
      <c r="J164" s="274">
        <f t="shared" si="207"/>
        <v>0</v>
      </c>
      <c r="K164" s="274"/>
      <c r="L164" s="274">
        <f>VLOOKUP(F164,'قائمة الأسعار'!$D$133:$F$143,3,0)</f>
        <v>1</v>
      </c>
      <c r="M164" s="282">
        <f t="shared" si="206"/>
        <v>0</v>
      </c>
      <c r="N164" s="412"/>
      <c r="O164" s="275">
        <f t="shared" si="208"/>
        <v>0</v>
      </c>
      <c r="CL164" s="777"/>
    </row>
    <row r="165" spans="1:90" ht="15.9" customHeight="1" x14ac:dyDescent="0.35">
      <c r="A165" s="275">
        <f>IF(O165=1,SUM($O$138:O165),0)</f>
        <v>0</v>
      </c>
      <c r="B165" s="283">
        <f>IF(O165=1,SUM($O$41:O165),0)</f>
        <v>0</v>
      </c>
      <c r="C165" s="274">
        <v>124</v>
      </c>
      <c r="D165" s="274" t="s">
        <v>332</v>
      </c>
      <c r="E165" s="274"/>
      <c r="F165" s="307">
        <v>40</v>
      </c>
      <c r="G165" s="309" t="s">
        <v>27</v>
      </c>
      <c r="H165" s="308"/>
      <c r="I165" s="309" t="s">
        <v>20</v>
      </c>
      <c r="J165" s="274">
        <f t="shared" si="207"/>
        <v>0</v>
      </c>
      <c r="K165" s="274"/>
      <c r="L165" s="274">
        <f>VLOOKUP(F165,'قائمة الأسعار'!$D$133:$F$143,3,0)</f>
        <v>1</v>
      </c>
      <c r="M165" s="282">
        <f t="shared" si="206"/>
        <v>0</v>
      </c>
      <c r="N165" s="412"/>
      <c r="O165" s="275">
        <f t="shared" si="208"/>
        <v>0</v>
      </c>
      <c r="CL165" s="777"/>
    </row>
    <row r="166" spans="1:90" ht="15.9" customHeight="1" thickBot="1" x14ac:dyDescent="0.4">
      <c r="A166" s="275">
        <f>IF(O166=1,SUM($O$138:O166),0)</f>
        <v>0</v>
      </c>
      <c r="B166" s="283">
        <f>IF(O166=1,SUM($O$41:O166),0)</f>
        <v>0</v>
      </c>
      <c r="C166" s="274">
        <v>125</v>
      </c>
      <c r="D166" s="274" t="s">
        <v>332</v>
      </c>
      <c r="E166" s="274"/>
      <c r="F166" s="307">
        <v>50</v>
      </c>
      <c r="G166" s="309" t="s">
        <v>27</v>
      </c>
      <c r="H166" s="308"/>
      <c r="I166" s="309" t="s">
        <v>20</v>
      </c>
      <c r="J166" s="274">
        <f>SUMIFS($BE$14:$BE$38,$BD$14:$BD$38,F166,$BC$14:$BC$38,"Gaposa",$AC$14:$AC$38,"عادي")</f>
        <v>0</v>
      </c>
      <c r="K166" s="274"/>
      <c r="L166" s="274">
        <f>VLOOKUP(F166,'قائمة الأسعار'!$D$133:$F$143,3,0)</f>
        <v>1</v>
      </c>
      <c r="M166" s="282">
        <f t="shared" si="206"/>
        <v>0</v>
      </c>
      <c r="N166" s="412"/>
      <c r="O166" s="275">
        <f t="shared" si="208"/>
        <v>0</v>
      </c>
      <c r="CL166" s="777"/>
    </row>
    <row r="167" spans="1:90" ht="15.9" customHeight="1" thickTop="1" thickBot="1" x14ac:dyDescent="0.4">
      <c r="A167" s="275">
        <f>IF(O167=1,SUM($O$138:O167),0)</f>
        <v>0</v>
      </c>
      <c r="B167" s="283">
        <f>IF(O167=1,SUM($O$41:O167),0)</f>
        <v>0</v>
      </c>
      <c r="C167" s="274">
        <v>126</v>
      </c>
      <c r="D167" s="274" t="s">
        <v>332</v>
      </c>
      <c r="E167" s="274"/>
      <c r="F167" s="307">
        <v>60</v>
      </c>
      <c r="G167" s="309" t="s">
        <v>27</v>
      </c>
      <c r="H167" s="308"/>
      <c r="I167" s="309" t="s">
        <v>20</v>
      </c>
      <c r="J167" s="274">
        <f t="shared" si="207"/>
        <v>0</v>
      </c>
      <c r="K167" s="274"/>
      <c r="L167" s="274">
        <f>VLOOKUP(F167,'قائمة الأسعار'!$D$133:$F$143,3,0)</f>
        <v>1</v>
      </c>
      <c r="M167" s="282">
        <f>L167*J167</f>
        <v>0</v>
      </c>
      <c r="N167" s="412"/>
      <c r="O167" s="275">
        <f t="shared" si="208"/>
        <v>0</v>
      </c>
    </row>
    <row r="168" spans="1:90" ht="15.9" customHeight="1" thickTop="1" thickBot="1" x14ac:dyDescent="0.4">
      <c r="A168" s="275">
        <f>IF(O168=1,SUM($O$138:O168),0)</f>
        <v>0</v>
      </c>
      <c r="B168" s="283">
        <f>IF(O168=1,SUM($O$41:O168),0)</f>
        <v>0</v>
      </c>
      <c r="C168" s="274">
        <v>127</v>
      </c>
      <c r="D168" s="274" t="s">
        <v>332</v>
      </c>
      <c r="E168" s="274"/>
      <c r="F168" s="307">
        <v>80</v>
      </c>
      <c r="G168" s="309" t="s">
        <v>27</v>
      </c>
      <c r="H168" s="308"/>
      <c r="I168" s="309" t="s">
        <v>20</v>
      </c>
      <c r="J168" s="274">
        <f t="shared" si="207"/>
        <v>0</v>
      </c>
      <c r="K168" s="274"/>
      <c r="L168" s="274">
        <f>VLOOKUP(F168,'قائمة الأسعار'!$D$133:$F$143,3,0)</f>
        <v>1</v>
      </c>
      <c r="M168" s="282">
        <f>L168*J168</f>
        <v>0</v>
      </c>
      <c r="N168" s="412"/>
      <c r="O168" s="275">
        <f t="shared" si="208"/>
        <v>0</v>
      </c>
    </row>
    <row r="169" spans="1:90" ht="15.9" customHeight="1" thickTop="1" thickBot="1" x14ac:dyDescent="0.4">
      <c r="A169" s="275">
        <f>IF(O169=1,SUM($O$138:O169),0)</f>
        <v>0</v>
      </c>
      <c r="B169" s="283">
        <f>IF(O169=1,SUM($O$41:O169),0)</f>
        <v>0</v>
      </c>
      <c r="C169" s="274">
        <v>128</v>
      </c>
      <c r="D169" s="274" t="s">
        <v>332</v>
      </c>
      <c r="E169" s="274"/>
      <c r="F169" s="307">
        <v>100</v>
      </c>
      <c r="G169" s="309" t="s">
        <v>27</v>
      </c>
      <c r="H169" s="308"/>
      <c r="I169" s="309" t="s">
        <v>20</v>
      </c>
      <c r="J169" s="274">
        <f t="shared" si="207"/>
        <v>0</v>
      </c>
      <c r="K169" s="274"/>
      <c r="L169" s="274">
        <f>VLOOKUP(F169,'قائمة الأسعار'!$D$133:$F$143,3,0)</f>
        <v>1</v>
      </c>
      <c r="M169" s="282">
        <f t="shared" ref="M169:M178" si="209">L169*J169</f>
        <v>0</v>
      </c>
      <c r="N169" s="412"/>
      <c r="O169" s="275">
        <f t="shared" si="208"/>
        <v>0</v>
      </c>
    </row>
    <row r="170" spans="1:90" ht="15.9" customHeight="1" thickTop="1" thickBot="1" x14ac:dyDescent="0.4">
      <c r="A170" s="275">
        <f>IF(O170=1,SUM($O$138:O170),0)</f>
        <v>0</v>
      </c>
      <c r="B170" s="283">
        <f>IF(O170=1,SUM($O$41:O170),0)</f>
        <v>0</v>
      </c>
      <c r="C170" s="274">
        <v>129</v>
      </c>
      <c r="D170" s="274" t="s">
        <v>332</v>
      </c>
      <c r="E170" s="274"/>
      <c r="F170" s="307">
        <v>120</v>
      </c>
      <c r="G170" s="309" t="s">
        <v>27</v>
      </c>
      <c r="H170" s="308"/>
      <c r="I170" s="309" t="s">
        <v>20</v>
      </c>
      <c r="J170" s="274">
        <f t="shared" si="207"/>
        <v>0</v>
      </c>
      <c r="K170" s="274"/>
      <c r="L170" s="274">
        <f>VLOOKUP(F170,'قائمة الأسعار'!$D$133:$F$143,3,0)</f>
        <v>1</v>
      </c>
      <c r="M170" s="282">
        <f t="shared" si="209"/>
        <v>0</v>
      </c>
      <c r="N170" s="412"/>
      <c r="O170" s="275">
        <f t="shared" si="208"/>
        <v>0</v>
      </c>
    </row>
    <row r="171" spans="1:90" ht="15.9" customHeight="1" thickTop="1" thickBot="1" x14ac:dyDescent="0.4">
      <c r="A171" s="275">
        <f>IF(O171=1,SUM($O$138:O171),0)</f>
        <v>0</v>
      </c>
      <c r="B171" s="283">
        <f>IF(O171=1,SUM($O$41:O171),0)</f>
        <v>0</v>
      </c>
      <c r="C171" s="274">
        <v>130</v>
      </c>
      <c r="D171" s="274" t="s">
        <v>321</v>
      </c>
      <c r="E171" s="274"/>
      <c r="F171" s="307">
        <v>6</v>
      </c>
      <c r="G171" s="309" t="s">
        <v>27</v>
      </c>
      <c r="H171" s="308"/>
      <c r="I171" s="309" t="s">
        <v>20</v>
      </c>
      <c r="J171" s="274">
        <f>SUMIFS($BE$14:$BE$38,$BD$14:$BD$38,F171,$BC$14:$BC$38,"دويا شورت",$AC$14:$AC$38,"عادي")</f>
        <v>0</v>
      </c>
      <c r="K171" s="274"/>
      <c r="L171" s="274">
        <f>VLOOKUP(F171,'قائمة الأسعار'!$D$145:$F$155,3,0)</f>
        <v>1</v>
      </c>
      <c r="M171" s="282">
        <f t="shared" si="209"/>
        <v>0</v>
      </c>
      <c r="N171" s="412"/>
      <c r="O171" s="275">
        <f t="shared" si="208"/>
        <v>0</v>
      </c>
    </row>
    <row r="172" spans="1:90" ht="15.9" customHeight="1" thickTop="1" thickBot="1" x14ac:dyDescent="0.4">
      <c r="A172" s="275">
        <f>IF(O172=1,SUM($O$138:O172),0)</f>
        <v>0</v>
      </c>
      <c r="B172" s="283">
        <f>IF(O172=1,SUM($O$41:O172),0)</f>
        <v>0</v>
      </c>
      <c r="C172" s="274">
        <v>131</v>
      </c>
      <c r="D172" s="274" t="s">
        <v>321</v>
      </c>
      <c r="E172" s="274"/>
      <c r="F172" s="307">
        <v>10</v>
      </c>
      <c r="G172" s="309" t="s">
        <v>27</v>
      </c>
      <c r="H172" s="308"/>
      <c r="I172" s="309" t="s">
        <v>20</v>
      </c>
      <c r="J172" s="274">
        <f t="shared" ref="J172:J181" si="210">SUMIFS($BE$14:$BE$38,$BD$14:$BD$38,F172,$BC$14:$BC$38,"دويا شورت",$AC$14:$AC$38,"عادي")</f>
        <v>0</v>
      </c>
      <c r="K172" s="274"/>
      <c r="L172" s="274">
        <f>VLOOKUP(F172,'قائمة الأسعار'!$D$145:$F$155,3,0)</f>
        <v>1</v>
      </c>
      <c r="M172" s="282">
        <f t="shared" si="209"/>
        <v>0</v>
      </c>
      <c r="N172" s="412"/>
      <c r="O172" s="275">
        <f t="shared" si="208"/>
        <v>0</v>
      </c>
    </row>
    <row r="173" spans="1:90" ht="15.9" customHeight="1" thickTop="1" thickBot="1" x14ac:dyDescent="0.4">
      <c r="A173" s="275">
        <f>IF(O173=1,SUM($O$138:O173),0)</f>
        <v>0</v>
      </c>
      <c r="B173" s="283">
        <f>IF(O173=1,SUM($O$41:O173),0)</f>
        <v>0</v>
      </c>
      <c r="C173" s="274">
        <v>132</v>
      </c>
      <c r="D173" s="274" t="s">
        <v>321</v>
      </c>
      <c r="E173" s="274"/>
      <c r="F173" s="307">
        <v>15</v>
      </c>
      <c r="G173" s="309" t="s">
        <v>27</v>
      </c>
      <c r="H173" s="308"/>
      <c r="I173" s="309" t="s">
        <v>20</v>
      </c>
      <c r="J173" s="274">
        <f t="shared" si="210"/>
        <v>0</v>
      </c>
      <c r="K173" s="274"/>
      <c r="L173" s="274">
        <f>VLOOKUP(F173,'قائمة الأسعار'!$D$145:$F$155,3,0)</f>
        <v>1</v>
      </c>
      <c r="M173" s="282">
        <f t="shared" si="209"/>
        <v>0</v>
      </c>
      <c r="N173" s="412"/>
      <c r="O173" s="275">
        <f t="shared" si="208"/>
        <v>0</v>
      </c>
    </row>
    <row r="174" spans="1:90" ht="15.9" customHeight="1" thickTop="1" thickBot="1" x14ac:dyDescent="0.4">
      <c r="A174" s="275">
        <f>IF(O174=1,SUM($O$138:O174),0)</f>
        <v>0</v>
      </c>
      <c r="B174" s="283">
        <f>IF(O174=1,SUM($O$41:O174),0)</f>
        <v>0</v>
      </c>
      <c r="C174" s="274">
        <v>133</v>
      </c>
      <c r="D174" s="274" t="s">
        <v>321</v>
      </c>
      <c r="E174" s="274"/>
      <c r="F174" s="307">
        <v>20</v>
      </c>
      <c r="G174" s="309" t="s">
        <v>27</v>
      </c>
      <c r="H174" s="308"/>
      <c r="I174" s="309" t="s">
        <v>20</v>
      </c>
      <c r="J174" s="274">
        <f t="shared" si="210"/>
        <v>0</v>
      </c>
      <c r="K174" s="274"/>
      <c r="L174" s="274">
        <f>VLOOKUP(F174,'قائمة الأسعار'!$D$145:$F$155,3,0)</f>
        <v>1</v>
      </c>
      <c r="M174" s="282">
        <f t="shared" si="209"/>
        <v>0</v>
      </c>
      <c r="N174" s="412"/>
      <c r="O174" s="275">
        <f t="shared" si="208"/>
        <v>0</v>
      </c>
    </row>
    <row r="175" spans="1:90" ht="15.9" customHeight="1" thickTop="1" thickBot="1" x14ac:dyDescent="0.4">
      <c r="A175" s="275">
        <f>IF(O175=1,SUM($O$138:O175),0)</f>
        <v>0</v>
      </c>
      <c r="B175" s="283">
        <f>IF(O175=1,SUM($O$41:O175),0)</f>
        <v>0</v>
      </c>
      <c r="C175" s="274">
        <v>134</v>
      </c>
      <c r="D175" s="274" t="s">
        <v>321</v>
      </c>
      <c r="E175" s="274"/>
      <c r="F175" s="307">
        <v>30</v>
      </c>
      <c r="G175" s="309" t="s">
        <v>27</v>
      </c>
      <c r="H175" s="308"/>
      <c r="I175" s="309" t="s">
        <v>20</v>
      </c>
      <c r="J175" s="274">
        <f t="shared" si="210"/>
        <v>0</v>
      </c>
      <c r="K175" s="274"/>
      <c r="L175" s="274">
        <f>VLOOKUP(F175,'قائمة الأسعار'!$D$145:$F$155,3,0)</f>
        <v>1</v>
      </c>
      <c r="M175" s="282">
        <f t="shared" si="209"/>
        <v>0</v>
      </c>
      <c r="N175" s="412"/>
      <c r="O175" s="275">
        <f t="shared" si="208"/>
        <v>0</v>
      </c>
    </row>
    <row r="176" spans="1:90" ht="15.9" customHeight="1" thickTop="1" thickBot="1" x14ac:dyDescent="0.4">
      <c r="A176" s="275">
        <f>IF(O176=1,SUM($O$138:O176),0)</f>
        <v>0</v>
      </c>
      <c r="B176" s="283">
        <f>IF(O176=1,SUM($O$41:O176),0)</f>
        <v>0</v>
      </c>
      <c r="C176" s="274">
        <v>135</v>
      </c>
      <c r="D176" s="274" t="s">
        <v>321</v>
      </c>
      <c r="E176" s="274"/>
      <c r="F176" s="307">
        <v>40</v>
      </c>
      <c r="G176" s="309" t="s">
        <v>27</v>
      </c>
      <c r="H176" s="308"/>
      <c r="I176" s="309" t="s">
        <v>20</v>
      </c>
      <c r="J176" s="274">
        <f t="shared" si="210"/>
        <v>0</v>
      </c>
      <c r="K176" s="274"/>
      <c r="L176" s="274">
        <f>VLOOKUP(F176,'قائمة الأسعار'!$D$145:$F$155,3,0)</f>
        <v>1</v>
      </c>
      <c r="M176" s="282">
        <f t="shared" si="209"/>
        <v>0</v>
      </c>
      <c r="N176" s="412"/>
      <c r="O176" s="275">
        <f t="shared" si="208"/>
        <v>0</v>
      </c>
    </row>
    <row r="177" spans="1:15" ht="15.9" customHeight="1" thickTop="1" thickBot="1" x14ac:dyDescent="0.4">
      <c r="A177" s="275">
        <f>IF(O177=1,SUM($O$138:O177),0)</f>
        <v>0</v>
      </c>
      <c r="B177" s="283">
        <f>IF(O177=1,SUM($O$41:O177),0)</f>
        <v>0</v>
      </c>
      <c r="C177" s="274">
        <v>136</v>
      </c>
      <c r="D177" s="274" t="s">
        <v>321</v>
      </c>
      <c r="E177" s="274"/>
      <c r="F177" s="307">
        <v>50</v>
      </c>
      <c r="G177" s="309" t="s">
        <v>27</v>
      </c>
      <c r="H177" s="308"/>
      <c r="I177" s="309" t="s">
        <v>20</v>
      </c>
      <c r="J177" s="274">
        <f t="shared" si="210"/>
        <v>0</v>
      </c>
      <c r="K177" s="274"/>
      <c r="L177" s="274">
        <f>VLOOKUP(F177,'قائمة الأسعار'!$D$145:$F$155,3,0)</f>
        <v>1</v>
      </c>
      <c r="M177" s="282">
        <f t="shared" si="209"/>
        <v>0</v>
      </c>
      <c r="N177" s="412"/>
      <c r="O177" s="275">
        <f t="shared" si="208"/>
        <v>0</v>
      </c>
    </row>
    <row r="178" spans="1:15" ht="15.9" customHeight="1" thickTop="1" thickBot="1" x14ac:dyDescent="0.4">
      <c r="A178" s="275">
        <f>IF(O178=1,SUM($O$138:O178),0)</f>
        <v>0</v>
      </c>
      <c r="B178" s="283">
        <f>IF(O178=1,SUM($O$41:O178),0)</f>
        <v>0</v>
      </c>
      <c r="C178" s="274">
        <v>137</v>
      </c>
      <c r="D178" s="274" t="s">
        <v>321</v>
      </c>
      <c r="E178" s="274"/>
      <c r="F178" s="307">
        <v>60</v>
      </c>
      <c r="G178" s="309" t="s">
        <v>27</v>
      </c>
      <c r="H178" s="308"/>
      <c r="I178" s="309" t="s">
        <v>20</v>
      </c>
      <c r="J178" s="274">
        <f t="shared" si="210"/>
        <v>0</v>
      </c>
      <c r="K178" s="274"/>
      <c r="L178" s="274">
        <f>VLOOKUP(F178,'قائمة الأسعار'!$D$145:$F$155,3,0)</f>
        <v>1</v>
      </c>
      <c r="M178" s="282">
        <f t="shared" si="209"/>
        <v>0</v>
      </c>
      <c r="N178" s="412"/>
      <c r="O178" s="275">
        <f t="shared" si="208"/>
        <v>0</v>
      </c>
    </row>
    <row r="179" spans="1:15" ht="15.9" customHeight="1" thickTop="1" thickBot="1" x14ac:dyDescent="0.4">
      <c r="A179" s="275">
        <f>IF(O179=1,SUM($O$138:O179),0)</f>
        <v>0</v>
      </c>
      <c r="B179" s="283">
        <f>IF(O179=1,SUM($O$41:O179),0)</f>
        <v>0</v>
      </c>
      <c r="C179" s="274">
        <v>138</v>
      </c>
      <c r="D179" s="274" t="s">
        <v>321</v>
      </c>
      <c r="E179" s="274"/>
      <c r="F179" s="307">
        <v>80</v>
      </c>
      <c r="G179" s="309" t="s">
        <v>27</v>
      </c>
      <c r="H179" s="308"/>
      <c r="I179" s="309" t="s">
        <v>20</v>
      </c>
      <c r="J179" s="274">
        <f t="shared" si="210"/>
        <v>0</v>
      </c>
      <c r="K179" s="274"/>
      <c r="L179" s="274">
        <f>VLOOKUP(F179,'قائمة الأسعار'!$D$145:$F$155,3,0)</f>
        <v>1</v>
      </c>
      <c r="M179" s="282">
        <f>L179*J179</f>
        <v>0</v>
      </c>
      <c r="N179" s="412"/>
      <c r="O179" s="275">
        <f t="shared" si="208"/>
        <v>0</v>
      </c>
    </row>
    <row r="180" spans="1:15" ht="15.9" customHeight="1" thickTop="1" thickBot="1" x14ac:dyDescent="0.4">
      <c r="A180" s="275">
        <f>IF(O180=1,SUM($O$138:O180),0)</f>
        <v>0</v>
      </c>
      <c r="B180" s="283">
        <f>IF(O180=1,SUM($O$41:O180),0)</f>
        <v>0</v>
      </c>
      <c r="C180" s="274">
        <v>139</v>
      </c>
      <c r="D180" s="274" t="s">
        <v>321</v>
      </c>
      <c r="E180" s="274"/>
      <c r="F180" s="307">
        <v>100</v>
      </c>
      <c r="G180" s="309" t="s">
        <v>27</v>
      </c>
      <c r="H180" s="308"/>
      <c r="I180" s="309" t="s">
        <v>20</v>
      </c>
      <c r="J180" s="274">
        <f t="shared" si="210"/>
        <v>0</v>
      </c>
      <c r="K180" s="274"/>
      <c r="L180" s="274">
        <f>VLOOKUP(F180,'قائمة الأسعار'!$D$145:$F$155,3,0)</f>
        <v>1</v>
      </c>
      <c r="M180" s="282">
        <f t="shared" ref="M180:M189" si="211">L180*J180</f>
        <v>0</v>
      </c>
      <c r="N180" s="412"/>
      <c r="O180" s="275">
        <f t="shared" si="208"/>
        <v>0</v>
      </c>
    </row>
    <row r="181" spans="1:15" ht="15.9" customHeight="1" thickTop="1" thickBot="1" x14ac:dyDescent="0.4">
      <c r="A181" s="275">
        <f>IF(O181=1,SUM($O$138:O181),0)</f>
        <v>0</v>
      </c>
      <c r="B181" s="283">
        <f>IF(O181=1,SUM($O$41:O181),0)</f>
        <v>0</v>
      </c>
      <c r="C181" s="274">
        <v>140</v>
      </c>
      <c r="D181" s="274" t="s">
        <v>321</v>
      </c>
      <c r="E181" s="274"/>
      <c r="F181" s="307">
        <v>120</v>
      </c>
      <c r="G181" s="309" t="s">
        <v>27</v>
      </c>
      <c r="H181" s="308"/>
      <c r="I181" s="309" t="s">
        <v>20</v>
      </c>
      <c r="J181" s="274">
        <f t="shared" si="210"/>
        <v>0</v>
      </c>
      <c r="K181" s="274"/>
      <c r="L181" s="274">
        <f>VLOOKUP(F181,'قائمة الأسعار'!$D$145:$F$155,3,0)</f>
        <v>1</v>
      </c>
      <c r="M181" s="282">
        <f t="shared" si="211"/>
        <v>0</v>
      </c>
      <c r="N181" s="412"/>
      <c r="O181" s="275">
        <f t="shared" si="208"/>
        <v>0</v>
      </c>
    </row>
    <row r="182" spans="1:15" ht="15.9" customHeight="1" thickTop="1" thickBot="1" x14ac:dyDescent="0.4">
      <c r="A182" s="275">
        <f>IF(O182=1,SUM($O$138:O182),0)</f>
        <v>0</v>
      </c>
      <c r="B182" s="283">
        <f>IF(O182=1,SUM($O$41:O182),0)</f>
        <v>0</v>
      </c>
      <c r="C182" s="274">
        <v>141</v>
      </c>
      <c r="D182" s="274" t="s">
        <v>333</v>
      </c>
      <c r="E182" s="274"/>
      <c r="F182" s="307">
        <v>6</v>
      </c>
      <c r="G182" s="309" t="s">
        <v>27</v>
      </c>
      <c r="H182" s="308"/>
      <c r="I182" s="309" t="s">
        <v>20</v>
      </c>
      <c r="J182" s="274">
        <f>SUMIFS($BE$14:$BE$38,$BD$14:$BD$38,F182,$BC$14:$BC$38,"سيبار",$AC$14:$AC$38,"عادي")</f>
        <v>0</v>
      </c>
      <c r="K182" s="274"/>
      <c r="L182" s="274">
        <f>VLOOKUP(F182,'قائمة الأسعار'!$D$157:$F$167,3,0)</f>
        <v>1</v>
      </c>
      <c r="M182" s="282">
        <f t="shared" si="211"/>
        <v>0</v>
      </c>
      <c r="N182" s="412"/>
      <c r="O182" s="275">
        <f t="shared" si="208"/>
        <v>0</v>
      </c>
    </row>
    <row r="183" spans="1:15" ht="15.9" customHeight="1" thickTop="1" thickBot="1" x14ac:dyDescent="0.4">
      <c r="A183" s="275">
        <f>IF(O183=1,SUM($O$138:O183),0)</f>
        <v>0</v>
      </c>
      <c r="B183" s="283">
        <f>IF(O183=1,SUM($O$41:O183),0)</f>
        <v>0</v>
      </c>
      <c r="C183" s="274">
        <v>142</v>
      </c>
      <c r="D183" s="274" t="s">
        <v>333</v>
      </c>
      <c r="E183" s="274"/>
      <c r="F183" s="307">
        <v>10</v>
      </c>
      <c r="G183" s="309" t="s">
        <v>27</v>
      </c>
      <c r="H183" s="308"/>
      <c r="I183" s="309" t="s">
        <v>20</v>
      </c>
      <c r="J183" s="274">
        <f t="shared" ref="J183:J192" si="212">SUMIFS($BE$14:$BE$38,$BD$14:$BD$38,F183,$BC$14:$BC$38,"سيبار",$AC$14:$AC$38,"عادي")</f>
        <v>0</v>
      </c>
      <c r="K183" s="274"/>
      <c r="L183" s="274">
        <f>VLOOKUP(F183,'قائمة الأسعار'!$D$157:$F$167,3,0)</f>
        <v>1</v>
      </c>
      <c r="M183" s="282">
        <f t="shared" si="211"/>
        <v>0</v>
      </c>
      <c r="N183" s="412"/>
      <c r="O183" s="275">
        <f t="shared" si="208"/>
        <v>0</v>
      </c>
    </row>
    <row r="184" spans="1:15" ht="15.9" customHeight="1" thickTop="1" thickBot="1" x14ac:dyDescent="0.4">
      <c r="A184" s="275">
        <f>IF(O184=1,SUM($O$138:O184),0)</f>
        <v>0</v>
      </c>
      <c r="B184" s="283">
        <f>IF(O184=1,SUM($O$41:O184),0)</f>
        <v>0</v>
      </c>
      <c r="C184" s="274">
        <v>143</v>
      </c>
      <c r="D184" s="274" t="s">
        <v>333</v>
      </c>
      <c r="E184" s="274"/>
      <c r="F184" s="307">
        <v>15</v>
      </c>
      <c r="G184" s="309" t="s">
        <v>27</v>
      </c>
      <c r="H184" s="308"/>
      <c r="I184" s="309" t="s">
        <v>20</v>
      </c>
      <c r="J184" s="274">
        <f t="shared" si="212"/>
        <v>0</v>
      </c>
      <c r="K184" s="274"/>
      <c r="L184" s="274">
        <f>VLOOKUP(F184,'قائمة الأسعار'!$D$157:$F$167,3,0)</f>
        <v>1</v>
      </c>
      <c r="M184" s="282">
        <f t="shared" si="211"/>
        <v>0</v>
      </c>
      <c r="N184" s="412"/>
      <c r="O184" s="275">
        <f t="shared" si="208"/>
        <v>0</v>
      </c>
    </row>
    <row r="185" spans="1:15" ht="15.9" customHeight="1" thickTop="1" thickBot="1" x14ac:dyDescent="0.4">
      <c r="A185" s="275">
        <f>IF(O185=1,SUM($O$138:O185),0)</f>
        <v>0</v>
      </c>
      <c r="B185" s="283">
        <f>IF(O185=1,SUM($O$41:O185),0)</f>
        <v>0</v>
      </c>
      <c r="C185" s="274">
        <v>144</v>
      </c>
      <c r="D185" s="274" t="s">
        <v>333</v>
      </c>
      <c r="E185" s="274"/>
      <c r="F185" s="307">
        <v>20</v>
      </c>
      <c r="G185" s="309" t="s">
        <v>27</v>
      </c>
      <c r="H185" s="308"/>
      <c r="I185" s="309" t="s">
        <v>20</v>
      </c>
      <c r="J185" s="274">
        <f t="shared" si="212"/>
        <v>0</v>
      </c>
      <c r="K185" s="274"/>
      <c r="L185" s="274">
        <f>VLOOKUP(F185,'قائمة الأسعار'!$D$157:$F$167,3,0)</f>
        <v>1</v>
      </c>
      <c r="M185" s="282">
        <f t="shared" si="211"/>
        <v>0</v>
      </c>
      <c r="N185" s="412"/>
      <c r="O185" s="275">
        <f t="shared" si="208"/>
        <v>0</v>
      </c>
    </row>
    <row r="186" spans="1:15" ht="15.9" customHeight="1" thickTop="1" thickBot="1" x14ac:dyDescent="0.4">
      <c r="A186" s="275">
        <f>IF(O186=1,SUM($O$138:O186),0)</f>
        <v>0</v>
      </c>
      <c r="B186" s="283">
        <f>IF(O186=1,SUM($O$41:O186),0)</f>
        <v>0</v>
      </c>
      <c r="C186" s="274">
        <v>145</v>
      </c>
      <c r="D186" s="274" t="s">
        <v>333</v>
      </c>
      <c r="E186" s="274"/>
      <c r="F186" s="307">
        <v>30</v>
      </c>
      <c r="G186" s="309" t="s">
        <v>27</v>
      </c>
      <c r="H186" s="308"/>
      <c r="I186" s="309" t="s">
        <v>20</v>
      </c>
      <c r="J186" s="274">
        <f t="shared" si="212"/>
        <v>0</v>
      </c>
      <c r="K186" s="274"/>
      <c r="L186" s="274">
        <f>VLOOKUP(F186,'قائمة الأسعار'!$D$157:$F$167,3,0)</f>
        <v>1</v>
      </c>
      <c r="M186" s="282">
        <f t="shared" si="211"/>
        <v>0</v>
      </c>
      <c r="N186" s="412"/>
      <c r="O186" s="275">
        <f t="shared" si="208"/>
        <v>0</v>
      </c>
    </row>
    <row r="187" spans="1:15" ht="15.9" customHeight="1" thickTop="1" thickBot="1" x14ac:dyDescent="0.4">
      <c r="A187" s="275">
        <f>IF(O187=1,SUM($O$138:O187),0)</f>
        <v>0</v>
      </c>
      <c r="B187" s="283">
        <f>IF(O187=1,SUM($O$41:O187),0)</f>
        <v>0</v>
      </c>
      <c r="C187" s="274">
        <v>146</v>
      </c>
      <c r="D187" s="274" t="s">
        <v>333</v>
      </c>
      <c r="E187" s="274"/>
      <c r="F187" s="307">
        <v>40</v>
      </c>
      <c r="G187" s="309" t="s">
        <v>27</v>
      </c>
      <c r="H187" s="308"/>
      <c r="I187" s="309" t="s">
        <v>20</v>
      </c>
      <c r="J187" s="274">
        <f t="shared" si="212"/>
        <v>0</v>
      </c>
      <c r="K187" s="274"/>
      <c r="L187" s="274">
        <f>VLOOKUP(F187,'قائمة الأسعار'!$D$157:$F$167,3,0)</f>
        <v>1</v>
      </c>
      <c r="M187" s="282">
        <f t="shared" si="211"/>
        <v>0</v>
      </c>
      <c r="N187" s="412"/>
      <c r="O187" s="275">
        <f t="shared" si="208"/>
        <v>0</v>
      </c>
    </row>
    <row r="188" spans="1:15" ht="15.9" customHeight="1" thickTop="1" thickBot="1" x14ac:dyDescent="0.4">
      <c r="A188" s="275">
        <f>IF(O188=1,SUM($O$138:O188),0)</f>
        <v>0</v>
      </c>
      <c r="B188" s="283">
        <f>IF(O188=1,SUM($O$41:O188),0)</f>
        <v>0</v>
      </c>
      <c r="C188" s="274">
        <v>147</v>
      </c>
      <c r="D188" s="274" t="s">
        <v>333</v>
      </c>
      <c r="E188" s="274"/>
      <c r="F188" s="307">
        <v>50</v>
      </c>
      <c r="G188" s="309" t="s">
        <v>27</v>
      </c>
      <c r="H188" s="308"/>
      <c r="I188" s="309" t="s">
        <v>20</v>
      </c>
      <c r="J188" s="274">
        <f t="shared" si="212"/>
        <v>0</v>
      </c>
      <c r="K188" s="274"/>
      <c r="L188" s="274">
        <f>VLOOKUP(F188,'قائمة الأسعار'!$D$157:$F$167,3,0)</f>
        <v>1</v>
      </c>
      <c r="M188" s="282">
        <f t="shared" si="211"/>
        <v>0</v>
      </c>
      <c r="N188" s="412"/>
      <c r="O188" s="275">
        <f t="shared" si="208"/>
        <v>0</v>
      </c>
    </row>
    <row r="189" spans="1:15" ht="15.9" customHeight="1" thickTop="1" thickBot="1" x14ac:dyDescent="0.4">
      <c r="A189" s="275">
        <f>IF(O189=1,SUM($O$138:O189),0)</f>
        <v>0</v>
      </c>
      <c r="B189" s="283">
        <f>IF(O189=1,SUM($O$41:O189),0)</f>
        <v>0</v>
      </c>
      <c r="C189" s="274">
        <v>148</v>
      </c>
      <c r="D189" s="274" t="s">
        <v>333</v>
      </c>
      <c r="E189" s="274"/>
      <c r="F189" s="307">
        <v>60</v>
      </c>
      <c r="G189" s="309" t="s">
        <v>27</v>
      </c>
      <c r="H189" s="308"/>
      <c r="I189" s="309" t="s">
        <v>20</v>
      </c>
      <c r="J189" s="274">
        <f t="shared" si="212"/>
        <v>0</v>
      </c>
      <c r="K189" s="274"/>
      <c r="L189" s="274">
        <f>VLOOKUP(F189,'قائمة الأسعار'!$D$157:$F$167,3,0)</f>
        <v>1</v>
      </c>
      <c r="M189" s="282">
        <f t="shared" si="211"/>
        <v>0</v>
      </c>
      <c r="N189" s="412"/>
      <c r="O189" s="275">
        <f t="shared" si="208"/>
        <v>0</v>
      </c>
    </row>
    <row r="190" spans="1:15" ht="15.9" customHeight="1" thickTop="1" thickBot="1" x14ac:dyDescent="0.4">
      <c r="A190" s="275">
        <f>IF(O190=1,SUM($O$138:O190),0)</f>
        <v>0</v>
      </c>
      <c r="B190" s="283">
        <f>IF(O190=1,SUM($O$41:O190),0)</f>
        <v>0</v>
      </c>
      <c r="C190" s="274">
        <v>149</v>
      </c>
      <c r="D190" s="274" t="s">
        <v>333</v>
      </c>
      <c r="E190" s="274"/>
      <c r="F190" s="307">
        <v>80</v>
      </c>
      <c r="G190" s="309" t="s">
        <v>27</v>
      </c>
      <c r="H190" s="308"/>
      <c r="I190" s="309" t="s">
        <v>20</v>
      </c>
      <c r="J190" s="274">
        <f t="shared" si="212"/>
        <v>0</v>
      </c>
      <c r="K190" s="274"/>
      <c r="L190" s="274">
        <f>VLOOKUP(F190,'قائمة الأسعار'!$D$157:$F$167,3,0)</f>
        <v>1</v>
      </c>
      <c r="M190" s="282">
        <f>L190*J190</f>
        <v>0</v>
      </c>
      <c r="N190" s="412"/>
      <c r="O190" s="275">
        <f t="shared" si="208"/>
        <v>0</v>
      </c>
    </row>
    <row r="191" spans="1:15" ht="15.9" customHeight="1" thickTop="1" thickBot="1" x14ac:dyDescent="0.4">
      <c r="A191" s="275">
        <f>IF(O191=1,SUM($O$138:O191),0)</f>
        <v>0</v>
      </c>
      <c r="B191" s="283">
        <f>IF(O191=1,SUM($O$41:O191),0)</f>
        <v>0</v>
      </c>
      <c r="C191" s="274">
        <v>150</v>
      </c>
      <c r="D191" s="274" t="s">
        <v>333</v>
      </c>
      <c r="E191" s="274"/>
      <c r="F191" s="307">
        <v>100</v>
      </c>
      <c r="G191" s="309" t="s">
        <v>27</v>
      </c>
      <c r="H191" s="308"/>
      <c r="I191" s="309" t="s">
        <v>20</v>
      </c>
      <c r="J191" s="274">
        <f t="shared" si="212"/>
        <v>0</v>
      </c>
      <c r="K191" s="274"/>
      <c r="L191" s="274">
        <f>VLOOKUP(F191,'قائمة الأسعار'!$D$157:$F$167,3,0)</f>
        <v>1</v>
      </c>
      <c r="M191" s="282">
        <f t="shared" ref="M191:M200" si="213">L191*J191</f>
        <v>0</v>
      </c>
      <c r="N191" s="412"/>
      <c r="O191" s="275">
        <f t="shared" si="208"/>
        <v>0</v>
      </c>
    </row>
    <row r="192" spans="1:15" ht="15.9" customHeight="1" thickTop="1" thickBot="1" x14ac:dyDescent="0.4">
      <c r="A192" s="275">
        <f>IF(O192=1,SUM($O$138:O192),0)</f>
        <v>0</v>
      </c>
      <c r="B192" s="283">
        <f>IF(O192=1,SUM($O$41:O192),0)</f>
        <v>0</v>
      </c>
      <c r="C192" s="274">
        <v>151</v>
      </c>
      <c r="D192" s="274" t="s">
        <v>333</v>
      </c>
      <c r="E192" s="274"/>
      <c r="F192" s="307">
        <v>120</v>
      </c>
      <c r="G192" s="309" t="s">
        <v>27</v>
      </c>
      <c r="H192" s="308"/>
      <c r="I192" s="309" t="s">
        <v>20</v>
      </c>
      <c r="J192" s="274">
        <f t="shared" si="212"/>
        <v>0</v>
      </c>
      <c r="K192" s="274"/>
      <c r="L192" s="274">
        <f>VLOOKUP(F192,'قائمة الأسعار'!$D$157:$F$167,3,0)</f>
        <v>1</v>
      </c>
      <c r="M192" s="282">
        <f t="shared" si="213"/>
        <v>0</v>
      </c>
      <c r="N192" s="412"/>
      <c r="O192" s="275">
        <f t="shared" si="208"/>
        <v>0</v>
      </c>
    </row>
    <row r="193" spans="1:15" ht="15.9" customHeight="1" thickTop="1" thickBot="1" x14ac:dyDescent="0.4">
      <c r="A193" s="275">
        <f>IF(O193=1,SUM($O$138:O193),0)</f>
        <v>0</v>
      </c>
      <c r="B193" s="283">
        <f>IF(O193=1,SUM($O$41:O193),0)</f>
        <v>0</v>
      </c>
      <c r="C193" s="274">
        <v>152</v>
      </c>
      <c r="D193" s="274"/>
      <c r="E193" s="274"/>
      <c r="F193" s="307">
        <v>8</v>
      </c>
      <c r="G193" s="309" t="s">
        <v>27</v>
      </c>
      <c r="H193" s="308"/>
      <c r="I193" s="309" t="s">
        <v>20</v>
      </c>
      <c r="J193" s="274">
        <f>SUMIFS($BE$14:$BE$38,$BD$14:$BD$38,F193,$BC$14:$BC$38,"سيمو",$AC$14:$AC$38,"عادي")</f>
        <v>0</v>
      </c>
      <c r="K193" s="274"/>
      <c r="L193" s="274">
        <f>VLOOKUP(F193,'قائمة الأسعار'!$D$169:$F$179,3,0)</f>
        <v>1</v>
      </c>
      <c r="M193" s="282">
        <f t="shared" si="213"/>
        <v>0</v>
      </c>
      <c r="N193" s="412"/>
      <c r="O193" s="275">
        <f t="shared" si="208"/>
        <v>0</v>
      </c>
    </row>
    <row r="194" spans="1:15" ht="15.9" customHeight="1" thickTop="1" thickBot="1" x14ac:dyDescent="0.4">
      <c r="A194" s="275">
        <f>IF(O194=1,SUM($O$138:O194),0)</f>
        <v>0</v>
      </c>
      <c r="B194" s="283">
        <f>IF(O194=1,SUM($O$41:O194),0)</f>
        <v>0</v>
      </c>
      <c r="C194" s="274">
        <v>153</v>
      </c>
      <c r="D194" s="274" t="s">
        <v>407</v>
      </c>
      <c r="E194" s="274"/>
      <c r="F194" s="307">
        <v>10</v>
      </c>
      <c r="G194" s="309" t="s">
        <v>27</v>
      </c>
      <c r="H194" s="308"/>
      <c r="I194" s="309" t="s">
        <v>20</v>
      </c>
      <c r="J194" s="274">
        <f>SUMIFS($BE$14:$BE$38,$BD$14:$BD$38,F194,$BC$14:$BC$38,"feierge",$AC$14:$AC$38,"عادي")</f>
        <v>0</v>
      </c>
      <c r="K194" s="274"/>
      <c r="L194" s="274">
        <f>VLOOKUP(F194,'قائمة الأسعار'!$D$169:$F$179,3,0)</f>
        <v>1</v>
      </c>
      <c r="M194" s="282">
        <f t="shared" si="213"/>
        <v>0</v>
      </c>
      <c r="N194" s="412"/>
      <c r="O194" s="275">
        <f t="shared" si="208"/>
        <v>0</v>
      </c>
    </row>
    <row r="195" spans="1:15" ht="15.9" customHeight="1" thickTop="1" thickBot="1" x14ac:dyDescent="0.4">
      <c r="A195" s="275">
        <f>IF(O195=1,SUM($O$138:O195),0)</f>
        <v>0</v>
      </c>
      <c r="B195" s="283">
        <f>IF(O195=1,SUM($O$41:O195),0)</f>
        <v>0</v>
      </c>
      <c r="C195" s="274">
        <v>154</v>
      </c>
      <c r="D195" s="274"/>
      <c r="E195" s="274"/>
      <c r="F195" s="307">
        <v>15</v>
      </c>
      <c r="G195" s="309" t="s">
        <v>27</v>
      </c>
      <c r="H195" s="308"/>
      <c r="I195" s="309" t="s">
        <v>20</v>
      </c>
      <c r="J195" s="274">
        <f t="shared" ref="J195:J203" si="214">SUMIFS($BE$14:$BE$38,$BD$14:$BD$38,F195,$BC$14:$BC$38,"سيمو",$AC$14:$AC$38,"عادي")</f>
        <v>0</v>
      </c>
      <c r="K195" s="274"/>
      <c r="L195" s="274">
        <f>VLOOKUP(F195,'قائمة الأسعار'!$D$169:$F$179,3,0)</f>
        <v>1</v>
      </c>
      <c r="M195" s="282">
        <f t="shared" si="213"/>
        <v>0</v>
      </c>
      <c r="N195" s="412"/>
      <c r="O195" s="275">
        <f t="shared" si="208"/>
        <v>0</v>
      </c>
    </row>
    <row r="196" spans="1:15" ht="15.9" customHeight="1" thickTop="1" thickBot="1" x14ac:dyDescent="0.4">
      <c r="A196" s="275">
        <f>IF(O196=1,SUM($O$138:O196),0)</f>
        <v>0</v>
      </c>
      <c r="B196" s="283">
        <f>IF(O196=1,SUM($O$41:O196),0)</f>
        <v>0</v>
      </c>
      <c r="C196" s="274">
        <v>155</v>
      </c>
      <c r="D196" s="274" t="s">
        <v>407</v>
      </c>
      <c r="E196" s="274"/>
      <c r="F196" s="307">
        <v>20</v>
      </c>
      <c r="G196" s="309" t="s">
        <v>27</v>
      </c>
      <c r="H196" s="308"/>
      <c r="I196" s="309" t="s">
        <v>20</v>
      </c>
      <c r="J196" s="274">
        <f>SUMIFS($BE$14:$BE$38,$BD$14:$BD$38,F196,$BC$14:$BC$38,"feierge",$AC$14:$AC$38,"عادي")</f>
        <v>0</v>
      </c>
      <c r="K196" s="274"/>
      <c r="L196" s="274">
        <f>VLOOKUP(F196,'قائمة الأسعار'!$D$169:$F$179,3,0)</f>
        <v>1</v>
      </c>
      <c r="M196" s="282">
        <f t="shared" si="213"/>
        <v>0</v>
      </c>
      <c r="N196" s="412"/>
      <c r="O196" s="275">
        <f t="shared" si="208"/>
        <v>0</v>
      </c>
    </row>
    <row r="197" spans="1:15" ht="15.9" customHeight="1" thickTop="1" thickBot="1" x14ac:dyDescent="0.4">
      <c r="A197" s="275">
        <f>IF(O197=1,SUM($O$138:O197),0)</f>
        <v>0</v>
      </c>
      <c r="B197" s="283">
        <f>IF(O197=1,SUM($O$41:O197),0)</f>
        <v>0</v>
      </c>
      <c r="C197" s="274">
        <v>156</v>
      </c>
      <c r="D197" s="274" t="s">
        <v>407</v>
      </c>
      <c r="E197" s="274"/>
      <c r="F197" s="307">
        <v>30</v>
      </c>
      <c r="G197" s="309" t="s">
        <v>27</v>
      </c>
      <c r="H197" s="308"/>
      <c r="I197" s="309" t="s">
        <v>20</v>
      </c>
      <c r="J197" s="274">
        <f>SUMIFS($BE$14:$BE$38,$BD$14:$BD$38,F197,$BC$14:$BC$38,"feierge",$AC$14:$AC$38,"عادي")</f>
        <v>0</v>
      </c>
      <c r="K197" s="274"/>
      <c r="L197" s="274">
        <f>VLOOKUP(F197,'قائمة الأسعار'!$D$169:$F$179,3,0)</f>
        <v>1</v>
      </c>
      <c r="M197" s="282">
        <f t="shared" si="213"/>
        <v>0</v>
      </c>
      <c r="N197" s="412"/>
      <c r="O197" s="275">
        <f t="shared" si="208"/>
        <v>0</v>
      </c>
    </row>
    <row r="198" spans="1:15" ht="15.9" customHeight="1" thickTop="1" thickBot="1" x14ac:dyDescent="0.4">
      <c r="A198" s="275">
        <f>IF(O198=1,SUM($O$138:O198),0)</f>
        <v>0</v>
      </c>
      <c r="B198" s="283">
        <f>IF(O198=1,SUM($O$41:O198),0)</f>
        <v>0</v>
      </c>
      <c r="C198" s="274">
        <v>157</v>
      </c>
      <c r="D198" s="274"/>
      <c r="E198" s="274"/>
      <c r="F198" s="307">
        <v>40</v>
      </c>
      <c r="G198" s="309" t="s">
        <v>27</v>
      </c>
      <c r="H198" s="308"/>
      <c r="I198" s="309" t="s">
        <v>20</v>
      </c>
      <c r="J198" s="274">
        <f t="shared" si="214"/>
        <v>0</v>
      </c>
      <c r="K198" s="274"/>
      <c r="L198" s="274">
        <f>VLOOKUP(F198,'قائمة الأسعار'!$D$169:$F$179,3,0)</f>
        <v>1</v>
      </c>
      <c r="M198" s="282">
        <f t="shared" si="213"/>
        <v>0</v>
      </c>
      <c r="N198" s="412"/>
      <c r="O198" s="275">
        <f t="shared" si="208"/>
        <v>0</v>
      </c>
    </row>
    <row r="199" spans="1:15" ht="15.9" customHeight="1" thickTop="1" thickBot="1" x14ac:dyDescent="0.4">
      <c r="A199" s="275">
        <f>IF(O199=1,SUM($O$138:O199),0)</f>
        <v>0</v>
      </c>
      <c r="B199" s="283">
        <f>IF(O199=1,SUM($O$41:O199),0)</f>
        <v>0</v>
      </c>
      <c r="C199" s="274">
        <v>158</v>
      </c>
      <c r="D199" s="274" t="s">
        <v>407</v>
      </c>
      <c r="E199" s="274"/>
      <c r="F199" s="307">
        <v>50</v>
      </c>
      <c r="G199" s="309" t="s">
        <v>27</v>
      </c>
      <c r="H199" s="308"/>
      <c r="I199" s="309" t="s">
        <v>20</v>
      </c>
      <c r="J199" s="274">
        <f>SUMIFS($BE$14:$BE$38,$BD$14:$BD$38,F199,$BC$14:$BC$38,"feierge",$AC$14:$AC$38,"عادي")</f>
        <v>0</v>
      </c>
      <c r="K199" s="274"/>
      <c r="L199" s="274">
        <f>VLOOKUP(F199,'قائمة الأسعار'!$D$169:$F$179,3,0)</f>
        <v>1</v>
      </c>
      <c r="M199" s="282">
        <f t="shared" si="213"/>
        <v>0</v>
      </c>
      <c r="N199" s="412"/>
      <c r="O199" s="275">
        <f t="shared" si="208"/>
        <v>0</v>
      </c>
    </row>
    <row r="200" spans="1:15" ht="15.9" customHeight="1" thickTop="1" thickBot="1" x14ac:dyDescent="0.4">
      <c r="A200" s="275">
        <f>IF(O200=1,SUM($O$138:O200),0)</f>
        <v>0</v>
      </c>
      <c r="B200" s="283">
        <f>IF(O200=1,SUM($O$41:O200),0)</f>
        <v>0</v>
      </c>
      <c r="C200" s="274">
        <v>159</v>
      </c>
      <c r="D200" s="274"/>
      <c r="E200" s="274"/>
      <c r="F200" s="307">
        <v>60</v>
      </c>
      <c r="G200" s="309" t="s">
        <v>27</v>
      </c>
      <c r="H200" s="308"/>
      <c r="I200" s="309" t="s">
        <v>20</v>
      </c>
      <c r="J200" s="274">
        <f t="shared" si="214"/>
        <v>0</v>
      </c>
      <c r="K200" s="274"/>
      <c r="L200" s="274">
        <f>VLOOKUP(F200,'قائمة الأسعار'!$D$169:$F$179,3,0)</f>
        <v>1</v>
      </c>
      <c r="M200" s="282">
        <f t="shared" si="213"/>
        <v>0</v>
      </c>
      <c r="N200" s="412"/>
      <c r="O200" s="275">
        <f t="shared" si="208"/>
        <v>0</v>
      </c>
    </row>
    <row r="201" spans="1:15" ht="15.9" customHeight="1" thickTop="1" thickBot="1" x14ac:dyDescent="0.4">
      <c r="A201" s="275">
        <f>IF(O201=1,SUM($O$138:O201),0)</f>
        <v>0</v>
      </c>
      <c r="B201" s="283">
        <f>IF(O201=1,SUM($O$41:O201),0)</f>
        <v>0</v>
      </c>
      <c r="C201" s="274">
        <v>160</v>
      </c>
      <c r="D201" s="274"/>
      <c r="E201" s="274"/>
      <c r="F201" s="307">
        <v>80</v>
      </c>
      <c r="G201" s="309" t="s">
        <v>27</v>
      </c>
      <c r="H201" s="308"/>
      <c r="I201" s="309" t="s">
        <v>20</v>
      </c>
      <c r="J201" s="274">
        <f t="shared" si="214"/>
        <v>0</v>
      </c>
      <c r="K201" s="274"/>
      <c r="L201" s="274">
        <f>VLOOKUP(F201,'قائمة الأسعار'!$D$169:$F$179,3,0)</f>
        <v>1</v>
      </c>
      <c r="M201" s="282">
        <f>L201*J201</f>
        <v>0</v>
      </c>
      <c r="N201" s="412"/>
      <c r="O201" s="275">
        <f t="shared" si="208"/>
        <v>0</v>
      </c>
    </row>
    <row r="202" spans="1:15" ht="15.9" customHeight="1" thickTop="1" thickBot="1" x14ac:dyDescent="0.4">
      <c r="A202" s="275">
        <f>IF(O202=1,SUM($O$138:O202),0)</f>
        <v>0</v>
      </c>
      <c r="B202" s="283">
        <f>IF(O202=1,SUM($O$41:O202),0)</f>
        <v>0</v>
      </c>
      <c r="C202" s="274">
        <v>161</v>
      </c>
      <c r="D202" s="274"/>
      <c r="E202" s="274"/>
      <c r="F202" s="307">
        <v>100</v>
      </c>
      <c r="G202" s="309" t="s">
        <v>27</v>
      </c>
      <c r="H202" s="308"/>
      <c r="I202" s="309" t="s">
        <v>20</v>
      </c>
      <c r="J202" s="274">
        <f t="shared" si="214"/>
        <v>0</v>
      </c>
      <c r="K202" s="274"/>
      <c r="L202" s="274">
        <f>VLOOKUP(F202,'قائمة الأسعار'!$D$169:$F$179,3,0)</f>
        <v>1</v>
      </c>
      <c r="M202" s="282">
        <f t="shared" ref="M202:M211" si="215">L202*J202</f>
        <v>0</v>
      </c>
      <c r="N202" s="412"/>
      <c r="O202" s="275">
        <f t="shared" si="208"/>
        <v>0</v>
      </c>
    </row>
    <row r="203" spans="1:15" ht="15.9" customHeight="1" thickTop="1" thickBot="1" x14ac:dyDescent="0.4">
      <c r="A203" s="275">
        <f>IF(O203=1,SUM($O$138:O203),0)</f>
        <v>0</v>
      </c>
      <c r="B203" s="283">
        <f>IF(O203=1,SUM($O$41:O203),0)</f>
        <v>0</v>
      </c>
      <c r="C203" s="274">
        <v>162</v>
      </c>
      <c r="D203" s="274"/>
      <c r="E203" s="274"/>
      <c r="F203" s="307">
        <v>120</v>
      </c>
      <c r="G203" s="309" t="s">
        <v>27</v>
      </c>
      <c r="H203" s="308"/>
      <c r="I203" s="309" t="s">
        <v>20</v>
      </c>
      <c r="J203" s="274">
        <f t="shared" si="214"/>
        <v>0</v>
      </c>
      <c r="K203" s="274"/>
      <c r="L203" s="274">
        <f>VLOOKUP(F203,'قائمة الأسعار'!$D$169:$F$179,3,0)</f>
        <v>1</v>
      </c>
      <c r="M203" s="282">
        <f t="shared" si="215"/>
        <v>0</v>
      </c>
      <c r="N203" s="412"/>
      <c r="O203" s="275">
        <f t="shared" si="208"/>
        <v>0</v>
      </c>
    </row>
    <row r="204" spans="1:15" ht="15.9" customHeight="1" thickTop="1" thickBot="1" x14ac:dyDescent="0.4">
      <c r="A204" s="275">
        <f>IF(O204=1,SUM($O$138:O204),0)</f>
        <v>0</v>
      </c>
      <c r="B204" s="283">
        <f>IF(O204=1,SUM($O$41:O204),0)</f>
        <v>0</v>
      </c>
      <c r="C204" s="274">
        <v>163</v>
      </c>
      <c r="D204" s="274"/>
      <c r="E204" s="274"/>
      <c r="F204" s="307">
        <v>8</v>
      </c>
      <c r="G204" s="309" t="s">
        <v>27</v>
      </c>
      <c r="H204" s="308"/>
      <c r="I204" s="309" t="s">
        <v>20</v>
      </c>
      <c r="J204" s="274">
        <f>SUMIFS($BE$14:$BE$38,$BD$14:$BD$38,F204,$BC$14:$BC$38,"هيولايت",$AC$14:$AC$38,"عادي")</f>
        <v>0</v>
      </c>
      <c r="K204" s="274"/>
      <c r="L204" s="274">
        <f>VLOOKUP(F204,'قائمة الأسعار'!$D$181:$F$191,3,0)</f>
        <v>1</v>
      </c>
      <c r="M204" s="282">
        <f t="shared" si="215"/>
        <v>0</v>
      </c>
      <c r="N204" s="412"/>
      <c r="O204" s="275">
        <f t="shared" si="208"/>
        <v>0</v>
      </c>
    </row>
    <row r="205" spans="1:15" ht="15.9" customHeight="1" thickTop="1" thickBot="1" x14ac:dyDescent="0.4">
      <c r="A205" s="275">
        <f>IF(O205=1,SUM($O$138:O205),0)</f>
        <v>0</v>
      </c>
      <c r="B205" s="283">
        <f>IF(O205=1,SUM($O$41:O205),0)</f>
        <v>0</v>
      </c>
      <c r="C205" s="274">
        <v>164</v>
      </c>
      <c r="D205" s="274" t="s">
        <v>408</v>
      </c>
      <c r="E205" s="274"/>
      <c r="F205" s="307">
        <v>10</v>
      </c>
      <c r="G205" s="309" t="s">
        <v>27</v>
      </c>
      <c r="H205" s="308"/>
      <c r="I205" s="309" t="s">
        <v>20</v>
      </c>
      <c r="J205" s="274">
        <f>SUMIFS($BE$14:$BE$38,$BD$14:$BD$38,F205,$BC$14:$BC$38,"feierge short",$AC$14:$AC$38,"عادي")</f>
        <v>0</v>
      </c>
      <c r="K205" s="274"/>
      <c r="L205" s="274">
        <f>VLOOKUP(F205,'قائمة الأسعار'!$D$181:$F$191,3,0)</f>
        <v>1</v>
      </c>
      <c r="M205" s="282">
        <f t="shared" si="215"/>
        <v>0</v>
      </c>
      <c r="N205" s="412"/>
      <c r="O205" s="275">
        <f t="shared" si="208"/>
        <v>0</v>
      </c>
    </row>
    <row r="206" spans="1:15" ht="15.9" customHeight="1" thickTop="1" thickBot="1" x14ac:dyDescent="0.4">
      <c r="A206" s="275">
        <f>IF(O206=1,SUM($O$138:O206),0)</f>
        <v>0</v>
      </c>
      <c r="B206" s="283">
        <f>IF(O206=1,SUM($O$41:O206),0)</f>
        <v>0</v>
      </c>
      <c r="C206" s="274">
        <v>165</v>
      </c>
      <c r="D206" s="274"/>
      <c r="E206" s="274"/>
      <c r="F206" s="307">
        <v>15</v>
      </c>
      <c r="G206" s="309" t="s">
        <v>27</v>
      </c>
      <c r="H206" s="308"/>
      <c r="I206" s="309" t="s">
        <v>20</v>
      </c>
      <c r="J206" s="274">
        <f t="shared" ref="J206:J214" si="216">SUMIFS($BE$14:$BE$38,$BD$14:$BD$38,F206,$BC$14:$BC$38,"هيولايت",$AC$14:$AC$38,"عادي")</f>
        <v>0</v>
      </c>
      <c r="K206" s="274"/>
      <c r="L206" s="274">
        <f>VLOOKUP(F206,'قائمة الأسعار'!$D$181:$F$191,3,0)</f>
        <v>1</v>
      </c>
      <c r="M206" s="282">
        <f t="shared" si="215"/>
        <v>0</v>
      </c>
      <c r="N206" s="412"/>
      <c r="O206" s="275">
        <f t="shared" si="208"/>
        <v>0</v>
      </c>
    </row>
    <row r="207" spans="1:15" ht="15.9" customHeight="1" thickTop="1" thickBot="1" x14ac:dyDescent="0.4">
      <c r="A207" s="275">
        <f>IF(O207=1,SUM($O$138:O207),0)</f>
        <v>0</v>
      </c>
      <c r="B207" s="283">
        <f>IF(O207=1,SUM($O$41:O207),0)</f>
        <v>0</v>
      </c>
      <c r="C207" s="274">
        <v>166</v>
      </c>
      <c r="D207" s="274"/>
      <c r="E207" s="274"/>
      <c r="F207" s="307">
        <v>20</v>
      </c>
      <c r="G207" s="309" t="s">
        <v>27</v>
      </c>
      <c r="H207" s="308"/>
      <c r="I207" s="309" t="s">
        <v>20</v>
      </c>
      <c r="J207" s="274">
        <f t="shared" si="216"/>
        <v>0</v>
      </c>
      <c r="K207" s="274"/>
      <c r="L207" s="274">
        <f>VLOOKUP(F207,'قائمة الأسعار'!$D$181:$F$191,3,0)</f>
        <v>1</v>
      </c>
      <c r="M207" s="282">
        <f t="shared" si="215"/>
        <v>0</v>
      </c>
      <c r="N207" s="412"/>
      <c r="O207" s="275">
        <f t="shared" si="208"/>
        <v>0</v>
      </c>
    </row>
    <row r="208" spans="1:15" ht="15.9" customHeight="1" thickTop="1" thickBot="1" x14ac:dyDescent="0.4">
      <c r="A208" s="275">
        <f>IF(O208=1,SUM($O$138:O208),0)</f>
        <v>0</v>
      </c>
      <c r="B208" s="283">
        <f>IF(O208=1,SUM($O$41:O208),0)</f>
        <v>0</v>
      </c>
      <c r="C208" s="274">
        <v>167</v>
      </c>
      <c r="D208" s="274"/>
      <c r="E208" s="274"/>
      <c r="F208" s="307">
        <v>30</v>
      </c>
      <c r="G208" s="309" t="s">
        <v>27</v>
      </c>
      <c r="H208" s="308"/>
      <c r="I208" s="309" t="s">
        <v>20</v>
      </c>
      <c r="J208" s="274">
        <f t="shared" si="216"/>
        <v>0</v>
      </c>
      <c r="K208" s="274"/>
      <c r="L208" s="274">
        <f>VLOOKUP(F208,'قائمة الأسعار'!$D$181:$F$191,3,0)</f>
        <v>1</v>
      </c>
      <c r="M208" s="282">
        <f t="shared" si="215"/>
        <v>0</v>
      </c>
      <c r="N208" s="412"/>
      <c r="O208" s="275">
        <f t="shared" si="208"/>
        <v>0</v>
      </c>
    </row>
    <row r="209" spans="1:15" ht="15.9" customHeight="1" thickTop="1" thickBot="1" x14ac:dyDescent="0.4">
      <c r="A209" s="275">
        <f>IF(O209=1,SUM($O$138:O209),0)</f>
        <v>0</v>
      </c>
      <c r="B209" s="283">
        <f>IF(O209=1,SUM($O$41:O209),0)</f>
        <v>0</v>
      </c>
      <c r="C209" s="274">
        <v>168</v>
      </c>
      <c r="D209" s="274"/>
      <c r="E209" s="274"/>
      <c r="F209" s="307">
        <v>40</v>
      </c>
      <c r="G209" s="309" t="s">
        <v>27</v>
      </c>
      <c r="H209" s="308"/>
      <c r="I209" s="309" t="s">
        <v>20</v>
      </c>
      <c r="J209" s="274">
        <f t="shared" si="216"/>
        <v>0</v>
      </c>
      <c r="K209" s="274"/>
      <c r="L209" s="274">
        <f>VLOOKUP(F209,'قائمة الأسعار'!$D$181:$F$191,3,0)</f>
        <v>1</v>
      </c>
      <c r="M209" s="282">
        <f t="shared" si="215"/>
        <v>0</v>
      </c>
      <c r="N209" s="412"/>
      <c r="O209" s="275">
        <f t="shared" si="208"/>
        <v>0</v>
      </c>
    </row>
    <row r="210" spans="1:15" ht="15.9" customHeight="1" thickTop="1" thickBot="1" x14ac:dyDescent="0.4">
      <c r="A210" s="275">
        <f>IF(O210=1,SUM($O$138:O210),0)</f>
        <v>0</v>
      </c>
      <c r="B210" s="283">
        <f>IF(O210=1,SUM($O$41:O210),0)</f>
        <v>0</v>
      </c>
      <c r="C210" s="274">
        <v>169</v>
      </c>
      <c r="D210" s="274"/>
      <c r="E210" s="274"/>
      <c r="F210" s="307">
        <v>50</v>
      </c>
      <c r="G210" s="309" t="s">
        <v>27</v>
      </c>
      <c r="H210" s="308"/>
      <c r="I210" s="309" t="s">
        <v>20</v>
      </c>
      <c r="J210" s="274">
        <f t="shared" si="216"/>
        <v>0</v>
      </c>
      <c r="K210" s="274"/>
      <c r="L210" s="274">
        <f>VLOOKUP(F210,'قائمة الأسعار'!$D$181:$F$191,3,0)</f>
        <v>1</v>
      </c>
      <c r="M210" s="282">
        <f t="shared" si="215"/>
        <v>0</v>
      </c>
      <c r="N210" s="412"/>
      <c r="O210" s="275">
        <f t="shared" si="208"/>
        <v>0</v>
      </c>
    </row>
    <row r="211" spans="1:15" ht="15.9" customHeight="1" thickTop="1" thickBot="1" x14ac:dyDescent="0.4">
      <c r="A211" s="275">
        <f>IF(O211=1,SUM($O$138:O211),0)</f>
        <v>0</v>
      </c>
      <c r="B211" s="283">
        <f>IF(O211=1,SUM($O$41:O211),0)</f>
        <v>0</v>
      </c>
      <c r="C211" s="274">
        <v>170</v>
      </c>
      <c r="D211" s="274"/>
      <c r="E211" s="274"/>
      <c r="F211" s="307">
        <v>60</v>
      </c>
      <c r="G211" s="309" t="s">
        <v>27</v>
      </c>
      <c r="H211" s="308"/>
      <c r="I211" s="309" t="s">
        <v>20</v>
      </c>
      <c r="J211" s="274">
        <f t="shared" si="216"/>
        <v>0</v>
      </c>
      <c r="K211" s="274"/>
      <c r="L211" s="274">
        <f>VLOOKUP(F211,'قائمة الأسعار'!$D$181:$F$191,3,0)</f>
        <v>1</v>
      </c>
      <c r="M211" s="282">
        <f t="shared" si="215"/>
        <v>0</v>
      </c>
      <c r="N211" s="412"/>
      <c r="O211" s="275">
        <f t="shared" si="208"/>
        <v>0</v>
      </c>
    </row>
    <row r="212" spans="1:15" ht="15.9" customHeight="1" thickTop="1" thickBot="1" x14ac:dyDescent="0.4">
      <c r="A212" s="275">
        <f>IF(O212=1,SUM($O$138:O212),0)</f>
        <v>0</v>
      </c>
      <c r="B212" s="283">
        <f>IF(O212=1,SUM($O$41:O212),0)</f>
        <v>0</v>
      </c>
      <c r="C212" s="274">
        <v>171</v>
      </c>
      <c r="D212" s="274"/>
      <c r="E212" s="274"/>
      <c r="F212" s="307">
        <v>80</v>
      </c>
      <c r="G212" s="309" t="s">
        <v>27</v>
      </c>
      <c r="H212" s="308"/>
      <c r="I212" s="309" t="s">
        <v>20</v>
      </c>
      <c r="J212" s="274">
        <f t="shared" si="216"/>
        <v>0</v>
      </c>
      <c r="K212" s="274"/>
      <c r="L212" s="274">
        <f>VLOOKUP(F212,'قائمة الأسعار'!$D$181:$F$191,3,0)</f>
        <v>1</v>
      </c>
      <c r="M212" s="282">
        <f>L212*J212</f>
        <v>0</v>
      </c>
      <c r="N212" s="412"/>
      <c r="O212" s="275">
        <f t="shared" si="208"/>
        <v>0</v>
      </c>
    </row>
    <row r="213" spans="1:15" ht="15.9" customHeight="1" thickTop="1" thickBot="1" x14ac:dyDescent="0.4">
      <c r="A213" s="275">
        <f>IF(O213=1,SUM($O$138:O213),0)</f>
        <v>0</v>
      </c>
      <c r="B213" s="283">
        <f>IF(O213=1,SUM($O$41:O213),0)</f>
        <v>0</v>
      </c>
      <c r="C213" s="274">
        <v>172</v>
      </c>
      <c r="D213" s="274"/>
      <c r="E213" s="274"/>
      <c r="F213" s="307">
        <v>100</v>
      </c>
      <c r="G213" s="309" t="s">
        <v>27</v>
      </c>
      <c r="H213" s="308"/>
      <c r="I213" s="309" t="s">
        <v>20</v>
      </c>
      <c r="J213" s="274">
        <f t="shared" si="216"/>
        <v>0</v>
      </c>
      <c r="K213" s="274"/>
      <c r="L213" s="274">
        <f>VLOOKUP(F213,'قائمة الأسعار'!$D$181:$F$191,3,0)</f>
        <v>1</v>
      </c>
      <c r="M213" s="282">
        <f t="shared" ref="M213:M244" si="217">L213*J213</f>
        <v>0</v>
      </c>
      <c r="N213" s="412"/>
      <c r="O213" s="275">
        <f t="shared" si="208"/>
        <v>0</v>
      </c>
    </row>
    <row r="214" spans="1:15" ht="15.9" customHeight="1" thickTop="1" thickBot="1" x14ac:dyDescent="0.4">
      <c r="A214" s="275">
        <f>IF(O214=1,SUM($O$138:O214),0)</f>
        <v>0</v>
      </c>
      <c r="B214" s="283">
        <f>IF(O214=1,SUM($O$41:O214),0)</f>
        <v>0</v>
      </c>
      <c r="C214" s="274">
        <v>173</v>
      </c>
      <c r="D214" s="274"/>
      <c r="E214" s="274"/>
      <c r="F214" s="307">
        <v>120</v>
      </c>
      <c r="G214" s="309" t="s">
        <v>27</v>
      </c>
      <c r="H214" s="308"/>
      <c r="I214" s="309" t="s">
        <v>20</v>
      </c>
      <c r="J214" s="274">
        <f t="shared" si="216"/>
        <v>0</v>
      </c>
      <c r="K214" s="274"/>
      <c r="L214" s="274">
        <f>VLOOKUP(F214,'قائمة الأسعار'!$D$181:$F$191,3,0)</f>
        <v>1</v>
      </c>
      <c r="M214" s="282">
        <f t="shared" si="217"/>
        <v>0</v>
      </c>
      <c r="N214" s="412"/>
      <c r="O214" s="275">
        <f t="shared" si="208"/>
        <v>0</v>
      </c>
    </row>
    <row r="215" spans="1:15" ht="15.9" customHeight="1" thickTop="1" thickBot="1" x14ac:dyDescent="0.4">
      <c r="A215" s="275">
        <f>IF(O215=1,SUM($O$138:O215),0)</f>
        <v>0</v>
      </c>
      <c r="B215" s="257">
        <f>IF(O215=1,SUM($O$41:O215),0)</f>
        <v>0</v>
      </c>
      <c r="C215" s="273">
        <v>174</v>
      </c>
      <c r="D215" s="274" t="s">
        <v>487</v>
      </c>
      <c r="E215" s="262"/>
      <c r="F215" s="307">
        <v>6</v>
      </c>
      <c r="G215" s="309" t="s">
        <v>27</v>
      </c>
      <c r="H215" s="308"/>
      <c r="I215" s="309" t="s">
        <v>20</v>
      </c>
      <c r="J215" s="274">
        <f>SUMIFS($BE$14:$BE$38,$BD$14:$BD$38,F215,$BC$14:$BC$38,"somfy",$AC$14:$AC$38,"مدمج")</f>
        <v>0</v>
      </c>
      <c r="K215" s="255"/>
      <c r="L215" s="274">
        <f>VLOOKUP(F215,'قائمة الأسعار'!$D$194:$F$204,3,0)</f>
        <v>1</v>
      </c>
      <c r="M215" s="282">
        <f t="shared" si="217"/>
        <v>0</v>
      </c>
      <c r="N215" s="412"/>
      <c r="O215" s="275">
        <f t="shared" si="208"/>
        <v>0</v>
      </c>
    </row>
    <row r="216" spans="1:15" ht="15.9" customHeight="1" thickTop="1" thickBot="1" x14ac:dyDescent="0.4">
      <c r="A216" s="275">
        <f>IF(O216=1,SUM($O$138:O216),0)</f>
        <v>0</v>
      </c>
      <c r="B216" s="257">
        <f>IF(O216=1,SUM($O$41:O216),0)</f>
        <v>0</v>
      </c>
      <c r="C216" s="273">
        <v>175</v>
      </c>
      <c r="D216" s="274" t="s">
        <v>487</v>
      </c>
      <c r="E216" s="262"/>
      <c r="F216" s="307">
        <v>10</v>
      </c>
      <c r="G216" s="309" t="s">
        <v>27</v>
      </c>
      <c r="H216" s="308"/>
      <c r="I216" s="309" t="s">
        <v>20</v>
      </c>
      <c r="J216" s="274">
        <f t="shared" ref="J216:J224" si="218">SUMIFS($BE$14:$BE$38,$BD$14:$BD$38,F216,$BC$14:$BC$38,"somfy",$AC$14:$AC$38,"مدمج")</f>
        <v>0</v>
      </c>
      <c r="K216" s="255"/>
      <c r="L216" s="274">
        <f>VLOOKUP(F216,'قائمة الأسعار'!$D$194:$F$204,3,0)</f>
        <v>1</v>
      </c>
      <c r="M216" s="282">
        <f t="shared" si="217"/>
        <v>0</v>
      </c>
      <c r="N216" s="412"/>
      <c r="O216" s="275">
        <f t="shared" si="208"/>
        <v>0</v>
      </c>
    </row>
    <row r="217" spans="1:15" ht="15.9" customHeight="1" thickTop="1" thickBot="1" x14ac:dyDescent="0.4">
      <c r="A217" s="275">
        <f>IF(O217=1,SUM($O$138:O217),0)</f>
        <v>0</v>
      </c>
      <c r="B217" s="257">
        <f>IF(O217=1,SUM($O$41:O217),0)</f>
        <v>0</v>
      </c>
      <c r="C217" s="273">
        <v>176</v>
      </c>
      <c r="D217" s="274" t="s">
        <v>487</v>
      </c>
      <c r="E217" s="262"/>
      <c r="F217" s="307">
        <v>15</v>
      </c>
      <c r="G217" s="309" t="s">
        <v>27</v>
      </c>
      <c r="H217" s="308"/>
      <c r="I217" s="309" t="s">
        <v>20</v>
      </c>
      <c r="J217" s="274">
        <f t="shared" si="218"/>
        <v>0</v>
      </c>
      <c r="K217" s="255"/>
      <c r="L217" s="274">
        <f>VLOOKUP(F217,'قائمة الأسعار'!$D$194:$F$204,3,0)</f>
        <v>1</v>
      </c>
      <c r="M217" s="282">
        <f t="shared" si="217"/>
        <v>0</v>
      </c>
      <c r="N217" s="412"/>
      <c r="O217" s="275">
        <f t="shared" si="208"/>
        <v>0</v>
      </c>
    </row>
    <row r="218" spans="1:15" ht="15.9" customHeight="1" thickTop="1" thickBot="1" x14ac:dyDescent="0.4">
      <c r="A218" s="275">
        <f>IF(O218=1,SUM($O$138:O218),0)</f>
        <v>0</v>
      </c>
      <c r="B218" s="257">
        <f>IF(O218=1,SUM($O$41:O218),0)</f>
        <v>0</v>
      </c>
      <c r="C218" s="273">
        <v>177</v>
      </c>
      <c r="D218" s="274" t="s">
        <v>487</v>
      </c>
      <c r="E218" s="262"/>
      <c r="F218" s="307">
        <v>20</v>
      </c>
      <c r="G218" s="309" t="s">
        <v>27</v>
      </c>
      <c r="H218" s="308"/>
      <c r="I218" s="309" t="s">
        <v>20</v>
      </c>
      <c r="J218" s="274">
        <f t="shared" si="218"/>
        <v>0</v>
      </c>
      <c r="K218" s="255"/>
      <c r="L218" s="274">
        <f>VLOOKUP(F218,'قائمة الأسعار'!$D$194:$F$204,3,0)</f>
        <v>1</v>
      </c>
      <c r="M218" s="282">
        <f t="shared" si="217"/>
        <v>0</v>
      </c>
      <c r="N218" s="412"/>
      <c r="O218" s="275">
        <f t="shared" si="208"/>
        <v>0</v>
      </c>
    </row>
    <row r="219" spans="1:15" ht="15.9" customHeight="1" thickTop="1" thickBot="1" x14ac:dyDescent="0.4">
      <c r="A219" s="275">
        <f>IF(O219=1,SUM($O$138:O219),0)</f>
        <v>0</v>
      </c>
      <c r="B219" s="257">
        <f>IF(O219=1,SUM($O$41:O219),0)</f>
        <v>0</v>
      </c>
      <c r="C219" s="273">
        <v>178</v>
      </c>
      <c r="D219" s="274" t="s">
        <v>487</v>
      </c>
      <c r="E219" s="262"/>
      <c r="F219" s="307">
        <v>30</v>
      </c>
      <c r="G219" s="309" t="s">
        <v>27</v>
      </c>
      <c r="H219" s="308"/>
      <c r="I219" s="309" t="s">
        <v>20</v>
      </c>
      <c r="J219" s="274">
        <f t="shared" si="218"/>
        <v>0</v>
      </c>
      <c r="K219" s="255"/>
      <c r="L219" s="274">
        <f>VLOOKUP(F219,'قائمة الأسعار'!$D$194:$F$204,3,0)</f>
        <v>1</v>
      </c>
      <c r="M219" s="282">
        <f t="shared" si="217"/>
        <v>0</v>
      </c>
      <c r="N219" s="412"/>
      <c r="O219" s="275">
        <f t="shared" si="208"/>
        <v>0</v>
      </c>
    </row>
    <row r="220" spans="1:15" ht="15.9" customHeight="1" thickTop="1" thickBot="1" x14ac:dyDescent="0.4">
      <c r="A220" s="275">
        <f>IF(O220=1,SUM($O$138:O220),0)</f>
        <v>0</v>
      </c>
      <c r="B220" s="257">
        <f>IF(O220=1,SUM($O$41:O220),0)</f>
        <v>0</v>
      </c>
      <c r="C220" s="273">
        <v>179</v>
      </c>
      <c r="D220" s="274" t="s">
        <v>487</v>
      </c>
      <c r="E220" s="262"/>
      <c r="F220" s="307">
        <v>40</v>
      </c>
      <c r="G220" s="309" t="s">
        <v>27</v>
      </c>
      <c r="H220" s="308"/>
      <c r="I220" s="309" t="s">
        <v>20</v>
      </c>
      <c r="J220" s="274">
        <f t="shared" si="218"/>
        <v>0</v>
      </c>
      <c r="K220" s="255"/>
      <c r="L220" s="274">
        <f>VLOOKUP(F220,'قائمة الأسعار'!$D$194:$F$204,3,0)</f>
        <v>1</v>
      </c>
      <c r="M220" s="282">
        <f t="shared" si="217"/>
        <v>0</v>
      </c>
      <c r="N220" s="412"/>
      <c r="O220" s="275">
        <f t="shared" si="208"/>
        <v>0</v>
      </c>
    </row>
    <row r="221" spans="1:15" ht="15.9" customHeight="1" thickTop="1" thickBot="1" x14ac:dyDescent="0.4">
      <c r="A221" s="275">
        <f>IF(O221=1,SUM($O$138:O221),0)</f>
        <v>0</v>
      </c>
      <c r="B221" s="257">
        <f>IF(O221=1,SUM($O$41:O221),0)</f>
        <v>0</v>
      </c>
      <c r="C221" s="273">
        <v>180</v>
      </c>
      <c r="D221" s="274" t="s">
        <v>487</v>
      </c>
      <c r="E221" s="262"/>
      <c r="F221" s="307">
        <v>55</v>
      </c>
      <c r="G221" s="309" t="s">
        <v>27</v>
      </c>
      <c r="H221" s="308"/>
      <c r="I221" s="309" t="s">
        <v>20</v>
      </c>
      <c r="J221" s="274">
        <f t="shared" si="218"/>
        <v>0</v>
      </c>
      <c r="K221" s="255"/>
      <c r="L221" s="274">
        <f>VLOOKUP(F221,'قائمة الأسعار'!$D$194:$F$204,3,0)</f>
        <v>1</v>
      </c>
      <c r="M221" s="282">
        <f t="shared" si="217"/>
        <v>0</v>
      </c>
      <c r="N221" s="412"/>
      <c r="O221" s="275">
        <f t="shared" si="208"/>
        <v>0</v>
      </c>
    </row>
    <row r="222" spans="1:15" ht="15.9" customHeight="1" thickTop="1" thickBot="1" x14ac:dyDescent="0.4">
      <c r="A222" s="275">
        <f>IF(O222=1,SUM($O$138:O222),0)</f>
        <v>0</v>
      </c>
      <c r="B222" s="257">
        <f>IF(O222=1,SUM($O$41:O222),0)</f>
        <v>0</v>
      </c>
      <c r="C222" s="273">
        <v>181</v>
      </c>
      <c r="D222" s="274" t="s">
        <v>487</v>
      </c>
      <c r="E222" s="262"/>
      <c r="F222" s="307">
        <v>70</v>
      </c>
      <c r="G222" s="309" t="s">
        <v>27</v>
      </c>
      <c r="H222" s="308"/>
      <c r="I222" s="309" t="s">
        <v>20</v>
      </c>
      <c r="J222" s="274">
        <f t="shared" si="218"/>
        <v>0</v>
      </c>
      <c r="K222" s="255"/>
      <c r="L222" s="274">
        <f>VLOOKUP(F222,'قائمة الأسعار'!$D$194:$F$204,3,0)</f>
        <v>1</v>
      </c>
      <c r="M222" s="282">
        <f t="shared" si="217"/>
        <v>0</v>
      </c>
      <c r="N222" s="412"/>
      <c r="O222" s="275">
        <f t="shared" si="208"/>
        <v>0</v>
      </c>
    </row>
    <row r="223" spans="1:15" ht="15.9" customHeight="1" thickTop="1" thickBot="1" x14ac:dyDescent="0.4">
      <c r="A223" s="275">
        <f>IF(O223=1,SUM($O$138:O223),0)</f>
        <v>0</v>
      </c>
      <c r="B223" s="257">
        <f>IF(O223=1,SUM($O$41:O223),0)</f>
        <v>0</v>
      </c>
      <c r="C223" s="273">
        <v>182</v>
      </c>
      <c r="D223" s="274" t="s">
        <v>487</v>
      </c>
      <c r="E223" s="262"/>
      <c r="F223" s="307">
        <v>85</v>
      </c>
      <c r="G223" s="309" t="s">
        <v>27</v>
      </c>
      <c r="H223" s="308"/>
      <c r="I223" s="309" t="s">
        <v>20</v>
      </c>
      <c r="J223" s="274">
        <f t="shared" si="218"/>
        <v>0</v>
      </c>
      <c r="K223" s="255"/>
      <c r="L223" s="274">
        <f>VLOOKUP(F223,'قائمة الأسعار'!$D$194:$F$204,3,0)</f>
        <v>1</v>
      </c>
      <c r="M223" s="282">
        <f t="shared" si="217"/>
        <v>0</v>
      </c>
      <c r="N223" s="412"/>
      <c r="O223" s="275">
        <f t="shared" si="208"/>
        <v>0</v>
      </c>
    </row>
    <row r="224" spans="1:15" ht="15.9" customHeight="1" thickTop="1" thickBot="1" x14ac:dyDescent="0.4">
      <c r="A224" s="275">
        <f>IF(O224=1,SUM($O$138:O224),0)</f>
        <v>0</v>
      </c>
      <c r="B224" s="257">
        <f>IF(O224=1,SUM($O$41:O224),0)</f>
        <v>0</v>
      </c>
      <c r="C224" s="273">
        <v>183</v>
      </c>
      <c r="D224" s="274" t="s">
        <v>487</v>
      </c>
      <c r="E224" s="262"/>
      <c r="F224" s="307">
        <v>100</v>
      </c>
      <c r="G224" s="309" t="s">
        <v>27</v>
      </c>
      <c r="H224" s="308"/>
      <c r="I224" s="309" t="s">
        <v>20</v>
      </c>
      <c r="J224" s="274">
        <f t="shared" si="218"/>
        <v>0</v>
      </c>
      <c r="K224" s="255"/>
      <c r="L224" s="274">
        <f>VLOOKUP(F224,'قائمة الأسعار'!$D$194:$F$204,3,0)</f>
        <v>1</v>
      </c>
      <c r="M224" s="282">
        <f t="shared" si="217"/>
        <v>0</v>
      </c>
      <c r="N224" s="412"/>
      <c r="O224" s="275">
        <f t="shared" si="208"/>
        <v>0</v>
      </c>
    </row>
    <row r="225" spans="1:15" ht="15.9" customHeight="1" thickTop="1" thickBot="1" x14ac:dyDescent="0.4">
      <c r="A225" s="275">
        <f>IF(O225=1,SUM($O$138:O225),0)</f>
        <v>0</v>
      </c>
      <c r="B225" s="257">
        <f>IF(O225=1,SUM($O$41:O225),0)</f>
        <v>0</v>
      </c>
      <c r="C225" s="273">
        <v>184</v>
      </c>
      <c r="D225" s="274" t="s">
        <v>487</v>
      </c>
      <c r="E225" s="262"/>
      <c r="F225" s="307">
        <v>120</v>
      </c>
      <c r="G225" s="309" t="s">
        <v>27</v>
      </c>
      <c r="H225" s="308"/>
      <c r="I225" s="309" t="s">
        <v>20</v>
      </c>
      <c r="J225" s="274">
        <f>SUMIFS($BE$14:$BE$38,$BD$14:$BD$38,F225,$BC$14:$BC$38,"somfy",$AC$14:$AC$38,"مدمج")</f>
        <v>0</v>
      </c>
      <c r="K225" s="255"/>
      <c r="L225" s="274">
        <f>VLOOKUP(F225,'قائمة الأسعار'!$D$194:$F$204,3,0)</f>
        <v>1</v>
      </c>
      <c r="M225" s="282">
        <f t="shared" si="217"/>
        <v>0</v>
      </c>
      <c r="N225" s="412"/>
      <c r="O225" s="275">
        <f t="shared" ref="O225:O288" si="219">IF(M225&gt;0,1,0)</f>
        <v>0</v>
      </c>
    </row>
    <row r="226" spans="1:15" ht="15.9" customHeight="1" thickTop="1" thickBot="1" x14ac:dyDescent="0.4">
      <c r="A226" s="275">
        <f>IF(O226=1,SUM($O$138:O226),0)</f>
        <v>0</v>
      </c>
      <c r="B226" s="257">
        <f>IF(O226=1,SUM($O$41:O226),0)</f>
        <v>0</v>
      </c>
      <c r="C226" s="274">
        <v>185</v>
      </c>
      <c r="D226" s="274" t="s">
        <v>330</v>
      </c>
      <c r="E226" s="274"/>
      <c r="F226" s="307" t="s">
        <v>116</v>
      </c>
      <c r="G226" s="309" t="s">
        <v>27</v>
      </c>
      <c r="H226" s="308"/>
      <c r="I226" s="309" t="s">
        <v>20</v>
      </c>
      <c r="J226" s="274">
        <f>SUMIFS($BE$14:$BE$38,$BD$14:$BD$38,"error",$AC$14:$AC$38,"مدمج")</f>
        <v>0</v>
      </c>
      <c r="K226" s="274"/>
      <c r="L226" s="274">
        <v>1</v>
      </c>
      <c r="M226" s="282">
        <f t="shared" si="217"/>
        <v>0</v>
      </c>
      <c r="N226" s="412"/>
      <c r="O226" s="275">
        <f t="shared" si="219"/>
        <v>0</v>
      </c>
    </row>
    <row r="227" spans="1:15" ht="15.9" customHeight="1" thickTop="1" thickBot="1" x14ac:dyDescent="0.4">
      <c r="A227" s="275">
        <f>IF(O227=1,SUM($O$138:O227),0)</f>
        <v>0</v>
      </c>
      <c r="B227" s="257">
        <f>IF(O227=1,SUM($O$41:O227),0)</f>
        <v>0</v>
      </c>
      <c r="C227" s="273">
        <v>186</v>
      </c>
      <c r="D227" s="274" t="s">
        <v>488</v>
      </c>
      <c r="E227" s="255"/>
      <c r="F227" s="307">
        <v>6</v>
      </c>
      <c r="G227" s="309" t="s">
        <v>27</v>
      </c>
      <c r="H227" s="308"/>
      <c r="I227" s="309" t="s">
        <v>20</v>
      </c>
      <c r="J227" s="274">
        <f>SUMIFS($BE$14:$BE$38,$BD$14:$BD$38,F227,$BC$14:$BC$38,"asa",$AC$14:$AC$38,"مدمج")</f>
        <v>0</v>
      </c>
      <c r="K227" s="255"/>
      <c r="L227" s="274">
        <f>VLOOKUP(F227,'قائمة الأسعار'!$D$206:$F$215,3,0)</f>
        <v>1</v>
      </c>
      <c r="M227" s="282">
        <f t="shared" si="217"/>
        <v>0</v>
      </c>
      <c r="N227" s="412"/>
      <c r="O227" s="275">
        <f t="shared" si="219"/>
        <v>0</v>
      </c>
    </row>
    <row r="228" spans="1:15" ht="15.9" customHeight="1" thickTop="1" thickBot="1" x14ac:dyDescent="0.4">
      <c r="A228" s="275">
        <f>IF(O228=1,SUM($O$138:O228),0)</f>
        <v>0</v>
      </c>
      <c r="B228" s="257">
        <f>IF(O228=1,SUM($O$41:O228),0)</f>
        <v>0</v>
      </c>
      <c r="C228" s="273">
        <v>187</v>
      </c>
      <c r="D228" s="274" t="s">
        <v>488</v>
      </c>
      <c r="E228" s="255"/>
      <c r="F228" s="307">
        <v>10</v>
      </c>
      <c r="G228" s="309" t="s">
        <v>27</v>
      </c>
      <c r="H228" s="308"/>
      <c r="I228" s="309" t="s">
        <v>20</v>
      </c>
      <c r="J228" s="274">
        <f t="shared" ref="J228:J236" si="220">SUMIFS($BE$14:$BE$38,$BD$14:$BD$38,F228,$BC$14:$BC$38,"asa",$AC$14:$AC$38,"مدمج")</f>
        <v>0</v>
      </c>
      <c r="K228" s="255"/>
      <c r="L228" s="274">
        <f>VLOOKUP(F228,'قائمة الأسعار'!$D$206:$F$215,3,0)</f>
        <v>1</v>
      </c>
      <c r="M228" s="282">
        <f t="shared" si="217"/>
        <v>0</v>
      </c>
      <c r="N228" s="412"/>
      <c r="O228" s="275">
        <f t="shared" si="219"/>
        <v>0</v>
      </c>
    </row>
    <row r="229" spans="1:15" ht="15.9" customHeight="1" thickTop="1" thickBot="1" x14ac:dyDescent="0.4">
      <c r="A229" s="275">
        <f>IF(O229=1,SUM($O$138:O229),0)</f>
        <v>0</v>
      </c>
      <c r="B229" s="257">
        <f>IF(O229=1,SUM($O$41:O229),0)</f>
        <v>0</v>
      </c>
      <c r="C229" s="273">
        <v>188</v>
      </c>
      <c r="D229" s="274" t="s">
        <v>488</v>
      </c>
      <c r="E229" s="255"/>
      <c r="F229" s="307">
        <v>15</v>
      </c>
      <c r="G229" s="309" t="s">
        <v>27</v>
      </c>
      <c r="H229" s="308"/>
      <c r="I229" s="309" t="s">
        <v>20</v>
      </c>
      <c r="J229" s="274">
        <f t="shared" si="220"/>
        <v>0</v>
      </c>
      <c r="K229" s="255"/>
      <c r="L229" s="274">
        <f>VLOOKUP(F229,'قائمة الأسعار'!$D$206:$F$215,3,0)</f>
        <v>1</v>
      </c>
      <c r="M229" s="282">
        <f t="shared" si="217"/>
        <v>0</v>
      </c>
      <c r="N229" s="412"/>
      <c r="O229" s="275">
        <f t="shared" si="219"/>
        <v>0</v>
      </c>
    </row>
    <row r="230" spans="1:15" ht="15.9" customHeight="1" thickTop="1" thickBot="1" x14ac:dyDescent="0.4">
      <c r="A230" s="275">
        <f>IF(O230=1,SUM($O$138:O230),0)</f>
        <v>0</v>
      </c>
      <c r="B230" s="257">
        <f>IF(O230=1,SUM($O$41:O230),0)</f>
        <v>0</v>
      </c>
      <c r="C230" s="273">
        <v>189</v>
      </c>
      <c r="D230" s="274" t="s">
        <v>488</v>
      </c>
      <c r="E230" s="255"/>
      <c r="F230" s="307">
        <v>20</v>
      </c>
      <c r="G230" s="309" t="s">
        <v>27</v>
      </c>
      <c r="H230" s="308"/>
      <c r="I230" s="309" t="s">
        <v>20</v>
      </c>
      <c r="J230" s="274">
        <f t="shared" si="220"/>
        <v>0</v>
      </c>
      <c r="K230" s="255"/>
      <c r="L230" s="274">
        <f>VLOOKUP(F230,'قائمة الأسعار'!$D$206:$F$215,3,0)</f>
        <v>1</v>
      </c>
      <c r="M230" s="282">
        <f t="shared" si="217"/>
        <v>0</v>
      </c>
      <c r="N230" s="412"/>
      <c r="O230" s="275">
        <f t="shared" si="219"/>
        <v>0</v>
      </c>
    </row>
    <row r="231" spans="1:15" ht="15.9" customHeight="1" thickTop="1" thickBot="1" x14ac:dyDescent="0.4">
      <c r="A231" s="275">
        <f>IF(O231=1,SUM($O$138:O231),0)</f>
        <v>0</v>
      </c>
      <c r="B231" s="257">
        <f>IF(O231=1,SUM($O$41:O231),0)</f>
        <v>0</v>
      </c>
      <c r="C231" s="273">
        <v>190</v>
      </c>
      <c r="D231" s="274" t="s">
        <v>488</v>
      </c>
      <c r="E231" s="255"/>
      <c r="F231" s="307">
        <v>30</v>
      </c>
      <c r="G231" s="309" t="s">
        <v>27</v>
      </c>
      <c r="H231" s="308"/>
      <c r="I231" s="309" t="s">
        <v>20</v>
      </c>
      <c r="J231" s="274">
        <f t="shared" si="220"/>
        <v>0</v>
      </c>
      <c r="K231" s="255"/>
      <c r="L231" s="274">
        <f>VLOOKUP(F231,'قائمة الأسعار'!$D$206:$F$215,3,0)</f>
        <v>1</v>
      </c>
      <c r="M231" s="282">
        <f t="shared" si="217"/>
        <v>0</v>
      </c>
      <c r="N231" s="412"/>
      <c r="O231" s="275">
        <f t="shared" si="219"/>
        <v>0</v>
      </c>
    </row>
    <row r="232" spans="1:15" ht="15.9" customHeight="1" thickTop="1" thickBot="1" x14ac:dyDescent="0.4">
      <c r="A232" s="275">
        <f>IF(O232=1,SUM($O$138:O232),0)</f>
        <v>0</v>
      </c>
      <c r="B232" s="257">
        <f>IF(O232=1,SUM($O$41:O232),0)</f>
        <v>0</v>
      </c>
      <c r="C232" s="273">
        <v>191</v>
      </c>
      <c r="D232" s="274" t="s">
        <v>488</v>
      </c>
      <c r="E232" s="255"/>
      <c r="F232" s="307">
        <v>40</v>
      </c>
      <c r="G232" s="309" t="s">
        <v>27</v>
      </c>
      <c r="H232" s="308"/>
      <c r="I232" s="309" t="s">
        <v>20</v>
      </c>
      <c r="J232" s="274">
        <f t="shared" si="220"/>
        <v>0</v>
      </c>
      <c r="K232" s="255"/>
      <c r="L232" s="274">
        <f>VLOOKUP(F232,'قائمة الأسعار'!$D$206:$F$215,3,0)</f>
        <v>1</v>
      </c>
      <c r="M232" s="282">
        <f t="shared" si="217"/>
        <v>0</v>
      </c>
      <c r="N232" s="412"/>
      <c r="O232" s="275">
        <f t="shared" si="219"/>
        <v>0</v>
      </c>
    </row>
    <row r="233" spans="1:15" ht="15.9" customHeight="1" thickTop="1" thickBot="1" x14ac:dyDescent="0.4">
      <c r="A233" s="275">
        <f>IF(O233=1,SUM($O$138:O233),0)</f>
        <v>0</v>
      </c>
      <c r="B233" s="257">
        <f>IF(O233=1,SUM($O$41:O233),0)</f>
        <v>0</v>
      </c>
      <c r="C233" s="273">
        <v>192</v>
      </c>
      <c r="D233" s="274" t="s">
        <v>488</v>
      </c>
      <c r="E233" s="255"/>
      <c r="F233" s="307">
        <v>50</v>
      </c>
      <c r="G233" s="309" t="s">
        <v>27</v>
      </c>
      <c r="H233" s="308"/>
      <c r="I233" s="309" t="s">
        <v>20</v>
      </c>
      <c r="J233" s="274">
        <f t="shared" si="220"/>
        <v>0</v>
      </c>
      <c r="K233" s="255"/>
      <c r="L233" s="274">
        <f>VLOOKUP(F233,'قائمة الأسعار'!$D$206:$F$215,3,0)</f>
        <v>1</v>
      </c>
      <c r="M233" s="282">
        <f t="shared" si="217"/>
        <v>0</v>
      </c>
      <c r="N233" s="412"/>
      <c r="O233" s="275">
        <f t="shared" si="219"/>
        <v>0</v>
      </c>
    </row>
    <row r="234" spans="1:15" ht="15.9" customHeight="1" thickTop="1" thickBot="1" x14ac:dyDescent="0.4">
      <c r="A234" s="275">
        <f>IF(O234=1,SUM($O$138:O234),0)</f>
        <v>0</v>
      </c>
      <c r="B234" s="257">
        <f>IF(O234=1,SUM($O$41:O234),0)</f>
        <v>0</v>
      </c>
      <c r="C234" s="273">
        <v>193</v>
      </c>
      <c r="D234" s="274" t="s">
        <v>488</v>
      </c>
      <c r="E234" s="255"/>
      <c r="F234" s="307">
        <v>80</v>
      </c>
      <c r="G234" s="309" t="s">
        <v>27</v>
      </c>
      <c r="H234" s="308"/>
      <c r="I234" s="309" t="s">
        <v>20</v>
      </c>
      <c r="J234" s="274">
        <f t="shared" si="220"/>
        <v>0</v>
      </c>
      <c r="K234" s="255"/>
      <c r="L234" s="274">
        <f>VLOOKUP(F234,'قائمة الأسعار'!$D$206:$F$215,3,0)</f>
        <v>1</v>
      </c>
      <c r="M234" s="282">
        <f t="shared" si="217"/>
        <v>0</v>
      </c>
      <c r="N234" s="412"/>
      <c r="O234" s="275">
        <f t="shared" si="219"/>
        <v>0</v>
      </c>
    </row>
    <row r="235" spans="1:15" ht="15.9" customHeight="1" thickTop="1" thickBot="1" x14ac:dyDescent="0.4">
      <c r="A235" s="275">
        <f>IF(O235=1,SUM($O$138:O235),0)</f>
        <v>0</v>
      </c>
      <c r="B235" s="257">
        <f>IF(O235=1,SUM($O$41:O235),0)</f>
        <v>0</v>
      </c>
      <c r="C235" s="273">
        <v>194</v>
      </c>
      <c r="D235" s="274" t="s">
        <v>488</v>
      </c>
      <c r="E235" s="255"/>
      <c r="F235" s="307">
        <v>100</v>
      </c>
      <c r="G235" s="309" t="s">
        <v>27</v>
      </c>
      <c r="H235" s="308"/>
      <c r="I235" s="309" t="s">
        <v>20</v>
      </c>
      <c r="J235" s="274">
        <f t="shared" si="220"/>
        <v>0</v>
      </c>
      <c r="K235" s="255"/>
      <c r="L235" s="274">
        <f>VLOOKUP(F235,'قائمة الأسعار'!$D$206:$F$215,3,0)</f>
        <v>1</v>
      </c>
      <c r="M235" s="282">
        <f t="shared" si="217"/>
        <v>0</v>
      </c>
      <c r="N235" s="412"/>
      <c r="O235" s="275">
        <f t="shared" si="219"/>
        <v>0</v>
      </c>
    </row>
    <row r="236" spans="1:15" ht="15.9" customHeight="1" thickTop="1" thickBot="1" x14ac:dyDescent="0.4">
      <c r="A236" s="275">
        <f>IF(O236=1,SUM($O$138:O236),0)</f>
        <v>0</v>
      </c>
      <c r="B236" s="257">
        <f>IF(O236=1,SUM($O$41:O236),0)</f>
        <v>0</v>
      </c>
      <c r="C236" s="273">
        <v>195</v>
      </c>
      <c r="D236" s="274" t="s">
        <v>488</v>
      </c>
      <c r="E236" s="255"/>
      <c r="F236" s="307">
        <v>120</v>
      </c>
      <c r="G236" s="309" t="s">
        <v>27</v>
      </c>
      <c r="H236" s="308"/>
      <c r="I236" s="309" t="s">
        <v>20</v>
      </c>
      <c r="J236" s="274">
        <f t="shared" si="220"/>
        <v>0</v>
      </c>
      <c r="K236" s="255"/>
      <c r="L236" s="274">
        <f>VLOOKUP(F236,'قائمة الأسعار'!$D$206:$F$215,3,0)</f>
        <v>1</v>
      </c>
      <c r="M236" s="282">
        <f t="shared" si="217"/>
        <v>0</v>
      </c>
      <c r="N236" s="412"/>
      <c r="O236" s="275">
        <f t="shared" si="219"/>
        <v>0</v>
      </c>
    </row>
    <row r="237" spans="1:15" ht="15.9" customHeight="1" thickTop="1" thickBot="1" x14ac:dyDescent="0.4">
      <c r="A237" s="275">
        <f>IF(O237=1,SUM($O$138:O237),0)</f>
        <v>0</v>
      </c>
      <c r="B237" s="257">
        <f>IF(O237=1,SUM($O$41:O237),0)</f>
        <v>0</v>
      </c>
      <c r="C237" s="273">
        <v>196</v>
      </c>
      <c r="D237" s="274" t="s">
        <v>489</v>
      </c>
      <c r="E237" s="262"/>
      <c r="F237" s="307">
        <v>6</v>
      </c>
      <c r="G237" s="309" t="s">
        <v>27</v>
      </c>
      <c r="H237" s="308"/>
      <c r="I237" s="269" t="s">
        <v>20</v>
      </c>
      <c r="J237" s="274">
        <f>SUMIFS($BE$14:$BE$38,$BD$14:$BD$38,F237,$BC$14:$BC$38,"Gaposa",$AC$14:$AC$38,"مدمج")</f>
        <v>0</v>
      </c>
      <c r="K237" s="270"/>
      <c r="L237" s="274">
        <f>VLOOKUP(F237,'قائمة الأسعار'!$D$217:$F$227,3,0)</f>
        <v>1</v>
      </c>
      <c r="M237" s="282">
        <f t="shared" si="217"/>
        <v>0</v>
      </c>
      <c r="N237" s="412"/>
      <c r="O237" s="275">
        <f t="shared" si="219"/>
        <v>0</v>
      </c>
    </row>
    <row r="238" spans="1:15" ht="15.9" customHeight="1" thickTop="1" thickBot="1" x14ac:dyDescent="0.4">
      <c r="A238" s="275">
        <f>IF(O238=1,SUM($O$138:O238),0)</f>
        <v>0</v>
      </c>
      <c r="B238" s="257">
        <f>IF(O238=1,SUM($O$41:O238),0)</f>
        <v>0</v>
      </c>
      <c r="C238" s="273">
        <v>197</v>
      </c>
      <c r="D238" s="274" t="s">
        <v>489</v>
      </c>
      <c r="E238" s="262"/>
      <c r="F238" s="307">
        <v>10</v>
      </c>
      <c r="G238" s="309" t="s">
        <v>27</v>
      </c>
      <c r="H238" s="308"/>
      <c r="I238" s="269" t="s">
        <v>20</v>
      </c>
      <c r="J238" s="274">
        <f t="shared" ref="J238:J247" si="221">SUMIFS($BE$14:$BE$38,$BD$14:$BD$38,F238,$BC$14:$BC$38,"Gaposa",$AC$14:$AC$38,"مدمج")</f>
        <v>0</v>
      </c>
      <c r="K238" s="270"/>
      <c r="L238" s="274">
        <f>VLOOKUP(F238,'قائمة الأسعار'!$D$217:$F$227,3,0)</f>
        <v>1</v>
      </c>
      <c r="M238" s="282">
        <f t="shared" si="217"/>
        <v>0</v>
      </c>
      <c r="N238" s="412"/>
      <c r="O238" s="275">
        <f t="shared" si="219"/>
        <v>0</v>
      </c>
    </row>
    <row r="239" spans="1:15" ht="15.9" customHeight="1" thickTop="1" thickBot="1" x14ac:dyDescent="0.4">
      <c r="A239" s="275">
        <f>IF(O239=1,SUM($O$138:O239),0)</f>
        <v>0</v>
      </c>
      <c r="B239" s="257">
        <f>IF(O239=1,SUM($O$41:O239),0)</f>
        <v>0</v>
      </c>
      <c r="C239" s="273">
        <v>198</v>
      </c>
      <c r="D239" s="274" t="s">
        <v>489</v>
      </c>
      <c r="E239" s="262"/>
      <c r="F239" s="307">
        <v>15</v>
      </c>
      <c r="G239" s="309" t="s">
        <v>27</v>
      </c>
      <c r="H239" s="308"/>
      <c r="I239" s="269" t="s">
        <v>20</v>
      </c>
      <c r="J239" s="274">
        <f t="shared" si="221"/>
        <v>0</v>
      </c>
      <c r="K239" s="270"/>
      <c r="L239" s="274">
        <f>VLOOKUP(F239,'قائمة الأسعار'!$D$217:$F$227,3,0)</f>
        <v>1</v>
      </c>
      <c r="M239" s="282">
        <f t="shared" si="217"/>
        <v>0</v>
      </c>
      <c r="N239" s="412"/>
      <c r="O239" s="275">
        <f t="shared" si="219"/>
        <v>0</v>
      </c>
    </row>
    <row r="240" spans="1:15" ht="15.9" customHeight="1" thickTop="1" thickBot="1" x14ac:dyDescent="0.4">
      <c r="A240" s="275">
        <f>IF(O240=1,SUM($O$138:O240),0)</f>
        <v>0</v>
      </c>
      <c r="B240" s="257">
        <f>IF(O240=1,SUM($O$41:O240),0)</f>
        <v>0</v>
      </c>
      <c r="C240" s="273">
        <v>199</v>
      </c>
      <c r="D240" s="274" t="s">
        <v>489</v>
      </c>
      <c r="E240" s="262"/>
      <c r="F240" s="307">
        <v>20</v>
      </c>
      <c r="G240" s="309" t="s">
        <v>27</v>
      </c>
      <c r="H240" s="308"/>
      <c r="I240" s="269" t="s">
        <v>20</v>
      </c>
      <c r="J240" s="274">
        <f t="shared" si="221"/>
        <v>0</v>
      </c>
      <c r="K240" s="270"/>
      <c r="L240" s="274">
        <f>VLOOKUP(F240,'قائمة الأسعار'!$D$217:$F$227,3,0)</f>
        <v>1</v>
      </c>
      <c r="M240" s="282">
        <f t="shared" si="217"/>
        <v>0</v>
      </c>
      <c r="N240" s="412"/>
      <c r="O240" s="275">
        <f t="shared" si="219"/>
        <v>0</v>
      </c>
    </row>
    <row r="241" spans="1:15" ht="15.9" customHeight="1" thickTop="1" thickBot="1" x14ac:dyDescent="0.4">
      <c r="A241" s="275">
        <f>IF(O241=1,SUM($O$138:O241),0)</f>
        <v>0</v>
      </c>
      <c r="B241" s="257">
        <f>IF(O241=1,SUM($O$41:O241),0)</f>
        <v>0</v>
      </c>
      <c r="C241" s="273">
        <v>200</v>
      </c>
      <c r="D241" s="274" t="s">
        <v>489</v>
      </c>
      <c r="E241" s="262"/>
      <c r="F241" s="307">
        <v>30</v>
      </c>
      <c r="G241" s="309" t="s">
        <v>27</v>
      </c>
      <c r="H241" s="308"/>
      <c r="I241" s="269" t="s">
        <v>20</v>
      </c>
      <c r="J241" s="274">
        <f t="shared" si="221"/>
        <v>0</v>
      </c>
      <c r="K241" s="270"/>
      <c r="L241" s="274">
        <f>VLOOKUP(F241,'قائمة الأسعار'!$D$217:$F$227,3,0)</f>
        <v>1</v>
      </c>
      <c r="M241" s="282">
        <f t="shared" si="217"/>
        <v>0</v>
      </c>
      <c r="N241" s="412"/>
      <c r="O241" s="275">
        <f t="shared" si="219"/>
        <v>0</v>
      </c>
    </row>
    <row r="242" spans="1:15" ht="15.9" customHeight="1" thickTop="1" thickBot="1" x14ac:dyDescent="0.4">
      <c r="A242" s="275">
        <f>IF(O242=1,SUM($O$138:O242),0)</f>
        <v>0</v>
      </c>
      <c r="B242" s="257">
        <f>IF(O242=1,SUM($O$41:O242),0)</f>
        <v>0</v>
      </c>
      <c r="C242" s="273">
        <v>201</v>
      </c>
      <c r="D242" s="274" t="s">
        <v>489</v>
      </c>
      <c r="E242" s="262"/>
      <c r="F242" s="307">
        <v>40</v>
      </c>
      <c r="G242" s="309" t="s">
        <v>27</v>
      </c>
      <c r="H242" s="308"/>
      <c r="I242" s="269" t="s">
        <v>20</v>
      </c>
      <c r="J242" s="274">
        <f t="shared" si="221"/>
        <v>0</v>
      </c>
      <c r="K242" s="270"/>
      <c r="L242" s="274">
        <f>VLOOKUP(F242,'قائمة الأسعار'!$D$217:$F$227,3,0)</f>
        <v>1</v>
      </c>
      <c r="M242" s="282">
        <f t="shared" si="217"/>
        <v>0</v>
      </c>
      <c r="N242" s="412"/>
      <c r="O242" s="275">
        <f t="shared" si="219"/>
        <v>0</v>
      </c>
    </row>
    <row r="243" spans="1:15" ht="15.9" customHeight="1" thickTop="1" thickBot="1" x14ac:dyDescent="0.4">
      <c r="A243" s="275">
        <f>IF(O243=1,SUM($O$138:O243),0)</f>
        <v>0</v>
      </c>
      <c r="B243" s="257">
        <f>IF(O243=1,SUM($O$41:O243),0)</f>
        <v>0</v>
      </c>
      <c r="C243" s="273">
        <v>202</v>
      </c>
      <c r="D243" s="274" t="s">
        <v>489</v>
      </c>
      <c r="E243" s="262"/>
      <c r="F243" s="307">
        <v>50</v>
      </c>
      <c r="G243" s="309" t="s">
        <v>27</v>
      </c>
      <c r="H243" s="308"/>
      <c r="I243" s="269" t="s">
        <v>20</v>
      </c>
      <c r="J243" s="274">
        <f t="shared" si="221"/>
        <v>0</v>
      </c>
      <c r="K243" s="270"/>
      <c r="L243" s="274">
        <f>VLOOKUP(F243,'قائمة الأسعار'!$D$217:$F$227,3,0)</f>
        <v>1</v>
      </c>
      <c r="M243" s="282">
        <f t="shared" si="217"/>
        <v>0</v>
      </c>
      <c r="N243" s="412"/>
      <c r="O243" s="275">
        <f t="shared" si="219"/>
        <v>0</v>
      </c>
    </row>
    <row r="244" spans="1:15" ht="15.9" customHeight="1" thickTop="1" thickBot="1" x14ac:dyDescent="0.4">
      <c r="A244" s="275">
        <f>IF(O244=1,SUM($O$138:O244),0)</f>
        <v>0</v>
      </c>
      <c r="B244" s="257">
        <f>IF(O244=1,SUM($O$41:O244),0)</f>
        <v>0</v>
      </c>
      <c r="C244" s="273">
        <v>203</v>
      </c>
      <c r="D244" s="274" t="s">
        <v>489</v>
      </c>
      <c r="E244" s="262"/>
      <c r="F244" s="307">
        <v>60</v>
      </c>
      <c r="G244" s="309" t="s">
        <v>27</v>
      </c>
      <c r="H244" s="308"/>
      <c r="I244" s="269" t="s">
        <v>20</v>
      </c>
      <c r="J244" s="274">
        <f t="shared" si="221"/>
        <v>0</v>
      </c>
      <c r="K244" s="270"/>
      <c r="L244" s="274">
        <f>VLOOKUP(F244,'قائمة الأسعار'!$D$217:$F$227,3,0)</f>
        <v>1</v>
      </c>
      <c r="M244" s="282">
        <f t="shared" si="217"/>
        <v>0</v>
      </c>
      <c r="N244" s="412"/>
      <c r="O244" s="275">
        <f t="shared" si="219"/>
        <v>0</v>
      </c>
    </row>
    <row r="245" spans="1:15" ht="15.9" customHeight="1" thickTop="1" thickBot="1" x14ac:dyDescent="0.4">
      <c r="A245" s="275">
        <f>IF(O245=1,SUM($O$138:O245),0)</f>
        <v>0</v>
      </c>
      <c r="B245" s="257">
        <f>IF(O245=1,SUM($O$41:O245),0)</f>
        <v>0</v>
      </c>
      <c r="C245" s="273">
        <v>204</v>
      </c>
      <c r="D245" s="274" t="s">
        <v>489</v>
      </c>
      <c r="E245" s="262"/>
      <c r="F245" s="307">
        <v>80</v>
      </c>
      <c r="G245" s="309" t="s">
        <v>27</v>
      </c>
      <c r="H245" s="308"/>
      <c r="I245" s="269" t="s">
        <v>20</v>
      </c>
      <c r="J245" s="274">
        <f t="shared" si="221"/>
        <v>0</v>
      </c>
      <c r="K245" s="270"/>
      <c r="L245" s="274">
        <f>VLOOKUP(F245,'قائمة الأسعار'!$D$217:$F$227,3,0)</f>
        <v>1</v>
      </c>
      <c r="M245" s="282">
        <f>L245*J245</f>
        <v>0</v>
      </c>
      <c r="N245" s="412"/>
      <c r="O245" s="275">
        <f t="shared" si="219"/>
        <v>0</v>
      </c>
    </row>
    <row r="246" spans="1:15" ht="15.9" customHeight="1" thickTop="1" thickBot="1" x14ac:dyDescent="0.4">
      <c r="A246" s="275">
        <f>IF(O246=1,SUM($O$138:O246),0)</f>
        <v>0</v>
      </c>
      <c r="B246" s="257">
        <f>IF(O246=1,SUM($O$41:O246),0)</f>
        <v>0</v>
      </c>
      <c r="C246" s="273">
        <v>205</v>
      </c>
      <c r="D246" s="274" t="s">
        <v>489</v>
      </c>
      <c r="E246" s="262"/>
      <c r="F246" s="307">
        <v>100</v>
      </c>
      <c r="G246" s="309" t="s">
        <v>27</v>
      </c>
      <c r="H246" s="308"/>
      <c r="I246" s="269" t="s">
        <v>20</v>
      </c>
      <c r="J246" s="274">
        <f t="shared" si="221"/>
        <v>0</v>
      </c>
      <c r="K246" s="270"/>
      <c r="L246" s="274">
        <f>VLOOKUP(F246,'قائمة الأسعار'!$D$217:$F$227,3,0)</f>
        <v>1</v>
      </c>
      <c r="M246" s="282">
        <f t="shared" ref="M246:M255" si="222">L246*J246</f>
        <v>0</v>
      </c>
      <c r="N246" s="412"/>
      <c r="O246" s="275">
        <f t="shared" si="219"/>
        <v>0</v>
      </c>
    </row>
    <row r="247" spans="1:15" ht="15.9" customHeight="1" thickTop="1" thickBot="1" x14ac:dyDescent="0.4">
      <c r="A247" s="275">
        <f>IF(O247=1,SUM($O$138:O247),0)</f>
        <v>0</v>
      </c>
      <c r="B247" s="257">
        <f>IF(O247=1,SUM($O$41:O247),0)</f>
        <v>0</v>
      </c>
      <c r="C247" s="273">
        <v>206</v>
      </c>
      <c r="D247" s="274" t="s">
        <v>489</v>
      </c>
      <c r="E247" s="262"/>
      <c r="F247" s="307">
        <v>120</v>
      </c>
      <c r="G247" s="309" t="s">
        <v>27</v>
      </c>
      <c r="H247" s="308"/>
      <c r="I247" s="269" t="s">
        <v>20</v>
      </c>
      <c r="J247" s="274">
        <f t="shared" si="221"/>
        <v>0</v>
      </c>
      <c r="K247" s="270"/>
      <c r="L247" s="274">
        <f>VLOOKUP(F247,'قائمة الأسعار'!$D$217:$F$227,3,0)</f>
        <v>1</v>
      </c>
      <c r="M247" s="282">
        <f t="shared" si="222"/>
        <v>0</v>
      </c>
      <c r="N247" s="412"/>
      <c r="O247" s="275">
        <f t="shared" si="219"/>
        <v>0</v>
      </c>
    </row>
    <row r="248" spans="1:15" ht="15.9" customHeight="1" thickTop="1" thickBot="1" x14ac:dyDescent="0.4">
      <c r="A248" s="275">
        <f>IF(O248=1,SUM($O$138:O248),0)</f>
        <v>0</v>
      </c>
      <c r="B248" s="257">
        <f>IF(O248=1,SUM($O$41:O248),0)</f>
        <v>0</v>
      </c>
      <c r="C248" s="273">
        <v>207</v>
      </c>
      <c r="D248" s="274" t="s">
        <v>490</v>
      </c>
      <c r="E248" s="262"/>
      <c r="F248" s="307">
        <v>6</v>
      </c>
      <c r="G248" s="309" t="s">
        <v>27</v>
      </c>
      <c r="H248" s="308"/>
      <c r="I248" s="269" t="s">
        <v>20</v>
      </c>
      <c r="J248" s="274">
        <f>SUMIFS($BE$14:$BE$38,$BD$14:$BD$38,F248,$BC$14:$BC$38,"دويا شورت",$AC$14:$AC$38,"مدمج")</f>
        <v>0</v>
      </c>
      <c r="K248" s="270"/>
      <c r="L248" s="274">
        <f>VLOOKUP(F248,'قائمة الأسعار'!$D$229:$F$239,3,0)</f>
        <v>1</v>
      </c>
      <c r="M248" s="282">
        <f t="shared" si="222"/>
        <v>0</v>
      </c>
      <c r="N248" s="412"/>
      <c r="O248" s="275">
        <f t="shared" si="219"/>
        <v>0</v>
      </c>
    </row>
    <row r="249" spans="1:15" ht="15.9" customHeight="1" thickTop="1" thickBot="1" x14ac:dyDescent="0.4">
      <c r="A249" s="275">
        <f>IF(O249=1,SUM($O$138:O249),0)</f>
        <v>0</v>
      </c>
      <c r="B249" s="257">
        <f>IF(O249=1,SUM($O$41:O249),0)</f>
        <v>0</v>
      </c>
      <c r="C249" s="273">
        <v>208</v>
      </c>
      <c r="D249" s="274" t="s">
        <v>490</v>
      </c>
      <c r="E249" s="262"/>
      <c r="F249" s="307">
        <v>10</v>
      </c>
      <c r="G249" s="309" t="s">
        <v>27</v>
      </c>
      <c r="H249" s="308"/>
      <c r="I249" s="269" t="s">
        <v>20</v>
      </c>
      <c r="J249" s="274">
        <f t="shared" ref="J249:J258" si="223">SUMIFS($BE$14:$BE$38,$BD$14:$BD$38,F249,$BC$14:$BC$38,"دويا شورت",$AC$14:$AC$38,"مدمج")</f>
        <v>0</v>
      </c>
      <c r="K249" s="270"/>
      <c r="L249" s="274">
        <f>VLOOKUP(F249,'قائمة الأسعار'!$D$229:$F$239,3,0)</f>
        <v>1</v>
      </c>
      <c r="M249" s="282">
        <f t="shared" si="222"/>
        <v>0</v>
      </c>
      <c r="N249" s="412"/>
      <c r="O249" s="275">
        <f t="shared" si="219"/>
        <v>0</v>
      </c>
    </row>
    <row r="250" spans="1:15" ht="15.9" customHeight="1" thickTop="1" thickBot="1" x14ac:dyDescent="0.4">
      <c r="A250" s="275">
        <f>IF(O250=1,SUM($O$138:O250),0)</f>
        <v>0</v>
      </c>
      <c r="B250" s="257">
        <f>IF(O250=1,SUM($O$41:O250),0)</f>
        <v>0</v>
      </c>
      <c r="C250" s="273">
        <v>209</v>
      </c>
      <c r="D250" s="274" t="s">
        <v>490</v>
      </c>
      <c r="E250" s="262"/>
      <c r="F250" s="307">
        <v>15</v>
      </c>
      <c r="G250" s="309" t="s">
        <v>27</v>
      </c>
      <c r="H250" s="308"/>
      <c r="I250" s="269" t="s">
        <v>20</v>
      </c>
      <c r="J250" s="274">
        <f t="shared" si="223"/>
        <v>0</v>
      </c>
      <c r="K250" s="270"/>
      <c r="L250" s="274">
        <f>VLOOKUP(F250,'قائمة الأسعار'!$D$229:$F$239,3,0)</f>
        <v>1</v>
      </c>
      <c r="M250" s="282">
        <f t="shared" si="222"/>
        <v>0</v>
      </c>
      <c r="N250" s="412"/>
      <c r="O250" s="275">
        <f t="shared" si="219"/>
        <v>0</v>
      </c>
    </row>
    <row r="251" spans="1:15" ht="15.9" customHeight="1" thickTop="1" thickBot="1" x14ac:dyDescent="0.4">
      <c r="A251" s="275">
        <f>IF(O251=1,SUM($O$138:O251),0)</f>
        <v>0</v>
      </c>
      <c r="B251" s="257">
        <f>IF(O251=1,SUM($O$41:O251),0)</f>
        <v>0</v>
      </c>
      <c r="C251" s="273">
        <v>210</v>
      </c>
      <c r="D251" s="274" t="s">
        <v>490</v>
      </c>
      <c r="E251" s="262"/>
      <c r="F251" s="307">
        <v>20</v>
      </c>
      <c r="G251" s="309" t="s">
        <v>27</v>
      </c>
      <c r="H251" s="308"/>
      <c r="I251" s="269" t="s">
        <v>20</v>
      </c>
      <c r="J251" s="274">
        <f t="shared" si="223"/>
        <v>0</v>
      </c>
      <c r="K251" s="270"/>
      <c r="L251" s="274">
        <f>VLOOKUP(F251,'قائمة الأسعار'!$D$229:$F$239,3,0)</f>
        <v>1</v>
      </c>
      <c r="M251" s="282">
        <f t="shared" si="222"/>
        <v>0</v>
      </c>
      <c r="N251" s="412"/>
      <c r="O251" s="275">
        <f t="shared" si="219"/>
        <v>0</v>
      </c>
    </row>
    <row r="252" spans="1:15" ht="15.9" customHeight="1" thickTop="1" thickBot="1" x14ac:dyDescent="0.4">
      <c r="A252" s="275">
        <f>IF(O252=1,SUM($O$138:O252),0)</f>
        <v>0</v>
      </c>
      <c r="B252" s="257">
        <f>IF(O252=1,SUM($O$41:O252),0)</f>
        <v>0</v>
      </c>
      <c r="C252" s="273">
        <v>211</v>
      </c>
      <c r="D252" s="274" t="s">
        <v>490</v>
      </c>
      <c r="E252" s="262"/>
      <c r="F252" s="307">
        <v>30</v>
      </c>
      <c r="G252" s="309" t="s">
        <v>27</v>
      </c>
      <c r="H252" s="308"/>
      <c r="I252" s="269" t="s">
        <v>20</v>
      </c>
      <c r="J252" s="274">
        <f t="shared" si="223"/>
        <v>0</v>
      </c>
      <c r="K252" s="270"/>
      <c r="L252" s="274">
        <f>VLOOKUP(F252,'قائمة الأسعار'!$D$229:$F$239,3,0)</f>
        <v>1</v>
      </c>
      <c r="M252" s="282">
        <f t="shared" si="222"/>
        <v>0</v>
      </c>
      <c r="N252" s="412"/>
      <c r="O252" s="275">
        <f t="shared" si="219"/>
        <v>0</v>
      </c>
    </row>
    <row r="253" spans="1:15" ht="15.9" customHeight="1" thickTop="1" thickBot="1" x14ac:dyDescent="0.4">
      <c r="A253" s="275">
        <f>IF(O253=1,SUM($O$138:O253),0)</f>
        <v>0</v>
      </c>
      <c r="B253" s="257">
        <f>IF(O253=1,SUM($O$41:O253),0)</f>
        <v>0</v>
      </c>
      <c r="C253" s="273">
        <v>212</v>
      </c>
      <c r="D253" s="274" t="s">
        <v>490</v>
      </c>
      <c r="E253" s="262"/>
      <c r="F253" s="307">
        <v>40</v>
      </c>
      <c r="G253" s="309" t="s">
        <v>27</v>
      </c>
      <c r="H253" s="308"/>
      <c r="I253" s="269" t="s">
        <v>20</v>
      </c>
      <c r="J253" s="274">
        <f t="shared" si="223"/>
        <v>0</v>
      </c>
      <c r="K253" s="270"/>
      <c r="L253" s="274">
        <f>VLOOKUP(F253,'قائمة الأسعار'!$D$229:$F$239,3,0)</f>
        <v>1</v>
      </c>
      <c r="M253" s="282">
        <f t="shared" si="222"/>
        <v>0</v>
      </c>
      <c r="N253" s="412"/>
      <c r="O253" s="275">
        <f t="shared" si="219"/>
        <v>0</v>
      </c>
    </row>
    <row r="254" spans="1:15" ht="15.9" customHeight="1" thickTop="1" thickBot="1" x14ac:dyDescent="0.4">
      <c r="A254" s="275">
        <f>IF(O254=1,SUM($O$138:O254),0)</f>
        <v>0</v>
      </c>
      <c r="B254" s="257">
        <f>IF(O254=1,SUM($O$41:O254),0)</f>
        <v>0</v>
      </c>
      <c r="C254" s="273">
        <v>213</v>
      </c>
      <c r="D254" s="274" t="s">
        <v>490</v>
      </c>
      <c r="E254" s="262"/>
      <c r="F254" s="307">
        <v>50</v>
      </c>
      <c r="G254" s="309" t="s">
        <v>27</v>
      </c>
      <c r="H254" s="308"/>
      <c r="I254" s="269" t="s">
        <v>20</v>
      </c>
      <c r="J254" s="274">
        <f t="shared" si="223"/>
        <v>0</v>
      </c>
      <c r="K254" s="270"/>
      <c r="L254" s="274">
        <f>VLOOKUP(F254,'قائمة الأسعار'!$D$229:$F$239,3,0)</f>
        <v>1</v>
      </c>
      <c r="M254" s="282">
        <f t="shared" si="222"/>
        <v>0</v>
      </c>
      <c r="N254" s="412"/>
      <c r="O254" s="275">
        <f t="shared" si="219"/>
        <v>0</v>
      </c>
    </row>
    <row r="255" spans="1:15" ht="15.9" customHeight="1" thickTop="1" thickBot="1" x14ac:dyDescent="0.4">
      <c r="A255" s="275">
        <f>IF(O255=1,SUM($O$138:O255),0)</f>
        <v>0</v>
      </c>
      <c r="B255" s="257">
        <f>IF(O255=1,SUM($O$41:O255),0)</f>
        <v>0</v>
      </c>
      <c r="C255" s="273">
        <v>214</v>
      </c>
      <c r="D255" s="274" t="s">
        <v>490</v>
      </c>
      <c r="E255" s="262"/>
      <c r="F255" s="307">
        <v>60</v>
      </c>
      <c r="G255" s="309" t="s">
        <v>27</v>
      </c>
      <c r="H255" s="308"/>
      <c r="I255" s="269" t="s">
        <v>20</v>
      </c>
      <c r="J255" s="274">
        <f t="shared" si="223"/>
        <v>0</v>
      </c>
      <c r="K255" s="270"/>
      <c r="L255" s="274">
        <f>VLOOKUP(F255,'قائمة الأسعار'!$D$229:$F$239,3,0)</f>
        <v>1</v>
      </c>
      <c r="M255" s="282">
        <f t="shared" si="222"/>
        <v>0</v>
      </c>
      <c r="N255" s="412"/>
      <c r="O255" s="275">
        <f t="shared" si="219"/>
        <v>0</v>
      </c>
    </row>
    <row r="256" spans="1:15" ht="15.9" customHeight="1" thickTop="1" thickBot="1" x14ac:dyDescent="0.4">
      <c r="A256" s="275">
        <f>IF(O256=1,SUM($O$138:O256),0)</f>
        <v>0</v>
      </c>
      <c r="B256" s="257">
        <f>IF(O256=1,SUM($O$41:O256),0)</f>
        <v>0</v>
      </c>
      <c r="C256" s="273">
        <v>215</v>
      </c>
      <c r="D256" s="274" t="s">
        <v>490</v>
      </c>
      <c r="E256" s="262"/>
      <c r="F256" s="307">
        <v>80</v>
      </c>
      <c r="G256" s="309" t="s">
        <v>27</v>
      </c>
      <c r="H256" s="308"/>
      <c r="I256" s="269" t="s">
        <v>20</v>
      </c>
      <c r="J256" s="274">
        <f t="shared" si="223"/>
        <v>0</v>
      </c>
      <c r="K256" s="270"/>
      <c r="L256" s="274">
        <f>VLOOKUP(F256,'قائمة الأسعار'!$D$229:$F$239,3,0)</f>
        <v>1</v>
      </c>
      <c r="M256" s="282">
        <f>L256*J256</f>
        <v>0</v>
      </c>
      <c r="N256" s="412"/>
      <c r="O256" s="275">
        <f t="shared" si="219"/>
        <v>0</v>
      </c>
    </row>
    <row r="257" spans="1:15" ht="15.9" customHeight="1" thickTop="1" thickBot="1" x14ac:dyDescent="0.4">
      <c r="A257" s="275">
        <f>IF(O257=1,SUM($O$138:O257),0)</f>
        <v>0</v>
      </c>
      <c r="B257" s="257">
        <f>IF(O257=1,SUM($O$41:O257),0)</f>
        <v>0</v>
      </c>
      <c r="C257" s="273">
        <v>216</v>
      </c>
      <c r="D257" s="274" t="s">
        <v>490</v>
      </c>
      <c r="E257" s="262"/>
      <c r="F257" s="307">
        <v>100</v>
      </c>
      <c r="G257" s="309" t="s">
        <v>27</v>
      </c>
      <c r="H257" s="308"/>
      <c r="I257" s="269" t="s">
        <v>20</v>
      </c>
      <c r="J257" s="274">
        <f t="shared" si="223"/>
        <v>0</v>
      </c>
      <c r="K257" s="270"/>
      <c r="L257" s="274">
        <f>VLOOKUP(F257,'قائمة الأسعار'!$D$229:$F$239,3,0)</f>
        <v>1</v>
      </c>
      <c r="M257" s="282">
        <f t="shared" ref="M257:M266" si="224">L257*J257</f>
        <v>0</v>
      </c>
      <c r="N257" s="412"/>
      <c r="O257" s="275">
        <f t="shared" si="219"/>
        <v>0</v>
      </c>
    </row>
    <row r="258" spans="1:15" ht="15.9" customHeight="1" thickTop="1" thickBot="1" x14ac:dyDescent="0.4">
      <c r="A258" s="275">
        <f>IF(O258=1,SUM($O$138:O258),0)</f>
        <v>0</v>
      </c>
      <c r="B258" s="257">
        <f>IF(O258=1,SUM($O$41:O258),0)</f>
        <v>0</v>
      </c>
      <c r="C258" s="273">
        <v>217</v>
      </c>
      <c r="D258" s="274" t="s">
        <v>490</v>
      </c>
      <c r="E258" s="262"/>
      <c r="F258" s="307">
        <v>120</v>
      </c>
      <c r="G258" s="309" t="s">
        <v>27</v>
      </c>
      <c r="H258" s="308"/>
      <c r="I258" s="269" t="s">
        <v>20</v>
      </c>
      <c r="J258" s="274">
        <f t="shared" si="223"/>
        <v>0</v>
      </c>
      <c r="K258" s="270"/>
      <c r="L258" s="274">
        <f>VLOOKUP(F258,'قائمة الأسعار'!$D$229:$F$239,3,0)</f>
        <v>1</v>
      </c>
      <c r="M258" s="282">
        <f t="shared" si="224"/>
        <v>0</v>
      </c>
      <c r="N258" s="412"/>
      <c r="O258" s="275">
        <f>IF(M258&gt;0,1,0)</f>
        <v>0</v>
      </c>
    </row>
    <row r="259" spans="1:15" ht="15.9" customHeight="1" thickTop="1" thickBot="1" x14ac:dyDescent="0.4">
      <c r="A259" s="275">
        <f>IF(O259=1,SUM($O$138:O259),0)</f>
        <v>0</v>
      </c>
      <c r="B259" s="257">
        <f>IF(O259=1,SUM($O$41:O259),0)</f>
        <v>0</v>
      </c>
      <c r="C259" s="273">
        <v>218</v>
      </c>
      <c r="D259" s="274" t="s">
        <v>491</v>
      </c>
      <c r="E259" s="262"/>
      <c r="F259" s="307">
        <v>6</v>
      </c>
      <c r="G259" s="309" t="s">
        <v>27</v>
      </c>
      <c r="H259" s="308"/>
      <c r="I259" s="269" t="s">
        <v>20</v>
      </c>
      <c r="J259" s="274">
        <f>SUMIFS($BE$14:$BE$38,$BD$14:$BD$38,F259,$BC$14:$BC$38,"سيبار",$AC$14:$AC$38,"مدمج")</f>
        <v>0</v>
      </c>
      <c r="K259" s="262"/>
      <c r="L259" s="274">
        <f>VLOOKUP(F259,'قائمة الأسعار'!$D$241:$F$251,3,0)</f>
        <v>1</v>
      </c>
      <c r="M259" s="282">
        <f t="shared" si="224"/>
        <v>0</v>
      </c>
      <c r="N259" s="412"/>
      <c r="O259" s="275">
        <f t="shared" si="219"/>
        <v>0</v>
      </c>
    </row>
    <row r="260" spans="1:15" ht="15.9" customHeight="1" thickTop="1" thickBot="1" x14ac:dyDescent="0.4">
      <c r="A260" s="275">
        <f>IF(O260=1,SUM($O$138:O260),0)</f>
        <v>0</v>
      </c>
      <c r="B260" s="257">
        <f>IF(O260=1,SUM($O$41:O260),0)</f>
        <v>0</v>
      </c>
      <c r="C260" s="273">
        <v>219</v>
      </c>
      <c r="D260" s="274" t="s">
        <v>491</v>
      </c>
      <c r="E260" s="262"/>
      <c r="F260" s="307">
        <v>10</v>
      </c>
      <c r="G260" s="309" t="s">
        <v>27</v>
      </c>
      <c r="H260" s="308"/>
      <c r="I260" s="269" t="s">
        <v>20</v>
      </c>
      <c r="J260" s="274">
        <f t="shared" ref="J260:J268" si="225">SUMIFS($BE$14:$BE$38,$BD$14:$BD$38,F260,$BC$14:$BC$38,"سيبار",$AC$14:$AC$38,"مدمج")</f>
        <v>0</v>
      </c>
      <c r="K260" s="262"/>
      <c r="L260" s="274">
        <f>VLOOKUP(F260,'قائمة الأسعار'!$D$241:$F$251,3,0)</f>
        <v>1</v>
      </c>
      <c r="M260" s="282">
        <f t="shared" si="224"/>
        <v>0</v>
      </c>
      <c r="N260" s="412"/>
      <c r="O260" s="275">
        <f t="shared" si="219"/>
        <v>0</v>
      </c>
    </row>
    <row r="261" spans="1:15" ht="15.9" customHeight="1" thickTop="1" thickBot="1" x14ac:dyDescent="0.4">
      <c r="A261" s="275">
        <f>IF(O261=1,SUM($O$138:O261),0)</f>
        <v>0</v>
      </c>
      <c r="B261" s="257">
        <f>IF(O261=1,SUM($O$41:O261),0)</f>
        <v>0</v>
      </c>
      <c r="C261" s="273">
        <v>220</v>
      </c>
      <c r="D261" s="274" t="s">
        <v>491</v>
      </c>
      <c r="E261" s="262"/>
      <c r="F261" s="307">
        <v>15</v>
      </c>
      <c r="G261" s="309" t="s">
        <v>27</v>
      </c>
      <c r="H261" s="308"/>
      <c r="I261" s="269" t="s">
        <v>20</v>
      </c>
      <c r="J261" s="274">
        <f t="shared" si="225"/>
        <v>0</v>
      </c>
      <c r="K261" s="262"/>
      <c r="L261" s="274">
        <f>VLOOKUP(F261,'قائمة الأسعار'!$D$241:$F$251,3,0)</f>
        <v>1</v>
      </c>
      <c r="M261" s="282">
        <f t="shared" si="224"/>
        <v>0</v>
      </c>
      <c r="N261" s="412"/>
      <c r="O261" s="275">
        <f t="shared" si="219"/>
        <v>0</v>
      </c>
    </row>
    <row r="262" spans="1:15" ht="15.9" customHeight="1" thickTop="1" thickBot="1" x14ac:dyDescent="0.4">
      <c r="A262" s="275">
        <f>IF(O262=1,SUM($O$138:O262),0)</f>
        <v>0</v>
      </c>
      <c r="B262" s="257">
        <f>IF(O262=1,SUM($O$41:O262),0)</f>
        <v>0</v>
      </c>
      <c r="C262" s="273">
        <v>221</v>
      </c>
      <c r="D262" s="274" t="s">
        <v>491</v>
      </c>
      <c r="E262" s="262"/>
      <c r="F262" s="307">
        <v>20</v>
      </c>
      <c r="G262" s="309" t="s">
        <v>27</v>
      </c>
      <c r="H262" s="308"/>
      <c r="I262" s="269" t="s">
        <v>20</v>
      </c>
      <c r="J262" s="274">
        <f t="shared" si="225"/>
        <v>0</v>
      </c>
      <c r="K262" s="262"/>
      <c r="L262" s="274">
        <f>VLOOKUP(F262,'قائمة الأسعار'!$D$241:$F$251,3,0)</f>
        <v>1</v>
      </c>
      <c r="M262" s="282">
        <f t="shared" si="224"/>
        <v>0</v>
      </c>
      <c r="N262" s="412"/>
      <c r="O262" s="275">
        <f t="shared" si="219"/>
        <v>0</v>
      </c>
    </row>
    <row r="263" spans="1:15" ht="15.9" customHeight="1" thickTop="1" thickBot="1" x14ac:dyDescent="0.4">
      <c r="A263" s="275">
        <f>IF(O263=1,SUM($O$138:O263),0)</f>
        <v>0</v>
      </c>
      <c r="B263" s="257">
        <f>IF(O263=1,SUM($O$41:O263),0)</f>
        <v>0</v>
      </c>
      <c r="C263" s="273">
        <v>222</v>
      </c>
      <c r="D263" s="274" t="s">
        <v>491</v>
      </c>
      <c r="E263" s="262"/>
      <c r="F263" s="307">
        <v>30</v>
      </c>
      <c r="G263" s="309" t="s">
        <v>27</v>
      </c>
      <c r="H263" s="308"/>
      <c r="I263" s="269" t="s">
        <v>20</v>
      </c>
      <c r="J263" s="274">
        <f t="shared" si="225"/>
        <v>0</v>
      </c>
      <c r="K263" s="262"/>
      <c r="L263" s="274">
        <f>VLOOKUP(F263,'قائمة الأسعار'!$D$241:$F$251,3,0)</f>
        <v>1</v>
      </c>
      <c r="M263" s="282">
        <f t="shared" si="224"/>
        <v>0</v>
      </c>
      <c r="N263" s="412"/>
      <c r="O263" s="275">
        <f t="shared" si="219"/>
        <v>0</v>
      </c>
    </row>
    <row r="264" spans="1:15" ht="15.9" customHeight="1" thickTop="1" thickBot="1" x14ac:dyDescent="0.4">
      <c r="A264" s="275">
        <f>IF(O264=1,SUM($O$138:O264),0)</f>
        <v>0</v>
      </c>
      <c r="B264" s="257">
        <f>IF(O264=1,SUM($O$41:O264),0)</f>
        <v>0</v>
      </c>
      <c r="C264" s="273">
        <v>223</v>
      </c>
      <c r="D264" s="274" t="s">
        <v>491</v>
      </c>
      <c r="E264" s="262"/>
      <c r="F264" s="307">
        <v>40</v>
      </c>
      <c r="G264" s="309" t="s">
        <v>27</v>
      </c>
      <c r="H264" s="308"/>
      <c r="I264" s="269" t="s">
        <v>20</v>
      </c>
      <c r="J264" s="274">
        <f t="shared" si="225"/>
        <v>0</v>
      </c>
      <c r="K264" s="262"/>
      <c r="L264" s="274">
        <f>VLOOKUP(F264,'قائمة الأسعار'!$D$241:$F$251,3,0)</f>
        <v>1</v>
      </c>
      <c r="M264" s="282">
        <f t="shared" si="224"/>
        <v>0</v>
      </c>
      <c r="N264" s="412"/>
      <c r="O264" s="275">
        <f t="shared" si="219"/>
        <v>0</v>
      </c>
    </row>
    <row r="265" spans="1:15" ht="15.9" customHeight="1" thickTop="1" thickBot="1" x14ac:dyDescent="0.4">
      <c r="A265" s="275">
        <f>IF(O265=1,SUM($O$138:O265),0)</f>
        <v>0</v>
      </c>
      <c r="B265" s="257">
        <f>IF(O265=1,SUM($O$41:O265),0)</f>
        <v>0</v>
      </c>
      <c r="C265" s="273">
        <v>224</v>
      </c>
      <c r="D265" s="274" t="s">
        <v>491</v>
      </c>
      <c r="E265" s="262"/>
      <c r="F265" s="307">
        <v>50</v>
      </c>
      <c r="G265" s="309" t="s">
        <v>27</v>
      </c>
      <c r="H265" s="308"/>
      <c r="I265" s="269" t="s">
        <v>20</v>
      </c>
      <c r="J265" s="274">
        <f t="shared" si="225"/>
        <v>0</v>
      </c>
      <c r="K265" s="262"/>
      <c r="L265" s="274">
        <f>VLOOKUP(F265,'قائمة الأسعار'!$D$241:$F$251,3,0)</f>
        <v>1</v>
      </c>
      <c r="M265" s="282">
        <f t="shared" si="224"/>
        <v>0</v>
      </c>
      <c r="N265" s="412"/>
      <c r="O265" s="275">
        <f t="shared" si="219"/>
        <v>0</v>
      </c>
    </row>
    <row r="266" spans="1:15" ht="15.9" customHeight="1" thickTop="1" thickBot="1" x14ac:dyDescent="0.4">
      <c r="A266" s="275">
        <f>IF(O266=1,SUM($O$138:O266),0)</f>
        <v>0</v>
      </c>
      <c r="B266" s="257">
        <f>IF(O266=1,SUM($O$41:O266),0)</f>
        <v>0</v>
      </c>
      <c r="C266" s="273">
        <v>225</v>
      </c>
      <c r="D266" s="274" t="s">
        <v>491</v>
      </c>
      <c r="E266" s="262"/>
      <c r="F266" s="307">
        <v>60</v>
      </c>
      <c r="G266" s="309" t="s">
        <v>27</v>
      </c>
      <c r="H266" s="308"/>
      <c r="I266" s="269" t="s">
        <v>20</v>
      </c>
      <c r="J266" s="274">
        <f t="shared" si="225"/>
        <v>0</v>
      </c>
      <c r="K266" s="262"/>
      <c r="L266" s="274">
        <f>VLOOKUP(F266,'قائمة الأسعار'!$D$241:$F$251,3,0)</f>
        <v>1</v>
      </c>
      <c r="M266" s="282">
        <f t="shared" si="224"/>
        <v>0</v>
      </c>
      <c r="N266" s="412"/>
      <c r="O266" s="275">
        <f t="shared" si="219"/>
        <v>0</v>
      </c>
    </row>
    <row r="267" spans="1:15" ht="15.9" customHeight="1" thickTop="1" thickBot="1" x14ac:dyDescent="0.4">
      <c r="A267" s="275">
        <f>IF(O267=1,SUM($O$138:O267),0)</f>
        <v>0</v>
      </c>
      <c r="B267" s="257">
        <f>IF(O267=1,SUM($O$41:O267),0)</f>
        <v>0</v>
      </c>
      <c r="C267" s="273">
        <v>226</v>
      </c>
      <c r="D267" s="274" t="s">
        <v>491</v>
      </c>
      <c r="E267" s="262"/>
      <c r="F267" s="307">
        <v>80</v>
      </c>
      <c r="G267" s="309" t="s">
        <v>27</v>
      </c>
      <c r="H267" s="308"/>
      <c r="I267" s="269" t="s">
        <v>20</v>
      </c>
      <c r="J267" s="274">
        <f t="shared" si="225"/>
        <v>0</v>
      </c>
      <c r="K267" s="262"/>
      <c r="L267" s="274">
        <f>VLOOKUP(F267,'قائمة الأسعار'!$D$241:$F$251,3,0)</f>
        <v>1</v>
      </c>
      <c r="M267" s="282">
        <f>L267*J267</f>
        <v>0</v>
      </c>
      <c r="N267" s="412"/>
      <c r="O267" s="275">
        <f t="shared" si="219"/>
        <v>0</v>
      </c>
    </row>
    <row r="268" spans="1:15" ht="15.9" customHeight="1" thickTop="1" thickBot="1" x14ac:dyDescent="0.4">
      <c r="A268" s="275">
        <f>IF(O268=1,SUM($O$138:O268),0)</f>
        <v>0</v>
      </c>
      <c r="B268" s="257">
        <f>IF(O268=1,SUM($O$41:O268),0)</f>
        <v>0</v>
      </c>
      <c r="C268" s="273">
        <v>227</v>
      </c>
      <c r="D268" s="274" t="s">
        <v>491</v>
      </c>
      <c r="E268" s="262"/>
      <c r="F268" s="307">
        <v>100</v>
      </c>
      <c r="G268" s="309" t="s">
        <v>27</v>
      </c>
      <c r="H268" s="308"/>
      <c r="I268" s="269" t="s">
        <v>20</v>
      </c>
      <c r="J268" s="274">
        <f t="shared" si="225"/>
        <v>0</v>
      </c>
      <c r="K268" s="262"/>
      <c r="L268" s="274">
        <f>VLOOKUP(F268,'قائمة الأسعار'!$D$241:$F$251,3,0)</f>
        <v>1</v>
      </c>
      <c r="M268" s="282">
        <f t="shared" ref="M268:M277" si="226">L268*J268</f>
        <v>0</v>
      </c>
      <c r="N268" s="412"/>
      <c r="O268" s="275">
        <f t="shared" si="219"/>
        <v>0</v>
      </c>
    </row>
    <row r="269" spans="1:15" ht="15.9" customHeight="1" thickTop="1" thickBot="1" x14ac:dyDescent="0.4">
      <c r="A269" s="275">
        <f>IF(O269=1,SUM($O$138:O269),0)</f>
        <v>0</v>
      </c>
      <c r="B269" s="257">
        <f>IF(O269=1,SUM($O$41:O269),0)</f>
        <v>0</v>
      </c>
      <c r="C269" s="273">
        <v>228</v>
      </c>
      <c r="D269" s="274" t="s">
        <v>491</v>
      </c>
      <c r="E269" s="262"/>
      <c r="F269" s="307">
        <v>120</v>
      </c>
      <c r="G269" s="309" t="s">
        <v>27</v>
      </c>
      <c r="H269" s="308"/>
      <c r="I269" s="269" t="s">
        <v>20</v>
      </c>
      <c r="J269" s="274">
        <f>SUMIFS($BE$14:$BE$38,$BD$14:$BD$38,F269,$BC$14:$BC$38,"سيبار",$AC$14:$AC$38,"مدمج")</f>
        <v>0</v>
      </c>
      <c r="K269" s="262"/>
      <c r="L269" s="274">
        <f>VLOOKUP(F269,'قائمة الأسعار'!$D$241:$F$251,3,0)</f>
        <v>1</v>
      </c>
      <c r="M269" s="282">
        <f t="shared" si="226"/>
        <v>0</v>
      </c>
      <c r="N269" s="412"/>
      <c r="O269" s="275">
        <f t="shared" si="219"/>
        <v>0</v>
      </c>
    </row>
    <row r="270" spans="1:15" ht="15.9" customHeight="1" thickTop="1" thickBot="1" x14ac:dyDescent="0.4">
      <c r="A270" s="275">
        <f>IF(O270=1,SUM($O$138:O270),0)</f>
        <v>0</v>
      </c>
      <c r="B270" s="257">
        <f>IF(O270=1,SUM($O$41:O270),0)</f>
        <v>0</v>
      </c>
      <c r="C270" s="273">
        <v>229</v>
      </c>
      <c r="D270" s="274" t="s">
        <v>492</v>
      </c>
      <c r="E270" s="262"/>
      <c r="F270" s="307">
        <v>8</v>
      </c>
      <c r="G270" s="309" t="s">
        <v>27</v>
      </c>
      <c r="H270" s="308"/>
      <c r="I270" s="309" t="s">
        <v>20</v>
      </c>
      <c r="J270" s="274">
        <f>SUMIFS($BE$14:$BE$38,$BD$14:$BD$38,F270,$BC$14:$BC$38,"سيمو",$AC$14:$AC$38,"مدمج")</f>
        <v>0</v>
      </c>
      <c r="K270" s="270"/>
      <c r="L270" s="274">
        <f>VLOOKUP(F270,'قائمة الأسعار'!$D$253:$F$263,3,0)</f>
        <v>1</v>
      </c>
      <c r="M270" s="282">
        <f t="shared" si="226"/>
        <v>0</v>
      </c>
      <c r="N270" s="412"/>
      <c r="O270" s="275">
        <f t="shared" si="219"/>
        <v>0</v>
      </c>
    </row>
    <row r="271" spans="1:15" ht="15.9" customHeight="1" thickTop="1" thickBot="1" x14ac:dyDescent="0.4">
      <c r="A271" s="275">
        <f>IF(O271=1,SUM($O$138:O271),0)</f>
        <v>0</v>
      </c>
      <c r="B271" s="257">
        <f>IF(O271=1,SUM($O$41:O271),0)</f>
        <v>0</v>
      </c>
      <c r="C271" s="273">
        <v>230</v>
      </c>
      <c r="D271" s="274" t="s">
        <v>492</v>
      </c>
      <c r="E271" s="262"/>
      <c r="F271" s="307">
        <v>10</v>
      </c>
      <c r="G271" s="309" t="s">
        <v>27</v>
      </c>
      <c r="H271" s="308"/>
      <c r="I271" s="309" t="s">
        <v>20</v>
      </c>
      <c r="J271" s="274">
        <f t="shared" ref="J271:J280" si="227">SUMIFS($BE$14:$BE$38,$BD$14:$BD$38,F271,$BC$14:$BC$38,"سيمو",$AC$14:$AC$38,"مدمج")</f>
        <v>0</v>
      </c>
      <c r="K271" s="270"/>
      <c r="L271" s="274">
        <f>VLOOKUP(F271,'قائمة الأسعار'!$D$253:$F$263,3,0)</f>
        <v>1</v>
      </c>
      <c r="M271" s="282">
        <f t="shared" si="226"/>
        <v>0</v>
      </c>
      <c r="N271" s="412"/>
      <c r="O271" s="275">
        <f t="shared" si="219"/>
        <v>0</v>
      </c>
    </row>
    <row r="272" spans="1:15" ht="15.9" customHeight="1" thickTop="1" thickBot="1" x14ac:dyDescent="0.4">
      <c r="A272" s="275">
        <f>IF(O272=1,SUM($O$138:O272),0)</f>
        <v>0</v>
      </c>
      <c r="B272" s="257">
        <f>IF(O272=1,SUM($O$41:O272),0)</f>
        <v>0</v>
      </c>
      <c r="C272" s="273">
        <v>231</v>
      </c>
      <c r="D272" s="274" t="s">
        <v>492</v>
      </c>
      <c r="E272" s="262"/>
      <c r="F272" s="307">
        <v>15</v>
      </c>
      <c r="G272" s="309" t="s">
        <v>27</v>
      </c>
      <c r="H272" s="308"/>
      <c r="I272" s="309" t="s">
        <v>20</v>
      </c>
      <c r="J272" s="274">
        <f t="shared" si="227"/>
        <v>0</v>
      </c>
      <c r="K272" s="270"/>
      <c r="L272" s="274">
        <f>VLOOKUP(F272,'قائمة الأسعار'!$D$253:$F$263,3,0)</f>
        <v>1</v>
      </c>
      <c r="M272" s="282">
        <f t="shared" si="226"/>
        <v>0</v>
      </c>
      <c r="N272" s="412"/>
      <c r="O272" s="275">
        <f t="shared" si="219"/>
        <v>0</v>
      </c>
    </row>
    <row r="273" spans="1:15" ht="15.9" customHeight="1" thickTop="1" thickBot="1" x14ac:dyDescent="0.4">
      <c r="A273" s="275">
        <f>IF(O273=1,SUM($O$138:O273),0)</f>
        <v>0</v>
      </c>
      <c r="B273" s="257">
        <f>IF(O273=1,SUM($O$41:O273),0)</f>
        <v>0</v>
      </c>
      <c r="C273" s="273">
        <v>232</v>
      </c>
      <c r="D273" s="274" t="s">
        <v>492</v>
      </c>
      <c r="E273" s="262"/>
      <c r="F273" s="307">
        <v>20</v>
      </c>
      <c r="G273" s="309" t="s">
        <v>27</v>
      </c>
      <c r="H273" s="308"/>
      <c r="I273" s="309" t="s">
        <v>20</v>
      </c>
      <c r="J273" s="274">
        <f t="shared" si="227"/>
        <v>0</v>
      </c>
      <c r="K273" s="270"/>
      <c r="L273" s="274">
        <f>VLOOKUP(F273,'قائمة الأسعار'!$D$253:$F$263,3,0)</f>
        <v>1</v>
      </c>
      <c r="M273" s="282">
        <f t="shared" si="226"/>
        <v>0</v>
      </c>
      <c r="N273" s="412"/>
      <c r="O273" s="275">
        <f t="shared" si="219"/>
        <v>0</v>
      </c>
    </row>
    <row r="274" spans="1:15" ht="15.9" customHeight="1" thickTop="1" thickBot="1" x14ac:dyDescent="0.4">
      <c r="A274" s="275">
        <f>IF(O274=1,SUM($O$138:O274),0)</f>
        <v>0</v>
      </c>
      <c r="B274" s="257">
        <f>IF(O274=1,SUM($O$41:O274),0)</f>
        <v>0</v>
      </c>
      <c r="C274" s="273">
        <v>233</v>
      </c>
      <c r="D274" s="274" t="s">
        <v>492</v>
      </c>
      <c r="E274" s="262"/>
      <c r="F274" s="307">
        <v>35</v>
      </c>
      <c r="G274" s="309" t="s">
        <v>27</v>
      </c>
      <c r="H274" s="308"/>
      <c r="I274" s="309" t="s">
        <v>20</v>
      </c>
      <c r="J274" s="274">
        <f t="shared" si="227"/>
        <v>0</v>
      </c>
      <c r="K274" s="270"/>
      <c r="L274" s="274">
        <f>VLOOKUP(F274,'قائمة الأسعار'!$D$253:$F$263,3,0)</f>
        <v>1</v>
      </c>
      <c r="M274" s="282">
        <f t="shared" si="226"/>
        <v>0</v>
      </c>
      <c r="N274" s="412"/>
      <c r="O274" s="275">
        <f t="shared" si="219"/>
        <v>0</v>
      </c>
    </row>
    <row r="275" spans="1:15" ht="15.9" customHeight="1" thickTop="1" thickBot="1" x14ac:dyDescent="0.4">
      <c r="A275" s="275">
        <f>IF(O275=1,SUM($O$138:O275),0)</f>
        <v>0</v>
      </c>
      <c r="B275" s="257">
        <f>IF(O275=1,SUM($O$41:O275),0)</f>
        <v>0</v>
      </c>
      <c r="C275" s="273">
        <v>234</v>
      </c>
      <c r="D275" s="274" t="s">
        <v>492</v>
      </c>
      <c r="E275" s="262"/>
      <c r="F275" s="307">
        <v>40</v>
      </c>
      <c r="G275" s="309" t="s">
        <v>27</v>
      </c>
      <c r="H275" s="308"/>
      <c r="I275" s="309" t="s">
        <v>20</v>
      </c>
      <c r="J275" s="274">
        <f t="shared" si="227"/>
        <v>0</v>
      </c>
      <c r="K275" s="270"/>
      <c r="L275" s="274">
        <f>VLOOKUP(F275,'قائمة الأسعار'!$D$253:$F$263,3,0)</f>
        <v>1</v>
      </c>
      <c r="M275" s="282">
        <f t="shared" si="226"/>
        <v>0</v>
      </c>
      <c r="N275" s="412"/>
      <c r="O275" s="275">
        <f t="shared" si="219"/>
        <v>0</v>
      </c>
    </row>
    <row r="276" spans="1:15" ht="15.9" customHeight="1" thickTop="1" thickBot="1" x14ac:dyDescent="0.4">
      <c r="A276" s="275">
        <f>IF(O276=1,SUM($O$138:O276),0)</f>
        <v>0</v>
      </c>
      <c r="B276" s="257">
        <f>IF(O276=1,SUM($O$41:O276),0)</f>
        <v>0</v>
      </c>
      <c r="C276" s="273">
        <v>235</v>
      </c>
      <c r="D276" s="274" t="s">
        <v>492</v>
      </c>
      <c r="E276" s="262"/>
      <c r="F276" s="307">
        <v>50</v>
      </c>
      <c r="G276" s="309" t="s">
        <v>27</v>
      </c>
      <c r="H276" s="308"/>
      <c r="I276" s="309" t="s">
        <v>20</v>
      </c>
      <c r="J276" s="274">
        <f t="shared" si="227"/>
        <v>0</v>
      </c>
      <c r="K276" s="270"/>
      <c r="L276" s="274">
        <f>VLOOKUP(F276,'قائمة الأسعار'!$D$253:$F$263,3,0)</f>
        <v>1</v>
      </c>
      <c r="M276" s="282">
        <f t="shared" si="226"/>
        <v>0</v>
      </c>
      <c r="N276" s="412"/>
      <c r="O276" s="275">
        <f t="shared" si="219"/>
        <v>0</v>
      </c>
    </row>
    <row r="277" spans="1:15" ht="15.9" customHeight="1" thickTop="1" thickBot="1" x14ac:dyDescent="0.4">
      <c r="A277" s="275">
        <f>IF(O277=1,SUM($O$138:O277),0)</f>
        <v>0</v>
      </c>
      <c r="B277" s="257">
        <f>IF(O277=1,SUM($O$41:O277),0)</f>
        <v>0</v>
      </c>
      <c r="C277" s="273">
        <v>236</v>
      </c>
      <c r="D277" s="274" t="s">
        <v>492</v>
      </c>
      <c r="E277" s="262"/>
      <c r="F277" s="307">
        <v>60</v>
      </c>
      <c r="G277" s="309" t="s">
        <v>27</v>
      </c>
      <c r="H277" s="308"/>
      <c r="I277" s="309" t="s">
        <v>20</v>
      </c>
      <c r="J277" s="274">
        <f t="shared" si="227"/>
        <v>0</v>
      </c>
      <c r="K277" s="270"/>
      <c r="L277" s="274">
        <f>VLOOKUP(F277,'قائمة الأسعار'!$D$253:$F$263,3,0)</f>
        <v>1</v>
      </c>
      <c r="M277" s="282">
        <f t="shared" si="226"/>
        <v>0</v>
      </c>
      <c r="N277" s="412"/>
      <c r="O277" s="275">
        <f t="shared" si="219"/>
        <v>0</v>
      </c>
    </row>
    <row r="278" spans="1:15" ht="15.9" customHeight="1" thickTop="1" thickBot="1" x14ac:dyDescent="0.4">
      <c r="A278" s="275">
        <f>IF(O278=1,SUM($O$138:O278),0)</f>
        <v>0</v>
      </c>
      <c r="B278" s="257">
        <f>IF(O278=1,SUM($O$41:O278),0)</f>
        <v>0</v>
      </c>
      <c r="C278" s="273">
        <v>237</v>
      </c>
      <c r="D278" s="274" t="s">
        <v>492</v>
      </c>
      <c r="E278" s="262"/>
      <c r="F278" s="307">
        <v>80</v>
      </c>
      <c r="G278" s="309" t="s">
        <v>27</v>
      </c>
      <c r="H278" s="308"/>
      <c r="I278" s="309" t="s">
        <v>20</v>
      </c>
      <c r="J278" s="274">
        <f t="shared" si="227"/>
        <v>0</v>
      </c>
      <c r="K278" s="270"/>
      <c r="L278" s="274">
        <f>VLOOKUP(F278,'قائمة الأسعار'!$D$253:$F$263,3,0)</f>
        <v>1</v>
      </c>
      <c r="M278" s="282">
        <f>L278*J278</f>
        <v>0</v>
      </c>
      <c r="N278" s="412"/>
      <c r="O278" s="275">
        <f t="shared" si="219"/>
        <v>0</v>
      </c>
    </row>
    <row r="279" spans="1:15" ht="15.9" customHeight="1" thickTop="1" thickBot="1" x14ac:dyDescent="0.4">
      <c r="A279" s="275">
        <f>IF(O279=1,SUM($O$138:O279),0)</f>
        <v>0</v>
      </c>
      <c r="B279" s="257">
        <f>IF(O279=1,SUM($O$41:O279),0)</f>
        <v>0</v>
      </c>
      <c r="C279" s="273">
        <v>238</v>
      </c>
      <c r="D279" s="274" t="s">
        <v>492</v>
      </c>
      <c r="E279" s="262"/>
      <c r="F279" s="307">
        <v>100</v>
      </c>
      <c r="G279" s="309" t="s">
        <v>27</v>
      </c>
      <c r="H279" s="308"/>
      <c r="I279" s="309" t="s">
        <v>20</v>
      </c>
      <c r="J279" s="274">
        <f t="shared" si="227"/>
        <v>0</v>
      </c>
      <c r="K279" s="270"/>
      <c r="L279" s="274">
        <f>VLOOKUP(F279,'قائمة الأسعار'!$D$253:$F$263,3,0)</f>
        <v>1</v>
      </c>
      <c r="M279" s="282">
        <f t="shared" ref="M279:M288" si="228">L279*J279</f>
        <v>0</v>
      </c>
      <c r="N279" s="412"/>
      <c r="O279" s="275">
        <f t="shared" si="219"/>
        <v>0</v>
      </c>
    </row>
    <row r="280" spans="1:15" ht="15.9" customHeight="1" thickTop="1" thickBot="1" x14ac:dyDescent="0.4">
      <c r="A280" s="275">
        <f>IF(O280=1,SUM($O$138:O280),0)</f>
        <v>0</v>
      </c>
      <c r="B280" s="257">
        <f>IF(O280=1,SUM($O$41:O280),0)</f>
        <v>0</v>
      </c>
      <c r="C280" s="273">
        <v>239</v>
      </c>
      <c r="D280" s="274" t="s">
        <v>492</v>
      </c>
      <c r="E280" s="262"/>
      <c r="F280" s="307">
        <v>120</v>
      </c>
      <c r="G280" s="309" t="s">
        <v>27</v>
      </c>
      <c r="H280" s="308"/>
      <c r="I280" s="309" t="s">
        <v>20</v>
      </c>
      <c r="J280" s="274">
        <f t="shared" si="227"/>
        <v>0</v>
      </c>
      <c r="K280" s="270"/>
      <c r="L280" s="274">
        <f>VLOOKUP(F280,'قائمة الأسعار'!$D$253:$F$263,3,0)</f>
        <v>1</v>
      </c>
      <c r="M280" s="282">
        <f t="shared" si="228"/>
        <v>0</v>
      </c>
      <c r="N280" s="412"/>
      <c r="O280" s="275">
        <f t="shared" si="219"/>
        <v>0</v>
      </c>
    </row>
    <row r="281" spans="1:15" ht="15.9" customHeight="1" thickTop="1" thickBot="1" x14ac:dyDescent="0.4">
      <c r="A281" s="275">
        <f>IF(O281=1,SUM($O$138:O281),0)</f>
        <v>0</v>
      </c>
      <c r="B281" s="257">
        <f>IF(O281=1,SUM($O$41:O281),0)</f>
        <v>0</v>
      </c>
      <c r="C281" s="273">
        <v>240</v>
      </c>
      <c r="D281" s="274" t="s">
        <v>493</v>
      </c>
      <c r="E281" s="262"/>
      <c r="F281" s="307">
        <v>8</v>
      </c>
      <c r="G281" s="309" t="s">
        <v>27</v>
      </c>
      <c r="H281" s="308"/>
      <c r="I281" s="269" t="s">
        <v>20</v>
      </c>
      <c r="J281" s="274">
        <f>SUMIFS($BE$14:$BE$38,$BD$14:$BD$38,F281,$BC$14:$BC$38,"هيولايت",$AC$14:$AC$38,"مدمج")</f>
        <v>0</v>
      </c>
      <c r="K281" s="270"/>
      <c r="L281" s="274">
        <f>VLOOKUP(F281,'قائمة الأسعار'!$D$265:$F$275,3,0)</f>
        <v>1</v>
      </c>
      <c r="M281" s="282">
        <f t="shared" si="228"/>
        <v>0</v>
      </c>
      <c r="N281" s="412"/>
      <c r="O281" s="275">
        <f t="shared" si="219"/>
        <v>0</v>
      </c>
    </row>
    <row r="282" spans="1:15" ht="15.9" customHeight="1" thickTop="1" thickBot="1" x14ac:dyDescent="0.4">
      <c r="A282" s="275">
        <f>IF(O282=1,SUM($O$138:O282),0)</f>
        <v>0</v>
      </c>
      <c r="B282" s="257">
        <f>IF(O282=1,SUM($O$41:O282),0)</f>
        <v>0</v>
      </c>
      <c r="C282" s="273">
        <v>241</v>
      </c>
      <c r="D282" s="274" t="s">
        <v>493</v>
      </c>
      <c r="E282" s="262"/>
      <c r="F282" s="307">
        <v>10</v>
      </c>
      <c r="G282" s="309" t="s">
        <v>27</v>
      </c>
      <c r="H282" s="308"/>
      <c r="I282" s="269" t="s">
        <v>20</v>
      </c>
      <c r="J282" s="274">
        <f t="shared" ref="J282:J291" si="229">SUMIFS($BE$14:$BE$38,$BD$14:$BD$38,F282,$BC$14:$BC$38,"هيولايت",$AC$14:$AC$38,"مدمج")</f>
        <v>0</v>
      </c>
      <c r="K282" s="270"/>
      <c r="L282" s="274">
        <f>VLOOKUP(F282,'قائمة الأسعار'!$D$265:$F$275,3,0)</f>
        <v>1</v>
      </c>
      <c r="M282" s="282">
        <f t="shared" si="228"/>
        <v>0</v>
      </c>
      <c r="N282" s="412"/>
      <c r="O282" s="275">
        <f t="shared" si="219"/>
        <v>0</v>
      </c>
    </row>
    <row r="283" spans="1:15" ht="15.9" customHeight="1" thickTop="1" thickBot="1" x14ac:dyDescent="0.4">
      <c r="A283" s="275">
        <f>IF(O283=1,SUM($O$138:O283),0)</f>
        <v>0</v>
      </c>
      <c r="B283" s="257">
        <f>IF(O283=1,SUM($O$41:O283),0)</f>
        <v>0</v>
      </c>
      <c r="C283" s="273">
        <v>242</v>
      </c>
      <c r="D283" s="274" t="s">
        <v>493</v>
      </c>
      <c r="E283" s="262"/>
      <c r="F283" s="307">
        <v>15</v>
      </c>
      <c r="G283" s="309" t="s">
        <v>27</v>
      </c>
      <c r="H283" s="308"/>
      <c r="I283" s="269" t="s">
        <v>20</v>
      </c>
      <c r="J283" s="274">
        <f t="shared" si="229"/>
        <v>0</v>
      </c>
      <c r="K283" s="270"/>
      <c r="L283" s="274">
        <f>VLOOKUP(F283,'قائمة الأسعار'!$D$265:$F$275,3,0)</f>
        <v>1</v>
      </c>
      <c r="M283" s="282">
        <f t="shared" si="228"/>
        <v>0</v>
      </c>
      <c r="N283" s="412"/>
      <c r="O283" s="275">
        <f t="shared" si="219"/>
        <v>0</v>
      </c>
    </row>
    <row r="284" spans="1:15" ht="15.9" customHeight="1" thickTop="1" thickBot="1" x14ac:dyDescent="0.4">
      <c r="A284" s="275">
        <f>IF(O284=1,SUM($O$138:O284),0)</f>
        <v>0</v>
      </c>
      <c r="B284" s="257">
        <f>IF(O284=1,SUM($O$41:O284),0)</f>
        <v>0</v>
      </c>
      <c r="C284" s="273">
        <v>243</v>
      </c>
      <c r="D284" s="274" t="s">
        <v>493</v>
      </c>
      <c r="E284" s="262"/>
      <c r="F284" s="307">
        <v>20</v>
      </c>
      <c r="G284" s="309" t="s">
        <v>27</v>
      </c>
      <c r="H284" s="308"/>
      <c r="I284" s="269" t="s">
        <v>20</v>
      </c>
      <c r="J284" s="274">
        <f t="shared" si="229"/>
        <v>0</v>
      </c>
      <c r="K284" s="270"/>
      <c r="L284" s="274">
        <f>VLOOKUP(F284,'قائمة الأسعار'!$D$265:$F$275,3,0)</f>
        <v>1</v>
      </c>
      <c r="M284" s="282">
        <f t="shared" si="228"/>
        <v>0</v>
      </c>
      <c r="N284" s="412"/>
      <c r="O284" s="275">
        <f t="shared" si="219"/>
        <v>0</v>
      </c>
    </row>
    <row r="285" spans="1:15" ht="15.9" customHeight="1" thickTop="1" thickBot="1" x14ac:dyDescent="0.4">
      <c r="A285" s="275">
        <f>IF(O285=1,SUM($O$138:O285),0)</f>
        <v>0</v>
      </c>
      <c r="B285" s="257">
        <f>IF(O285=1,SUM($O$41:O285),0)</f>
        <v>0</v>
      </c>
      <c r="C285" s="273">
        <v>244</v>
      </c>
      <c r="D285" s="274" t="s">
        <v>493</v>
      </c>
      <c r="E285" s="262"/>
      <c r="F285" s="307">
        <v>30</v>
      </c>
      <c r="G285" s="309" t="s">
        <v>27</v>
      </c>
      <c r="H285" s="308"/>
      <c r="I285" s="269" t="s">
        <v>20</v>
      </c>
      <c r="J285" s="274">
        <f t="shared" si="229"/>
        <v>0</v>
      </c>
      <c r="K285" s="270"/>
      <c r="L285" s="274">
        <f>VLOOKUP(F285,'قائمة الأسعار'!$D$265:$F$275,3,0)</f>
        <v>1</v>
      </c>
      <c r="M285" s="282">
        <f t="shared" si="228"/>
        <v>0</v>
      </c>
      <c r="N285" s="412"/>
      <c r="O285" s="275">
        <f t="shared" si="219"/>
        <v>0</v>
      </c>
    </row>
    <row r="286" spans="1:15" ht="15.9" customHeight="1" thickTop="1" thickBot="1" x14ac:dyDescent="0.4">
      <c r="A286" s="275">
        <f>IF(O286=1,SUM($O$138:O286),0)</f>
        <v>0</v>
      </c>
      <c r="B286" s="257">
        <f>IF(O286=1,SUM($O$41:O286),0)</f>
        <v>0</v>
      </c>
      <c r="C286" s="273">
        <v>245</v>
      </c>
      <c r="D286" s="274" t="s">
        <v>493</v>
      </c>
      <c r="E286" s="262"/>
      <c r="F286" s="307">
        <v>40</v>
      </c>
      <c r="G286" s="309" t="s">
        <v>27</v>
      </c>
      <c r="H286" s="308"/>
      <c r="I286" s="269" t="s">
        <v>20</v>
      </c>
      <c r="J286" s="274">
        <f t="shared" si="229"/>
        <v>0</v>
      </c>
      <c r="K286" s="270"/>
      <c r="L286" s="274">
        <f>VLOOKUP(F286,'قائمة الأسعار'!$D$265:$F$275,3,0)</f>
        <v>1</v>
      </c>
      <c r="M286" s="282">
        <f t="shared" si="228"/>
        <v>0</v>
      </c>
      <c r="N286" s="412"/>
      <c r="O286" s="275">
        <f t="shared" si="219"/>
        <v>0</v>
      </c>
    </row>
    <row r="287" spans="1:15" ht="15.9" customHeight="1" thickTop="1" thickBot="1" x14ac:dyDescent="0.4">
      <c r="A287" s="275">
        <f>IF(O287=1,SUM($O$138:O287),0)</f>
        <v>0</v>
      </c>
      <c r="B287" s="257">
        <f>IF(O287=1,SUM($O$41:O287),0)</f>
        <v>0</v>
      </c>
      <c r="C287" s="273">
        <v>246</v>
      </c>
      <c r="D287" s="274" t="s">
        <v>493</v>
      </c>
      <c r="E287" s="262"/>
      <c r="F287" s="307">
        <v>50</v>
      </c>
      <c r="G287" s="309" t="s">
        <v>27</v>
      </c>
      <c r="H287" s="308"/>
      <c r="I287" s="269" t="s">
        <v>20</v>
      </c>
      <c r="J287" s="274">
        <f t="shared" si="229"/>
        <v>0</v>
      </c>
      <c r="K287" s="270"/>
      <c r="L287" s="274">
        <f>VLOOKUP(F287,'قائمة الأسعار'!$D$265:$F$275,3,0)</f>
        <v>1</v>
      </c>
      <c r="M287" s="282">
        <f t="shared" si="228"/>
        <v>0</v>
      </c>
      <c r="N287" s="412"/>
      <c r="O287" s="275">
        <f t="shared" si="219"/>
        <v>0</v>
      </c>
    </row>
    <row r="288" spans="1:15" ht="15.9" customHeight="1" thickTop="1" thickBot="1" x14ac:dyDescent="0.4">
      <c r="A288" s="275">
        <f>IF(O288=1,SUM($O$138:O288),0)</f>
        <v>0</v>
      </c>
      <c r="B288" s="257">
        <f>IF(O288=1,SUM($O$41:O288),0)</f>
        <v>0</v>
      </c>
      <c r="C288" s="273">
        <v>247</v>
      </c>
      <c r="D288" s="274" t="s">
        <v>493</v>
      </c>
      <c r="E288" s="262"/>
      <c r="F288" s="307">
        <v>60</v>
      </c>
      <c r="G288" s="309" t="s">
        <v>27</v>
      </c>
      <c r="H288" s="308"/>
      <c r="I288" s="269" t="s">
        <v>20</v>
      </c>
      <c r="J288" s="274">
        <f t="shared" si="229"/>
        <v>0</v>
      </c>
      <c r="K288" s="270"/>
      <c r="L288" s="274">
        <f>VLOOKUP(F288,'قائمة الأسعار'!$D$265:$F$275,3,0)</f>
        <v>1</v>
      </c>
      <c r="M288" s="282">
        <f t="shared" si="228"/>
        <v>0</v>
      </c>
      <c r="N288" s="412"/>
      <c r="O288" s="275">
        <f t="shared" si="219"/>
        <v>0</v>
      </c>
    </row>
    <row r="289" spans="1:15" ht="15.9" customHeight="1" thickTop="1" thickBot="1" x14ac:dyDescent="0.4">
      <c r="A289" s="275">
        <f>IF(O289=1,SUM($O$138:O289),0)</f>
        <v>0</v>
      </c>
      <c r="B289" s="257">
        <f>IF(O289=1,SUM($O$41:O289),0)</f>
        <v>0</v>
      </c>
      <c r="C289" s="273">
        <v>248</v>
      </c>
      <c r="D289" s="274" t="s">
        <v>493</v>
      </c>
      <c r="E289" s="262"/>
      <c r="F289" s="307">
        <v>80</v>
      </c>
      <c r="G289" s="309" t="s">
        <v>27</v>
      </c>
      <c r="H289" s="308"/>
      <c r="I289" s="269" t="s">
        <v>20</v>
      </c>
      <c r="J289" s="274">
        <f t="shared" si="229"/>
        <v>0</v>
      </c>
      <c r="K289" s="270"/>
      <c r="L289" s="274">
        <f>VLOOKUP(F289,'قائمة الأسعار'!$D$265:$F$275,3,0)</f>
        <v>1</v>
      </c>
      <c r="M289" s="282">
        <f>L289*J289</f>
        <v>0</v>
      </c>
      <c r="N289" s="412"/>
      <c r="O289" s="275">
        <f t="shared" ref="O289:O352" si="230">IF(M289&gt;0,1,0)</f>
        <v>0</v>
      </c>
    </row>
    <row r="290" spans="1:15" ht="15.9" customHeight="1" thickTop="1" thickBot="1" x14ac:dyDescent="0.4">
      <c r="A290" s="275">
        <f>IF(O290=1,SUM($O$138:O290),0)</f>
        <v>0</v>
      </c>
      <c r="B290" s="257">
        <f>IF(O290=1,SUM($O$41:O290),0)</f>
        <v>0</v>
      </c>
      <c r="C290" s="273">
        <v>249</v>
      </c>
      <c r="D290" s="274" t="s">
        <v>493</v>
      </c>
      <c r="E290" s="262"/>
      <c r="F290" s="307">
        <v>100</v>
      </c>
      <c r="G290" s="309" t="s">
        <v>27</v>
      </c>
      <c r="H290" s="308"/>
      <c r="I290" s="269" t="s">
        <v>20</v>
      </c>
      <c r="J290" s="274">
        <f t="shared" si="229"/>
        <v>0</v>
      </c>
      <c r="K290" s="270"/>
      <c r="L290" s="274">
        <f>VLOOKUP(F290,'قائمة الأسعار'!$D$265:$F$275,3,0)</f>
        <v>1</v>
      </c>
      <c r="M290" s="282">
        <f t="shared" ref="M290:M321" si="231">L290*J290</f>
        <v>0</v>
      </c>
      <c r="N290" s="412"/>
      <c r="O290" s="275">
        <f t="shared" si="230"/>
        <v>0</v>
      </c>
    </row>
    <row r="291" spans="1:15" ht="15.9" customHeight="1" thickTop="1" thickBot="1" x14ac:dyDescent="0.4">
      <c r="A291" s="275">
        <f>IF(O291=1,SUM($O$138:O291),0)</f>
        <v>0</v>
      </c>
      <c r="B291" s="257">
        <f>IF(O291=1,SUM($O$41:O291),0)</f>
        <v>0</v>
      </c>
      <c r="C291" s="273">
        <v>250</v>
      </c>
      <c r="D291" s="274" t="s">
        <v>493</v>
      </c>
      <c r="E291" s="262"/>
      <c r="F291" s="307">
        <v>120</v>
      </c>
      <c r="G291" s="309" t="s">
        <v>27</v>
      </c>
      <c r="H291" s="308"/>
      <c r="I291" s="269" t="s">
        <v>20</v>
      </c>
      <c r="J291" s="274">
        <f t="shared" si="229"/>
        <v>0</v>
      </c>
      <c r="K291" s="270"/>
      <c r="L291" s="274">
        <f>VLOOKUP(F291,'قائمة الأسعار'!$D$265:$F$275,3,0)</f>
        <v>1</v>
      </c>
      <c r="M291" s="282">
        <f t="shared" si="231"/>
        <v>0</v>
      </c>
      <c r="N291" s="412"/>
      <c r="O291" s="275">
        <f t="shared" si="230"/>
        <v>0</v>
      </c>
    </row>
    <row r="292" spans="1:15" ht="15.9" customHeight="1" thickTop="1" thickBot="1" x14ac:dyDescent="0.4">
      <c r="A292" s="275">
        <f>IF(O292=1,SUM($O$138:O292),0)</f>
        <v>0</v>
      </c>
      <c r="B292" s="257">
        <f>IF(O292=1,SUM($O$41:O292),0)</f>
        <v>0</v>
      </c>
      <c r="C292" s="273">
        <v>251</v>
      </c>
      <c r="D292" s="274" t="s">
        <v>494</v>
      </c>
      <c r="E292" s="274"/>
      <c r="F292" s="307">
        <v>8</v>
      </c>
      <c r="G292" s="309" t="s">
        <v>27</v>
      </c>
      <c r="H292" s="308"/>
      <c r="I292" s="309" t="s">
        <v>20</v>
      </c>
      <c r="J292" s="274">
        <f>SUMIFS($BE$14:$BE$38,$BD$14:$BD$38,F292,$BC$14:$BC$38,"somfy",$AC$14:$AC$38,"مانافيلا")</f>
        <v>0</v>
      </c>
      <c r="K292" s="274"/>
      <c r="L292" s="274">
        <f>VLOOKUP(F292,'قائمة الأسعار'!$D$277:$F$287,3,0)</f>
        <v>1</v>
      </c>
      <c r="M292" s="282">
        <f t="shared" si="231"/>
        <v>0</v>
      </c>
      <c r="N292" s="412"/>
      <c r="O292" s="275">
        <f t="shared" si="230"/>
        <v>0</v>
      </c>
    </row>
    <row r="293" spans="1:15" ht="15.9" customHeight="1" thickTop="1" thickBot="1" x14ac:dyDescent="0.4">
      <c r="A293" s="275">
        <f>IF(O293=1,SUM($O$138:O293),0)</f>
        <v>0</v>
      </c>
      <c r="B293" s="257">
        <f>IF(O293=1,SUM($O$41:O293),0)</f>
        <v>0</v>
      </c>
      <c r="C293" s="273">
        <v>252</v>
      </c>
      <c r="D293" s="274" t="s">
        <v>494</v>
      </c>
      <c r="E293" s="274"/>
      <c r="F293" s="307">
        <v>10</v>
      </c>
      <c r="G293" s="309" t="s">
        <v>27</v>
      </c>
      <c r="H293" s="308"/>
      <c r="I293" s="309" t="s">
        <v>20</v>
      </c>
      <c r="J293" s="274">
        <f t="shared" ref="J293:J302" si="232">SUMIFS($BE$14:$BE$38,$BD$14:$BD$38,F293,$BC$14:$BC$38,"somfy",$AC$14:$AC$38,"مانافيلا")</f>
        <v>0</v>
      </c>
      <c r="K293" s="274"/>
      <c r="L293" s="274">
        <f>VLOOKUP(F293,'قائمة الأسعار'!$D$277:$F$287,3,0)</f>
        <v>1</v>
      </c>
      <c r="M293" s="282">
        <f t="shared" si="231"/>
        <v>0</v>
      </c>
      <c r="N293" s="412"/>
      <c r="O293" s="275">
        <f t="shared" si="230"/>
        <v>0</v>
      </c>
    </row>
    <row r="294" spans="1:15" ht="15.9" customHeight="1" thickTop="1" thickBot="1" x14ac:dyDescent="0.4">
      <c r="A294" s="275">
        <f>IF(O294=1,SUM($O$138:O294),0)</f>
        <v>0</v>
      </c>
      <c r="B294" s="257">
        <f>IF(O294=1,SUM($O$41:O294),0)</f>
        <v>0</v>
      </c>
      <c r="C294" s="273">
        <v>253</v>
      </c>
      <c r="D294" s="274" t="s">
        <v>494</v>
      </c>
      <c r="E294" s="274"/>
      <c r="F294" s="307">
        <v>15</v>
      </c>
      <c r="G294" s="309" t="s">
        <v>27</v>
      </c>
      <c r="H294" s="308"/>
      <c r="I294" s="309" t="s">
        <v>20</v>
      </c>
      <c r="J294" s="274">
        <f t="shared" si="232"/>
        <v>0</v>
      </c>
      <c r="K294" s="274"/>
      <c r="L294" s="274">
        <f>VLOOKUP(F294,'قائمة الأسعار'!$D$277:$F$287,3,0)</f>
        <v>1</v>
      </c>
      <c r="M294" s="282">
        <f t="shared" si="231"/>
        <v>0</v>
      </c>
      <c r="N294" s="412"/>
      <c r="O294" s="275">
        <f t="shared" si="230"/>
        <v>0</v>
      </c>
    </row>
    <row r="295" spans="1:15" ht="15.9" customHeight="1" thickTop="1" thickBot="1" x14ac:dyDescent="0.4">
      <c r="A295" s="275">
        <f>IF(O295=1,SUM($O$138:O295),0)</f>
        <v>0</v>
      </c>
      <c r="B295" s="257">
        <f>IF(O295=1,SUM($O$41:O295),0)</f>
        <v>0</v>
      </c>
      <c r="C295" s="273">
        <v>254</v>
      </c>
      <c r="D295" s="274" t="s">
        <v>494</v>
      </c>
      <c r="E295" s="274"/>
      <c r="F295" s="307">
        <v>20</v>
      </c>
      <c r="G295" s="309" t="s">
        <v>27</v>
      </c>
      <c r="H295" s="308"/>
      <c r="I295" s="309" t="s">
        <v>20</v>
      </c>
      <c r="J295" s="274">
        <f t="shared" si="232"/>
        <v>0</v>
      </c>
      <c r="K295" s="274"/>
      <c r="L295" s="274">
        <f>VLOOKUP(F295,'قائمة الأسعار'!$D$277:$F$287,3,0)</f>
        <v>1</v>
      </c>
      <c r="M295" s="282">
        <f t="shared" si="231"/>
        <v>0</v>
      </c>
      <c r="N295" s="412"/>
      <c r="O295" s="275">
        <f t="shared" si="230"/>
        <v>0</v>
      </c>
    </row>
    <row r="296" spans="1:15" ht="15.9" customHeight="1" thickTop="1" thickBot="1" x14ac:dyDescent="0.4">
      <c r="A296" s="275">
        <f>IF(O296=1,SUM($O$138:O296),0)</f>
        <v>0</v>
      </c>
      <c r="B296" s="257">
        <f>IF(O296=1,SUM($O$41:O296),0)</f>
        <v>0</v>
      </c>
      <c r="C296" s="273">
        <v>255</v>
      </c>
      <c r="D296" s="274" t="s">
        <v>494</v>
      </c>
      <c r="E296" s="274"/>
      <c r="F296" s="307">
        <v>30</v>
      </c>
      <c r="G296" s="309" t="s">
        <v>27</v>
      </c>
      <c r="H296" s="308"/>
      <c r="I296" s="309" t="s">
        <v>20</v>
      </c>
      <c r="J296" s="274">
        <f t="shared" si="232"/>
        <v>0</v>
      </c>
      <c r="K296" s="274"/>
      <c r="L296" s="274">
        <f>VLOOKUP(F296,'قائمة الأسعار'!$D$277:$F$287,3,0)</f>
        <v>1</v>
      </c>
      <c r="M296" s="282">
        <f t="shared" si="231"/>
        <v>0</v>
      </c>
      <c r="N296" s="412"/>
      <c r="O296" s="275">
        <f t="shared" si="230"/>
        <v>0</v>
      </c>
    </row>
    <row r="297" spans="1:15" ht="15.9" customHeight="1" thickTop="1" thickBot="1" x14ac:dyDescent="0.4">
      <c r="A297" s="275">
        <f>IF(O297=1,SUM($O$138:O297),0)</f>
        <v>0</v>
      </c>
      <c r="B297" s="257">
        <f>IF(O297=1,SUM($O$41:O297),0)</f>
        <v>0</v>
      </c>
      <c r="C297" s="273">
        <v>256</v>
      </c>
      <c r="D297" s="274" t="s">
        <v>494</v>
      </c>
      <c r="E297" s="274"/>
      <c r="F297" s="307">
        <v>40</v>
      </c>
      <c r="G297" s="309" t="s">
        <v>27</v>
      </c>
      <c r="H297" s="308"/>
      <c r="I297" s="309" t="s">
        <v>20</v>
      </c>
      <c r="J297" s="274">
        <f t="shared" si="232"/>
        <v>0</v>
      </c>
      <c r="K297" s="274"/>
      <c r="L297" s="274">
        <f>VLOOKUP(F297,'قائمة الأسعار'!$D$277:$F$287,3,0)</f>
        <v>1</v>
      </c>
      <c r="M297" s="282">
        <f t="shared" si="231"/>
        <v>0</v>
      </c>
      <c r="N297" s="412"/>
      <c r="O297" s="275">
        <f t="shared" si="230"/>
        <v>0</v>
      </c>
    </row>
    <row r="298" spans="1:15" ht="15.9" customHeight="1" thickTop="1" thickBot="1" x14ac:dyDescent="0.4">
      <c r="A298" s="275">
        <f>IF(O298=1,SUM($O$138:O298),0)</f>
        <v>0</v>
      </c>
      <c r="B298" s="257">
        <f>IF(O298=1,SUM($O$41:O298),0)</f>
        <v>0</v>
      </c>
      <c r="C298" s="273">
        <v>257</v>
      </c>
      <c r="D298" s="274" t="s">
        <v>494</v>
      </c>
      <c r="E298" s="274"/>
      <c r="F298" s="307">
        <v>50</v>
      </c>
      <c r="G298" s="309" t="s">
        <v>27</v>
      </c>
      <c r="H298" s="308"/>
      <c r="I298" s="309" t="s">
        <v>20</v>
      </c>
      <c r="J298" s="274">
        <f t="shared" si="232"/>
        <v>0</v>
      </c>
      <c r="K298" s="274"/>
      <c r="L298" s="274">
        <f>VLOOKUP(F298,'قائمة الأسعار'!$D$277:$F$287,3,0)</f>
        <v>1</v>
      </c>
      <c r="M298" s="282">
        <f t="shared" si="231"/>
        <v>0</v>
      </c>
      <c r="N298" s="412"/>
      <c r="O298" s="275">
        <f t="shared" si="230"/>
        <v>0</v>
      </c>
    </row>
    <row r="299" spans="1:15" ht="15.9" customHeight="1" thickTop="1" thickBot="1" x14ac:dyDescent="0.4">
      <c r="A299" s="275">
        <f>IF(O299=1,SUM($O$138:O299),0)</f>
        <v>0</v>
      </c>
      <c r="B299" s="257">
        <f>IF(O299=1,SUM($O$41:O299),0)</f>
        <v>0</v>
      </c>
      <c r="C299" s="273">
        <v>258</v>
      </c>
      <c r="D299" s="274" t="s">
        <v>494</v>
      </c>
      <c r="E299" s="274"/>
      <c r="F299" s="307">
        <v>60</v>
      </c>
      <c r="G299" s="309" t="s">
        <v>27</v>
      </c>
      <c r="H299" s="308"/>
      <c r="I299" s="309" t="s">
        <v>20</v>
      </c>
      <c r="J299" s="274">
        <f t="shared" si="232"/>
        <v>0</v>
      </c>
      <c r="K299" s="274"/>
      <c r="L299" s="274">
        <f>VLOOKUP(F299,'قائمة الأسعار'!$D$277:$F$287,3,0)</f>
        <v>1</v>
      </c>
      <c r="M299" s="282">
        <f t="shared" si="231"/>
        <v>0</v>
      </c>
      <c r="N299" s="412"/>
      <c r="O299" s="275">
        <f t="shared" si="230"/>
        <v>0</v>
      </c>
    </row>
    <row r="300" spans="1:15" ht="15.9" customHeight="1" thickTop="1" thickBot="1" x14ac:dyDescent="0.4">
      <c r="A300" s="275">
        <f>IF(O300=1,SUM($O$138:O300),0)</f>
        <v>0</v>
      </c>
      <c r="B300" s="257">
        <f>IF(O300=1,SUM($O$41:O300),0)</f>
        <v>0</v>
      </c>
      <c r="C300" s="273">
        <v>259</v>
      </c>
      <c r="D300" s="274" t="s">
        <v>494</v>
      </c>
      <c r="E300" s="274"/>
      <c r="F300" s="307">
        <v>80</v>
      </c>
      <c r="G300" s="309" t="s">
        <v>27</v>
      </c>
      <c r="H300" s="308"/>
      <c r="I300" s="309" t="s">
        <v>20</v>
      </c>
      <c r="J300" s="274">
        <f t="shared" si="232"/>
        <v>0</v>
      </c>
      <c r="K300" s="274"/>
      <c r="L300" s="274">
        <f>VLOOKUP(F300,'قائمة الأسعار'!$D$277:$F$287,3,0)</f>
        <v>1</v>
      </c>
      <c r="M300" s="282">
        <f t="shared" si="231"/>
        <v>0</v>
      </c>
      <c r="N300" s="412"/>
      <c r="O300" s="275">
        <f t="shared" si="230"/>
        <v>0</v>
      </c>
    </row>
    <row r="301" spans="1:15" ht="15.9" customHeight="1" thickTop="1" thickBot="1" x14ac:dyDescent="0.4">
      <c r="A301" s="275">
        <f>IF(O301=1,SUM($O$138:O301),0)</f>
        <v>0</v>
      </c>
      <c r="B301" s="257">
        <f>IF(O301=1,SUM($O$41:O301),0)</f>
        <v>0</v>
      </c>
      <c r="C301" s="273">
        <v>260</v>
      </c>
      <c r="D301" s="274" t="s">
        <v>494</v>
      </c>
      <c r="E301" s="274"/>
      <c r="F301" s="307">
        <v>100</v>
      </c>
      <c r="G301" s="309" t="s">
        <v>27</v>
      </c>
      <c r="H301" s="308"/>
      <c r="I301" s="309" t="s">
        <v>20</v>
      </c>
      <c r="J301" s="274">
        <f t="shared" si="232"/>
        <v>0</v>
      </c>
      <c r="K301" s="274"/>
      <c r="L301" s="274">
        <f>VLOOKUP(F301,'قائمة الأسعار'!$D$277:$F$287,3,0)</f>
        <v>1</v>
      </c>
      <c r="M301" s="282">
        <f t="shared" si="231"/>
        <v>0</v>
      </c>
      <c r="N301" s="412"/>
      <c r="O301" s="275">
        <f t="shared" si="230"/>
        <v>0</v>
      </c>
    </row>
    <row r="302" spans="1:15" ht="15.9" customHeight="1" thickTop="1" thickBot="1" x14ac:dyDescent="0.4">
      <c r="A302" s="275">
        <f>IF(O302=1,SUM($O$138:O302),0)</f>
        <v>0</v>
      </c>
      <c r="B302" s="257">
        <f>IF(O302=1,SUM($O$41:O302),0)</f>
        <v>0</v>
      </c>
      <c r="C302" s="273">
        <v>261</v>
      </c>
      <c r="D302" s="274" t="s">
        <v>494</v>
      </c>
      <c r="E302" s="274"/>
      <c r="F302" s="307">
        <v>120</v>
      </c>
      <c r="G302" s="309" t="s">
        <v>27</v>
      </c>
      <c r="H302" s="308"/>
      <c r="I302" s="309" t="s">
        <v>20</v>
      </c>
      <c r="J302" s="274">
        <f t="shared" si="232"/>
        <v>0</v>
      </c>
      <c r="K302" s="274"/>
      <c r="L302" s="274">
        <f>VLOOKUP(F302,'قائمة الأسعار'!$D$277:$F$287,3,0)</f>
        <v>1</v>
      </c>
      <c r="M302" s="282">
        <f t="shared" si="231"/>
        <v>0</v>
      </c>
      <c r="N302" s="412"/>
      <c r="O302" s="275">
        <f t="shared" si="230"/>
        <v>0</v>
      </c>
    </row>
    <row r="303" spans="1:15" ht="15.9" customHeight="1" thickTop="1" thickBot="1" x14ac:dyDescent="0.4">
      <c r="A303" s="275">
        <f>IF(O303=1,SUM($O$138:O303),0)</f>
        <v>0</v>
      </c>
      <c r="B303" s="257">
        <f>IF(O303=1,SUM($O$41:O303),0)</f>
        <v>0</v>
      </c>
      <c r="C303" s="273">
        <v>262</v>
      </c>
      <c r="D303" s="274" t="s">
        <v>335</v>
      </c>
      <c r="E303" s="274"/>
      <c r="F303" s="307" t="s">
        <v>116</v>
      </c>
      <c r="G303" s="309" t="s">
        <v>27</v>
      </c>
      <c r="H303" s="308"/>
      <c r="I303" s="309" t="s">
        <v>20</v>
      </c>
      <c r="J303" s="274">
        <f>SUMIFS($BE$14:$BE$38,$BD$14:$BD$38,"error",$AC$14:$AC$38,"مانافيلا")</f>
        <v>0</v>
      </c>
      <c r="K303" s="274"/>
      <c r="L303" s="274">
        <v>1</v>
      </c>
      <c r="M303" s="282">
        <f t="shared" si="231"/>
        <v>0</v>
      </c>
      <c r="N303" s="412"/>
      <c r="O303" s="275">
        <f t="shared" si="230"/>
        <v>0</v>
      </c>
    </row>
    <row r="304" spans="1:15" ht="15.9" customHeight="1" thickTop="1" thickBot="1" x14ac:dyDescent="0.4">
      <c r="A304" s="275">
        <f>IF(O304=1,SUM($O$138:O304),0)</f>
        <v>0</v>
      </c>
      <c r="B304" s="257">
        <f>IF(O304=1,SUM($O$41:O304),0)</f>
        <v>0</v>
      </c>
      <c r="C304" s="273">
        <v>263</v>
      </c>
      <c r="D304" s="274" t="s">
        <v>343</v>
      </c>
      <c r="E304" s="274"/>
      <c r="F304" s="307">
        <v>6</v>
      </c>
      <c r="G304" s="309" t="s">
        <v>27</v>
      </c>
      <c r="H304" s="308"/>
      <c r="I304" s="309" t="s">
        <v>20</v>
      </c>
      <c r="J304" s="274">
        <f>SUMIFS($BE$14:$BE$38,$BD$14:$BD$38,F304,$BC$14:$BC$38,"asa",$AC$14:$AC$38,"مانافيلا")</f>
        <v>0</v>
      </c>
      <c r="K304" s="274"/>
      <c r="L304" s="274">
        <f>VLOOKUP(F304,'قائمة الأسعار'!$D$289:$F$298,3,0)</f>
        <v>1</v>
      </c>
      <c r="M304" s="282">
        <f t="shared" si="231"/>
        <v>0</v>
      </c>
      <c r="N304" s="412"/>
      <c r="O304" s="275">
        <f t="shared" si="230"/>
        <v>0</v>
      </c>
    </row>
    <row r="305" spans="1:15" ht="15.9" customHeight="1" thickTop="1" thickBot="1" x14ac:dyDescent="0.4">
      <c r="A305" s="275">
        <f>IF(O305=1,SUM($O$138:O305),0)</f>
        <v>0</v>
      </c>
      <c r="B305" s="257">
        <f>IF(O305=1,SUM($O$41:O305),0)</f>
        <v>0</v>
      </c>
      <c r="C305" s="273">
        <v>264</v>
      </c>
      <c r="D305" s="274" t="s">
        <v>343</v>
      </c>
      <c r="E305" s="274"/>
      <c r="F305" s="307">
        <v>10</v>
      </c>
      <c r="G305" s="309" t="s">
        <v>27</v>
      </c>
      <c r="H305" s="308"/>
      <c r="I305" s="309" t="s">
        <v>20</v>
      </c>
      <c r="J305" s="274">
        <f t="shared" ref="J305:J313" si="233">SUMIFS($BE$14:$BE$38,$BD$14:$BD$38,F305,$BC$14:$BC$38,"asa",$AC$14:$AC$38,"مانافيلا")</f>
        <v>0</v>
      </c>
      <c r="K305" s="274"/>
      <c r="L305" s="274">
        <f>VLOOKUP(F305,'قائمة الأسعار'!$D$289:$F$298,3,0)</f>
        <v>1</v>
      </c>
      <c r="M305" s="282">
        <f t="shared" si="231"/>
        <v>0</v>
      </c>
      <c r="N305" s="412"/>
      <c r="O305" s="275">
        <f t="shared" si="230"/>
        <v>0</v>
      </c>
    </row>
    <row r="306" spans="1:15" ht="15.9" customHeight="1" thickTop="1" thickBot="1" x14ac:dyDescent="0.4">
      <c r="A306" s="275">
        <f>IF(O306=1,SUM($O$138:O306),0)</f>
        <v>0</v>
      </c>
      <c r="B306" s="257">
        <f>IF(O306=1,SUM($O$41:O306),0)</f>
        <v>0</v>
      </c>
      <c r="C306" s="273">
        <v>265</v>
      </c>
      <c r="D306" s="274" t="s">
        <v>343</v>
      </c>
      <c r="E306" s="274"/>
      <c r="F306" s="307">
        <v>20</v>
      </c>
      <c r="G306" s="309" t="s">
        <v>27</v>
      </c>
      <c r="H306" s="308"/>
      <c r="I306" s="309" t="s">
        <v>20</v>
      </c>
      <c r="J306" s="274">
        <f t="shared" si="233"/>
        <v>0</v>
      </c>
      <c r="K306" s="274"/>
      <c r="L306" s="274">
        <f>VLOOKUP(F306,'قائمة الأسعار'!$D$289:$F$298,3,0)</f>
        <v>1</v>
      </c>
      <c r="M306" s="282">
        <f t="shared" si="231"/>
        <v>0</v>
      </c>
      <c r="N306" s="412"/>
      <c r="O306" s="275">
        <f t="shared" si="230"/>
        <v>0</v>
      </c>
    </row>
    <row r="307" spans="1:15" ht="15.9" customHeight="1" thickTop="1" thickBot="1" x14ac:dyDescent="0.4">
      <c r="A307" s="275">
        <f>IF(O307=1,SUM($O$138:O307),0)</f>
        <v>0</v>
      </c>
      <c r="B307" s="257">
        <f>IF(O307=1,SUM($O$41:O307),0)</f>
        <v>0</v>
      </c>
      <c r="C307" s="273">
        <v>266</v>
      </c>
      <c r="D307" s="274" t="s">
        <v>343</v>
      </c>
      <c r="E307" s="274"/>
      <c r="F307" s="307">
        <v>30</v>
      </c>
      <c r="G307" s="309" t="s">
        <v>27</v>
      </c>
      <c r="H307" s="308"/>
      <c r="I307" s="309" t="s">
        <v>20</v>
      </c>
      <c r="J307" s="274">
        <f t="shared" si="233"/>
        <v>0</v>
      </c>
      <c r="K307" s="274"/>
      <c r="L307" s="274">
        <f>VLOOKUP(F307,'قائمة الأسعار'!$D$289:$F$298,3,0)</f>
        <v>1</v>
      </c>
      <c r="M307" s="282">
        <f t="shared" si="231"/>
        <v>0</v>
      </c>
      <c r="N307" s="412"/>
      <c r="O307" s="275">
        <f t="shared" si="230"/>
        <v>0</v>
      </c>
    </row>
    <row r="308" spans="1:15" ht="15.9" customHeight="1" thickTop="1" thickBot="1" x14ac:dyDescent="0.4">
      <c r="A308" s="275">
        <f>IF(O308=1,SUM($O$138:O308),0)</f>
        <v>0</v>
      </c>
      <c r="B308" s="257">
        <f>IF(O308=1,SUM($O$41:O308),0)</f>
        <v>0</v>
      </c>
      <c r="C308" s="273">
        <v>267</v>
      </c>
      <c r="D308" s="274" t="s">
        <v>343</v>
      </c>
      <c r="E308" s="274"/>
      <c r="F308" s="307">
        <v>40</v>
      </c>
      <c r="G308" s="309" t="s">
        <v>27</v>
      </c>
      <c r="H308" s="308"/>
      <c r="I308" s="309" t="s">
        <v>20</v>
      </c>
      <c r="J308" s="274">
        <f t="shared" si="233"/>
        <v>0</v>
      </c>
      <c r="K308" s="274"/>
      <c r="L308" s="274">
        <f>VLOOKUP(F308,'قائمة الأسعار'!$D$289:$F$298,3,0)</f>
        <v>1</v>
      </c>
      <c r="M308" s="282">
        <f t="shared" si="231"/>
        <v>0</v>
      </c>
      <c r="N308" s="412"/>
      <c r="O308" s="275">
        <f t="shared" si="230"/>
        <v>0</v>
      </c>
    </row>
    <row r="309" spans="1:15" ht="15.9" customHeight="1" thickTop="1" thickBot="1" x14ac:dyDescent="0.4">
      <c r="A309" s="275">
        <f>IF(O309=1,SUM($O$138:O309),0)</f>
        <v>0</v>
      </c>
      <c r="B309" s="257">
        <f>IF(O309=1,SUM($O$41:O309),0)</f>
        <v>0</v>
      </c>
      <c r="C309" s="273">
        <v>268</v>
      </c>
      <c r="D309" s="274" t="s">
        <v>343</v>
      </c>
      <c r="E309" s="274"/>
      <c r="F309" s="307">
        <v>50</v>
      </c>
      <c r="G309" s="309" t="s">
        <v>27</v>
      </c>
      <c r="H309" s="308"/>
      <c r="I309" s="309" t="s">
        <v>20</v>
      </c>
      <c r="J309" s="274">
        <f t="shared" si="233"/>
        <v>0</v>
      </c>
      <c r="K309" s="274"/>
      <c r="L309" s="274">
        <f>VLOOKUP(F309,'قائمة الأسعار'!$D$289:$F$298,3,0)</f>
        <v>1</v>
      </c>
      <c r="M309" s="282">
        <f t="shared" si="231"/>
        <v>0</v>
      </c>
      <c r="N309" s="412"/>
      <c r="O309" s="275">
        <f t="shared" si="230"/>
        <v>0</v>
      </c>
    </row>
    <row r="310" spans="1:15" ht="15.9" customHeight="1" thickTop="1" thickBot="1" x14ac:dyDescent="0.4">
      <c r="A310" s="275">
        <f>IF(O310=1,SUM($O$138:O310),0)</f>
        <v>0</v>
      </c>
      <c r="B310" s="257">
        <f>IF(O310=1,SUM($O$41:O310),0)</f>
        <v>0</v>
      </c>
      <c r="C310" s="273">
        <v>269</v>
      </c>
      <c r="D310" s="274" t="s">
        <v>343</v>
      </c>
      <c r="E310" s="274"/>
      <c r="F310" s="307">
        <v>60</v>
      </c>
      <c r="G310" s="309" t="s">
        <v>27</v>
      </c>
      <c r="H310" s="308"/>
      <c r="I310" s="309" t="s">
        <v>20</v>
      </c>
      <c r="J310" s="274">
        <f t="shared" si="233"/>
        <v>0</v>
      </c>
      <c r="K310" s="274"/>
      <c r="L310" s="274">
        <f>VLOOKUP(F310,'قائمة الأسعار'!$D$289:$F$298,3,0)</f>
        <v>1</v>
      </c>
      <c r="M310" s="282">
        <f t="shared" si="231"/>
        <v>0</v>
      </c>
      <c r="N310" s="412"/>
      <c r="O310" s="275">
        <f t="shared" si="230"/>
        <v>0</v>
      </c>
    </row>
    <row r="311" spans="1:15" ht="15.9" customHeight="1" thickTop="1" thickBot="1" x14ac:dyDescent="0.4">
      <c r="A311" s="275">
        <f>IF(O311=1,SUM($O$138:O311),0)</f>
        <v>0</v>
      </c>
      <c r="B311" s="257">
        <f>IF(O311=1,SUM($O$41:O311),0)</f>
        <v>0</v>
      </c>
      <c r="C311" s="273">
        <v>270</v>
      </c>
      <c r="D311" s="274" t="s">
        <v>343</v>
      </c>
      <c r="E311" s="274"/>
      <c r="F311" s="307">
        <v>80</v>
      </c>
      <c r="G311" s="309" t="s">
        <v>27</v>
      </c>
      <c r="H311" s="308"/>
      <c r="I311" s="309" t="s">
        <v>20</v>
      </c>
      <c r="J311" s="274">
        <f t="shared" si="233"/>
        <v>0</v>
      </c>
      <c r="K311" s="274"/>
      <c r="L311" s="274">
        <f>VLOOKUP(F311,'قائمة الأسعار'!$D$289:$F$298,3,0)</f>
        <v>1</v>
      </c>
      <c r="M311" s="282">
        <f t="shared" si="231"/>
        <v>0</v>
      </c>
      <c r="N311" s="412"/>
      <c r="O311" s="275">
        <f t="shared" si="230"/>
        <v>0</v>
      </c>
    </row>
    <row r="312" spans="1:15" ht="15.9" customHeight="1" thickTop="1" thickBot="1" x14ac:dyDescent="0.4">
      <c r="A312" s="275">
        <f>IF(O312=1,SUM($O$138:O312),0)</f>
        <v>0</v>
      </c>
      <c r="B312" s="257">
        <f>IF(O312=1,SUM($O$41:O312),0)</f>
        <v>0</v>
      </c>
      <c r="C312" s="273">
        <v>271</v>
      </c>
      <c r="D312" s="274" t="s">
        <v>343</v>
      </c>
      <c r="E312" s="274"/>
      <c r="F312" s="307">
        <v>100</v>
      </c>
      <c r="G312" s="309" t="s">
        <v>27</v>
      </c>
      <c r="H312" s="308"/>
      <c r="I312" s="309" t="s">
        <v>20</v>
      </c>
      <c r="J312" s="274">
        <f t="shared" si="233"/>
        <v>0</v>
      </c>
      <c r="K312" s="274"/>
      <c r="L312" s="274">
        <f>VLOOKUP(F312,'قائمة الأسعار'!$D$289:$F$298,3,0)</f>
        <v>1</v>
      </c>
      <c r="M312" s="282">
        <f t="shared" si="231"/>
        <v>0</v>
      </c>
      <c r="N312" s="412"/>
      <c r="O312" s="275">
        <f t="shared" si="230"/>
        <v>0</v>
      </c>
    </row>
    <row r="313" spans="1:15" ht="15.9" customHeight="1" thickTop="1" thickBot="1" x14ac:dyDescent="0.4">
      <c r="A313" s="275">
        <f>IF(O313=1,SUM($O$138:O313),0)</f>
        <v>0</v>
      </c>
      <c r="B313" s="257">
        <f>IF(O313=1,SUM($O$41:O313),0)</f>
        <v>0</v>
      </c>
      <c r="C313" s="273">
        <v>272</v>
      </c>
      <c r="D313" s="274" t="s">
        <v>343</v>
      </c>
      <c r="E313" s="274"/>
      <c r="F313" s="307">
        <v>120</v>
      </c>
      <c r="G313" s="309" t="s">
        <v>27</v>
      </c>
      <c r="H313" s="308"/>
      <c r="I313" s="309" t="s">
        <v>20</v>
      </c>
      <c r="J313" s="274">
        <f t="shared" si="233"/>
        <v>0</v>
      </c>
      <c r="K313" s="274"/>
      <c r="L313" s="274">
        <f>VLOOKUP(F313,'قائمة الأسعار'!$D$289:$F$298,3,0)</f>
        <v>1</v>
      </c>
      <c r="M313" s="282">
        <f t="shared" si="231"/>
        <v>0</v>
      </c>
      <c r="N313" s="412"/>
      <c r="O313" s="275">
        <f t="shared" si="230"/>
        <v>0</v>
      </c>
    </row>
    <row r="314" spans="1:15" ht="15.9" customHeight="1" thickTop="1" thickBot="1" x14ac:dyDescent="0.4">
      <c r="A314" s="275">
        <f>IF(O314=1,SUM($O$138:O314),0)</f>
        <v>0</v>
      </c>
      <c r="B314" s="257">
        <f>IF(O314=1,SUM($O$41:O314),0)</f>
        <v>0</v>
      </c>
      <c r="C314" s="273">
        <v>273</v>
      </c>
      <c r="D314" s="274" t="s">
        <v>344</v>
      </c>
      <c r="E314" s="274"/>
      <c r="F314" s="307">
        <v>6</v>
      </c>
      <c r="G314" s="309" t="s">
        <v>27</v>
      </c>
      <c r="H314" s="308"/>
      <c r="I314" s="309" t="s">
        <v>20</v>
      </c>
      <c r="J314" s="274">
        <f>SUMIFS($BE$14:$BE$38,$BD$14:$BD$38,F314,$BC$14:$BC$38,"Gaposa",$AC$14:$AC$38,"مانافيلا")</f>
        <v>0</v>
      </c>
      <c r="K314" s="274"/>
      <c r="L314" s="274">
        <f>VLOOKUP(F314,'قائمة الأسعار'!$D$300:$F$310,3,0)</f>
        <v>1</v>
      </c>
      <c r="M314" s="282">
        <f t="shared" si="231"/>
        <v>0</v>
      </c>
      <c r="N314" s="412"/>
      <c r="O314" s="275">
        <f t="shared" si="230"/>
        <v>0</v>
      </c>
    </row>
    <row r="315" spans="1:15" ht="15.9" customHeight="1" thickTop="1" thickBot="1" x14ac:dyDescent="0.4">
      <c r="A315" s="275">
        <f>IF(O315=1,SUM($O$138:O315),0)</f>
        <v>0</v>
      </c>
      <c r="B315" s="257">
        <f>IF(O315=1,SUM($O$41:O315),0)</f>
        <v>0</v>
      </c>
      <c r="C315" s="273">
        <v>274</v>
      </c>
      <c r="D315" s="274" t="s">
        <v>344</v>
      </c>
      <c r="E315" s="274"/>
      <c r="F315" s="307">
        <v>10</v>
      </c>
      <c r="G315" s="309" t="s">
        <v>27</v>
      </c>
      <c r="H315" s="308"/>
      <c r="I315" s="309" t="s">
        <v>20</v>
      </c>
      <c r="J315" s="274">
        <f t="shared" ref="J315:J323" si="234">SUMIFS($BE$14:$BE$38,$BD$14:$BD$38,F315,$BC$14:$BC$38,"Gaposa",$AC$14:$AC$38,"مانافيلا")</f>
        <v>0</v>
      </c>
      <c r="K315" s="274"/>
      <c r="L315" s="274">
        <f>VLOOKUP(F315,'قائمة الأسعار'!$D$300:$F$310,3,0)</f>
        <v>1</v>
      </c>
      <c r="M315" s="282">
        <f t="shared" si="231"/>
        <v>0</v>
      </c>
      <c r="N315" s="412"/>
      <c r="O315" s="275">
        <f t="shared" si="230"/>
        <v>0</v>
      </c>
    </row>
    <row r="316" spans="1:15" ht="15.9" customHeight="1" thickTop="1" thickBot="1" x14ac:dyDescent="0.4">
      <c r="A316" s="275">
        <f>IF(O316=1,SUM($O$138:O316),0)</f>
        <v>0</v>
      </c>
      <c r="B316" s="257">
        <f>IF(O316=1,SUM($O$41:O316),0)</f>
        <v>0</v>
      </c>
      <c r="C316" s="273">
        <v>275</v>
      </c>
      <c r="D316" s="274" t="s">
        <v>344</v>
      </c>
      <c r="E316" s="274"/>
      <c r="F316" s="307">
        <v>20</v>
      </c>
      <c r="G316" s="309" t="s">
        <v>27</v>
      </c>
      <c r="H316" s="308"/>
      <c r="I316" s="309" t="s">
        <v>20</v>
      </c>
      <c r="J316" s="274">
        <f t="shared" si="234"/>
        <v>0</v>
      </c>
      <c r="K316" s="274"/>
      <c r="L316" s="274">
        <f>VLOOKUP(F316,'قائمة الأسعار'!$D$300:$F$310,3,0)</f>
        <v>1</v>
      </c>
      <c r="M316" s="282">
        <f t="shared" si="231"/>
        <v>0</v>
      </c>
      <c r="N316" s="412"/>
      <c r="O316" s="275">
        <f t="shared" si="230"/>
        <v>0</v>
      </c>
    </row>
    <row r="317" spans="1:15" ht="15.9" customHeight="1" thickTop="1" thickBot="1" x14ac:dyDescent="0.4">
      <c r="A317" s="275">
        <f>IF(O317=1,SUM($O$138:O317),0)</f>
        <v>0</v>
      </c>
      <c r="B317" s="257">
        <f>IF(O317=1,SUM($O$41:O317),0)</f>
        <v>0</v>
      </c>
      <c r="C317" s="273">
        <v>276</v>
      </c>
      <c r="D317" s="274" t="s">
        <v>344</v>
      </c>
      <c r="E317" s="274"/>
      <c r="F317" s="307">
        <v>30</v>
      </c>
      <c r="G317" s="309" t="s">
        <v>27</v>
      </c>
      <c r="H317" s="308"/>
      <c r="I317" s="309" t="s">
        <v>20</v>
      </c>
      <c r="J317" s="274">
        <f t="shared" si="234"/>
        <v>0</v>
      </c>
      <c r="K317" s="274"/>
      <c r="L317" s="274">
        <f>VLOOKUP(F317,'قائمة الأسعار'!$D$300:$F$310,3,0)</f>
        <v>1</v>
      </c>
      <c r="M317" s="282">
        <f t="shared" si="231"/>
        <v>0</v>
      </c>
      <c r="N317" s="412"/>
      <c r="O317" s="275">
        <f t="shared" si="230"/>
        <v>0</v>
      </c>
    </row>
    <row r="318" spans="1:15" ht="15.9" customHeight="1" thickTop="1" thickBot="1" x14ac:dyDescent="0.4">
      <c r="A318" s="275">
        <f>IF(O318=1,SUM($O$138:O318),0)</f>
        <v>0</v>
      </c>
      <c r="B318" s="257">
        <f>IF(O318=1,SUM($O$41:O318),0)</f>
        <v>0</v>
      </c>
      <c r="C318" s="273">
        <v>277</v>
      </c>
      <c r="D318" s="274" t="s">
        <v>344</v>
      </c>
      <c r="E318" s="274"/>
      <c r="F318" s="307">
        <v>40</v>
      </c>
      <c r="G318" s="309" t="s">
        <v>27</v>
      </c>
      <c r="H318" s="308"/>
      <c r="I318" s="309" t="s">
        <v>20</v>
      </c>
      <c r="J318" s="274">
        <f t="shared" si="234"/>
        <v>0</v>
      </c>
      <c r="K318" s="274"/>
      <c r="L318" s="274">
        <f>VLOOKUP(F318,'قائمة الأسعار'!$D$300:$F$310,3,0)</f>
        <v>1</v>
      </c>
      <c r="M318" s="282">
        <f t="shared" si="231"/>
        <v>0</v>
      </c>
      <c r="N318" s="412"/>
      <c r="O318" s="275">
        <f t="shared" si="230"/>
        <v>0</v>
      </c>
    </row>
    <row r="319" spans="1:15" ht="15.9" customHeight="1" thickTop="1" thickBot="1" x14ac:dyDescent="0.4">
      <c r="A319" s="275">
        <f>IF(O319=1,SUM($O$138:O319),0)</f>
        <v>0</v>
      </c>
      <c r="B319" s="257">
        <f>IF(O319=1,SUM($O$41:O319),0)</f>
        <v>0</v>
      </c>
      <c r="C319" s="273">
        <v>278</v>
      </c>
      <c r="D319" s="274" t="s">
        <v>344</v>
      </c>
      <c r="E319" s="274"/>
      <c r="F319" s="307">
        <v>50</v>
      </c>
      <c r="G319" s="309" t="s">
        <v>27</v>
      </c>
      <c r="H319" s="308"/>
      <c r="I319" s="309" t="s">
        <v>20</v>
      </c>
      <c r="J319" s="274">
        <f t="shared" si="234"/>
        <v>0</v>
      </c>
      <c r="K319" s="274"/>
      <c r="L319" s="274">
        <f>VLOOKUP(F319,'قائمة الأسعار'!$D$300:$F$310,3,0)</f>
        <v>1</v>
      </c>
      <c r="M319" s="282">
        <f t="shared" si="231"/>
        <v>0</v>
      </c>
      <c r="N319" s="412"/>
      <c r="O319" s="275">
        <f t="shared" si="230"/>
        <v>0</v>
      </c>
    </row>
    <row r="320" spans="1:15" ht="15.9" customHeight="1" thickTop="1" thickBot="1" x14ac:dyDescent="0.4">
      <c r="A320" s="275">
        <f>IF(O320=1,SUM($O$138:O320),0)</f>
        <v>0</v>
      </c>
      <c r="B320" s="257">
        <f>IF(O320=1,SUM($O$41:O320),0)</f>
        <v>0</v>
      </c>
      <c r="C320" s="273">
        <v>279</v>
      </c>
      <c r="D320" s="274" t="s">
        <v>344</v>
      </c>
      <c r="E320" s="274"/>
      <c r="F320" s="307">
        <v>60</v>
      </c>
      <c r="G320" s="309" t="s">
        <v>27</v>
      </c>
      <c r="H320" s="308"/>
      <c r="I320" s="309" t="s">
        <v>20</v>
      </c>
      <c r="J320" s="274">
        <f t="shared" si="234"/>
        <v>0</v>
      </c>
      <c r="K320" s="274"/>
      <c r="L320" s="274">
        <f>VLOOKUP(F320,'قائمة الأسعار'!$D$300:$F$310,3,0)</f>
        <v>1</v>
      </c>
      <c r="M320" s="282">
        <f t="shared" si="231"/>
        <v>0</v>
      </c>
      <c r="N320" s="412"/>
      <c r="O320" s="275">
        <f t="shared" si="230"/>
        <v>0</v>
      </c>
    </row>
    <row r="321" spans="1:15" ht="15.9" customHeight="1" thickTop="1" thickBot="1" x14ac:dyDescent="0.4">
      <c r="A321" s="275">
        <f>IF(O321=1,SUM($O$138:O321),0)</f>
        <v>0</v>
      </c>
      <c r="B321" s="257">
        <f>IF(O321=1,SUM($O$41:O321),0)</f>
        <v>0</v>
      </c>
      <c r="C321" s="273">
        <v>280</v>
      </c>
      <c r="D321" s="274" t="s">
        <v>344</v>
      </c>
      <c r="E321" s="274"/>
      <c r="F321" s="307">
        <v>80</v>
      </c>
      <c r="G321" s="309" t="s">
        <v>27</v>
      </c>
      <c r="H321" s="308"/>
      <c r="I321" s="309" t="s">
        <v>20</v>
      </c>
      <c r="J321" s="274">
        <f t="shared" si="234"/>
        <v>0</v>
      </c>
      <c r="K321" s="274"/>
      <c r="L321" s="274">
        <f>VLOOKUP(F321,'قائمة الأسعار'!$D$300:$F$310,3,0)</f>
        <v>1</v>
      </c>
      <c r="M321" s="282">
        <f t="shared" si="231"/>
        <v>0</v>
      </c>
      <c r="N321" s="412"/>
      <c r="O321" s="275">
        <f t="shared" si="230"/>
        <v>0</v>
      </c>
    </row>
    <row r="322" spans="1:15" ht="15.9" customHeight="1" thickTop="1" thickBot="1" x14ac:dyDescent="0.4">
      <c r="A322" s="275">
        <f>IF(O322=1,SUM($O$138:O322),0)</f>
        <v>0</v>
      </c>
      <c r="B322" s="257">
        <f>IF(O322=1,SUM($O$41:O322),0)</f>
        <v>0</v>
      </c>
      <c r="C322" s="273">
        <v>281</v>
      </c>
      <c r="D322" s="274" t="s">
        <v>344</v>
      </c>
      <c r="E322" s="274"/>
      <c r="F322" s="307">
        <v>100</v>
      </c>
      <c r="G322" s="309" t="s">
        <v>27</v>
      </c>
      <c r="H322" s="308"/>
      <c r="I322" s="309" t="s">
        <v>20</v>
      </c>
      <c r="J322" s="274">
        <f t="shared" si="234"/>
        <v>0</v>
      </c>
      <c r="K322" s="274"/>
      <c r="L322" s="274">
        <f>VLOOKUP(F322,'قائمة الأسعار'!$D$300:$F$310,3,0)</f>
        <v>1</v>
      </c>
      <c r="M322" s="282">
        <f>L322*J322</f>
        <v>0</v>
      </c>
      <c r="N322" s="412"/>
      <c r="O322" s="275">
        <f t="shared" si="230"/>
        <v>0</v>
      </c>
    </row>
    <row r="323" spans="1:15" ht="15.9" customHeight="1" thickTop="1" thickBot="1" x14ac:dyDescent="0.4">
      <c r="A323" s="275">
        <f>IF(O323=1,SUM($O$138:O323),0)</f>
        <v>0</v>
      </c>
      <c r="B323" s="257">
        <f>IF(O323=1,SUM($O$41:O323),0)</f>
        <v>0</v>
      </c>
      <c r="C323" s="273">
        <v>282</v>
      </c>
      <c r="D323" s="274" t="s">
        <v>344</v>
      </c>
      <c r="E323" s="274"/>
      <c r="F323" s="307">
        <v>120</v>
      </c>
      <c r="G323" s="309" t="s">
        <v>27</v>
      </c>
      <c r="H323" s="308"/>
      <c r="I323" s="309" t="s">
        <v>20</v>
      </c>
      <c r="J323" s="274">
        <f t="shared" si="234"/>
        <v>0</v>
      </c>
      <c r="K323" s="274"/>
      <c r="L323" s="274">
        <f>VLOOKUP(F323,'قائمة الأسعار'!$D$300:$F$310,3,0)</f>
        <v>1</v>
      </c>
      <c r="M323" s="282">
        <f t="shared" ref="M323:M332" si="235">L323*J323</f>
        <v>0</v>
      </c>
      <c r="N323" s="412"/>
      <c r="O323" s="275">
        <f t="shared" si="230"/>
        <v>0</v>
      </c>
    </row>
    <row r="324" spans="1:15" ht="15.9" customHeight="1" thickTop="1" thickBot="1" x14ac:dyDescent="0.4">
      <c r="A324" s="275">
        <f>IF(O324=1,SUM($O$138:O324),0)</f>
        <v>0</v>
      </c>
      <c r="B324" s="257">
        <f>IF(O324=1,SUM($O$41:O324),0)</f>
        <v>0</v>
      </c>
      <c r="C324" s="273">
        <v>283</v>
      </c>
      <c r="D324" s="274"/>
      <c r="E324" s="274"/>
      <c r="F324" s="307"/>
      <c r="G324" s="309"/>
      <c r="H324" s="308"/>
      <c r="I324" s="309"/>
      <c r="J324" s="274"/>
      <c r="K324" s="274"/>
      <c r="L324" s="274"/>
      <c r="M324" s="282"/>
      <c r="N324" s="412"/>
      <c r="O324" s="275">
        <f t="shared" si="230"/>
        <v>0</v>
      </c>
    </row>
    <row r="325" spans="1:15" ht="15.9" customHeight="1" thickTop="1" thickBot="1" x14ac:dyDescent="0.4">
      <c r="A325" s="275">
        <f>IF(O325=1,SUM($O$138:O325),0)</f>
        <v>0</v>
      </c>
      <c r="B325" s="257">
        <f>IF(O325=1,SUM($O$41:O325),0)</f>
        <v>0</v>
      </c>
      <c r="C325" s="273">
        <v>284</v>
      </c>
      <c r="D325" s="274" t="s">
        <v>339</v>
      </c>
      <c r="E325" s="274"/>
      <c r="F325" s="307">
        <v>6</v>
      </c>
      <c r="G325" s="309" t="s">
        <v>27</v>
      </c>
      <c r="H325" s="308"/>
      <c r="I325" s="309" t="s">
        <v>20</v>
      </c>
      <c r="J325" s="274">
        <f>SUMIFS($BE$14:$BE$38,$BD$14:$BD$38,F325,$BC$14:$BC$38,"دويا شورت",$AC$14:$AC$38,"مانافيلا")</f>
        <v>0</v>
      </c>
      <c r="K325" s="274"/>
      <c r="L325" s="274">
        <f>VLOOKUP(F325,'قائمة الأسعار'!$D$312:$F$322,3,0)</f>
        <v>1</v>
      </c>
      <c r="M325" s="282">
        <f t="shared" si="235"/>
        <v>0</v>
      </c>
      <c r="N325" s="412"/>
      <c r="O325" s="275">
        <f t="shared" si="230"/>
        <v>0</v>
      </c>
    </row>
    <row r="326" spans="1:15" ht="15.9" customHeight="1" thickTop="1" thickBot="1" x14ac:dyDescent="0.4">
      <c r="A326" s="275">
        <f>IF(O326=1,SUM($O$138:O326),0)</f>
        <v>0</v>
      </c>
      <c r="B326" s="257">
        <f>IF(O326=1,SUM($O$41:O326),0)</f>
        <v>0</v>
      </c>
      <c r="C326" s="273">
        <v>285</v>
      </c>
      <c r="D326" s="274" t="s">
        <v>339</v>
      </c>
      <c r="E326" s="274"/>
      <c r="F326" s="307">
        <v>10</v>
      </c>
      <c r="G326" s="309" t="s">
        <v>27</v>
      </c>
      <c r="H326" s="308"/>
      <c r="I326" s="309" t="s">
        <v>20</v>
      </c>
      <c r="J326" s="274">
        <f t="shared" ref="J326:J335" si="236">SUMIFS($BE$14:$BE$38,$BD$14:$BD$38,F326,$BC$14:$BC$38,"دويا شورت",$AC$14:$AC$38,"مانافيلا")</f>
        <v>0</v>
      </c>
      <c r="K326" s="274"/>
      <c r="L326" s="274">
        <f>VLOOKUP(F326,'قائمة الأسعار'!$D$312:$F$322,3,0)</f>
        <v>1</v>
      </c>
      <c r="M326" s="282">
        <f t="shared" si="235"/>
        <v>0</v>
      </c>
      <c r="N326" s="412"/>
      <c r="O326" s="275">
        <f t="shared" si="230"/>
        <v>0</v>
      </c>
    </row>
    <row r="327" spans="1:15" ht="15.9" customHeight="1" thickTop="1" thickBot="1" x14ac:dyDescent="0.4">
      <c r="A327" s="275">
        <f>IF(O327=1,SUM($O$138:O327),0)</f>
        <v>0</v>
      </c>
      <c r="B327" s="257">
        <f>IF(O327=1,SUM($O$41:O327),0)</f>
        <v>0</v>
      </c>
      <c r="C327" s="273">
        <v>286</v>
      </c>
      <c r="D327" s="274" t="s">
        <v>339</v>
      </c>
      <c r="E327" s="274"/>
      <c r="F327" s="307">
        <v>15</v>
      </c>
      <c r="G327" s="309" t="s">
        <v>27</v>
      </c>
      <c r="H327" s="308"/>
      <c r="I327" s="309" t="s">
        <v>20</v>
      </c>
      <c r="J327" s="274">
        <f t="shared" si="236"/>
        <v>0</v>
      </c>
      <c r="K327" s="274"/>
      <c r="L327" s="274">
        <f>VLOOKUP(F327,'قائمة الأسعار'!$D$312:$F$322,3,0)</f>
        <v>1</v>
      </c>
      <c r="M327" s="282">
        <f t="shared" si="235"/>
        <v>0</v>
      </c>
      <c r="N327" s="412"/>
      <c r="O327" s="275">
        <f t="shared" si="230"/>
        <v>0</v>
      </c>
    </row>
    <row r="328" spans="1:15" ht="15.9" customHeight="1" thickTop="1" thickBot="1" x14ac:dyDescent="0.4">
      <c r="A328" s="275">
        <f>IF(O328=1,SUM($O$138:O328),0)</f>
        <v>0</v>
      </c>
      <c r="B328" s="257">
        <f>IF(O328=1,SUM($O$41:O328),0)</f>
        <v>0</v>
      </c>
      <c r="C328" s="273">
        <v>287</v>
      </c>
      <c r="D328" s="274" t="s">
        <v>339</v>
      </c>
      <c r="E328" s="274"/>
      <c r="F328" s="307">
        <v>20</v>
      </c>
      <c r="G328" s="309" t="s">
        <v>27</v>
      </c>
      <c r="H328" s="308"/>
      <c r="I328" s="309" t="s">
        <v>20</v>
      </c>
      <c r="J328" s="274">
        <f t="shared" si="236"/>
        <v>0</v>
      </c>
      <c r="K328" s="274"/>
      <c r="L328" s="274">
        <f>VLOOKUP(F328,'قائمة الأسعار'!$D$312:$F$322,3,0)</f>
        <v>1</v>
      </c>
      <c r="M328" s="282">
        <f t="shared" si="235"/>
        <v>0</v>
      </c>
      <c r="N328" s="412"/>
      <c r="O328" s="275">
        <f t="shared" si="230"/>
        <v>0</v>
      </c>
    </row>
    <row r="329" spans="1:15" ht="15.9" customHeight="1" thickTop="1" thickBot="1" x14ac:dyDescent="0.4">
      <c r="A329" s="275">
        <f>IF(O329=1,SUM($O$138:O329),0)</f>
        <v>0</v>
      </c>
      <c r="B329" s="257">
        <f>IF(O329=1,SUM($O$41:O329),0)</f>
        <v>0</v>
      </c>
      <c r="C329" s="273">
        <v>288</v>
      </c>
      <c r="D329" s="274" t="s">
        <v>339</v>
      </c>
      <c r="E329" s="274"/>
      <c r="F329" s="307">
        <v>30</v>
      </c>
      <c r="G329" s="309" t="s">
        <v>27</v>
      </c>
      <c r="H329" s="308"/>
      <c r="I329" s="309" t="s">
        <v>20</v>
      </c>
      <c r="J329" s="274">
        <f t="shared" si="236"/>
        <v>0</v>
      </c>
      <c r="K329" s="274"/>
      <c r="L329" s="274">
        <f>VLOOKUP(F329,'قائمة الأسعار'!$D$312:$F$322,3,0)</f>
        <v>1</v>
      </c>
      <c r="M329" s="282">
        <f t="shared" si="235"/>
        <v>0</v>
      </c>
      <c r="N329" s="412"/>
      <c r="O329" s="275">
        <f t="shared" si="230"/>
        <v>0</v>
      </c>
    </row>
    <row r="330" spans="1:15" ht="15.9" customHeight="1" thickTop="1" thickBot="1" x14ac:dyDescent="0.4">
      <c r="A330" s="275">
        <f>IF(O330=1,SUM($O$138:O330),0)</f>
        <v>0</v>
      </c>
      <c r="B330" s="257">
        <f>IF(O330=1,SUM($O$41:O330),0)</f>
        <v>0</v>
      </c>
      <c r="C330" s="273">
        <v>289</v>
      </c>
      <c r="D330" s="274" t="s">
        <v>339</v>
      </c>
      <c r="E330" s="274"/>
      <c r="F330" s="307">
        <v>40</v>
      </c>
      <c r="G330" s="309" t="s">
        <v>27</v>
      </c>
      <c r="H330" s="308"/>
      <c r="I330" s="309" t="s">
        <v>20</v>
      </c>
      <c r="J330" s="274">
        <f t="shared" si="236"/>
        <v>0</v>
      </c>
      <c r="K330" s="274"/>
      <c r="L330" s="274">
        <f>VLOOKUP(F330,'قائمة الأسعار'!$D$312:$F$322,3,0)</f>
        <v>1</v>
      </c>
      <c r="M330" s="282">
        <f t="shared" si="235"/>
        <v>0</v>
      </c>
      <c r="N330" s="412"/>
      <c r="O330" s="275">
        <f t="shared" si="230"/>
        <v>0</v>
      </c>
    </row>
    <row r="331" spans="1:15" ht="15.9" customHeight="1" thickTop="1" thickBot="1" x14ac:dyDescent="0.4">
      <c r="A331" s="275">
        <f>IF(O331=1,SUM($O$138:O331),0)</f>
        <v>0</v>
      </c>
      <c r="B331" s="257">
        <f>IF(O331=1,SUM($O$41:O331),0)</f>
        <v>0</v>
      </c>
      <c r="C331" s="273">
        <v>290</v>
      </c>
      <c r="D331" s="274" t="s">
        <v>339</v>
      </c>
      <c r="E331" s="274"/>
      <c r="F331" s="307">
        <v>50</v>
      </c>
      <c r="G331" s="309" t="s">
        <v>27</v>
      </c>
      <c r="H331" s="308"/>
      <c r="I331" s="309" t="s">
        <v>20</v>
      </c>
      <c r="J331" s="274">
        <f t="shared" si="236"/>
        <v>0</v>
      </c>
      <c r="K331" s="274"/>
      <c r="L331" s="274">
        <f>VLOOKUP(F331,'قائمة الأسعار'!$D$312:$F$322,3,0)</f>
        <v>1</v>
      </c>
      <c r="M331" s="282">
        <f t="shared" si="235"/>
        <v>0</v>
      </c>
      <c r="N331" s="412"/>
      <c r="O331" s="275">
        <f t="shared" si="230"/>
        <v>0</v>
      </c>
    </row>
    <row r="332" spans="1:15" ht="15.9" customHeight="1" thickTop="1" thickBot="1" x14ac:dyDescent="0.4">
      <c r="A332" s="275">
        <f>IF(O332=1,SUM($O$138:O332),0)</f>
        <v>0</v>
      </c>
      <c r="B332" s="257">
        <f>IF(O332=1,SUM($O$41:O332),0)</f>
        <v>0</v>
      </c>
      <c r="C332" s="273">
        <v>291</v>
      </c>
      <c r="D332" s="274" t="s">
        <v>339</v>
      </c>
      <c r="E332" s="274"/>
      <c r="F332" s="307">
        <v>60</v>
      </c>
      <c r="G332" s="309" t="s">
        <v>27</v>
      </c>
      <c r="H332" s="308"/>
      <c r="I332" s="309" t="s">
        <v>20</v>
      </c>
      <c r="J332" s="274">
        <f t="shared" si="236"/>
        <v>0</v>
      </c>
      <c r="K332" s="274"/>
      <c r="L332" s="274">
        <f>VLOOKUP(F332,'قائمة الأسعار'!$D$312:$F$322,3,0)</f>
        <v>1</v>
      </c>
      <c r="M332" s="282">
        <f t="shared" si="235"/>
        <v>0</v>
      </c>
      <c r="N332" s="412"/>
      <c r="O332" s="275">
        <f t="shared" si="230"/>
        <v>0</v>
      </c>
    </row>
    <row r="333" spans="1:15" ht="15.9" customHeight="1" thickTop="1" thickBot="1" x14ac:dyDescent="0.4">
      <c r="A333" s="275">
        <f>IF(O333=1,SUM($O$138:O333),0)</f>
        <v>0</v>
      </c>
      <c r="B333" s="257">
        <f>IF(O333=1,SUM($O$41:O333),0)</f>
        <v>0</v>
      </c>
      <c r="C333" s="273">
        <v>292</v>
      </c>
      <c r="D333" s="274" t="s">
        <v>339</v>
      </c>
      <c r="E333" s="274"/>
      <c r="F333" s="307">
        <v>80</v>
      </c>
      <c r="G333" s="309" t="s">
        <v>27</v>
      </c>
      <c r="H333" s="308"/>
      <c r="I333" s="309" t="s">
        <v>20</v>
      </c>
      <c r="J333" s="274">
        <f t="shared" si="236"/>
        <v>0</v>
      </c>
      <c r="K333" s="274"/>
      <c r="L333" s="274">
        <f>VLOOKUP(F333,'قائمة الأسعار'!$D$312:$F$322,3,0)</f>
        <v>1</v>
      </c>
      <c r="M333" s="282">
        <f>L333*J333</f>
        <v>0</v>
      </c>
      <c r="N333" s="412"/>
      <c r="O333" s="275">
        <f t="shared" si="230"/>
        <v>0</v>
      </c>
    </row>
    <row r="334" spans="1:15" ht="15.9" customHeight="1" thickTop="1" thickBot="1" x14ac:dyDescent="0.4">
      <c r="A334" s="275">
        <f>IF(O334=1,SUM($O$138:O334),0)</f>
        <v>0</v>
      </c>
      <c r="B334" s="257">
        <f>IF(O334=1,SUM($O$41:O334),0)</f>
        <v>0</v>
      </c>
      <c r="C334" s="273">
        <v>293</v>
      </c>
      <c r="D334" s="274" t="s">
        <v>339</v>
      </c>
      <c r="E334" s="274"/>
      <c r="F334" s="307">
        <v>100</v>
      </c>
      <c r="G334" s="309" t="s">
        <v>27</v>
      </c>
      <c r="H334" s="308"/>
      <c r="I334" s="309" t="s">
        <v>20</v>
      </c>
      <c r="J334" s="274">
        <f t="shared" si="236"/>
        <v>0</v>
      </c>
      <c r="K334" s="274"/>
      <c r="L334" s="274">
        <f>VLOOKUP(F334,'قائمة الأسعار'!$D$312:$F$322,3,0)</f>
        <v>1</v>
      </c>
      <c r="M334" s="282">
        <f t="shared" ref="M334:M343" si="237">L334*J334</f>
        <v>0</v>
      </c>
      <c r="N334" s="412"/>
      <c r="O334" s="275">
        <f t="shared" si="230"/>
        <v>0</v>
      </c>
    </row>
    <row r="335" spans="1:15" ht="15.9" customHeight="1" thickTop="1" thickBot="1" x14ac:dyDescent="0.4">
      <c r="A335" s="275">
        <f>IF(O335=1,SUM($O$138:O335),0)</f>
        <v>0</v>
      </c>
      <c r="B335" s="257">
        <f>IF(O335=1,SUM($O$41:O335),0)</f>
        <v>0</v>
      </c>
      <c r="C335" s="273">
        <v>294</v>
      </c>
      <c r="D335" s="274" t="s">
        <v>339</v>
      </c>
      <c r="E335" s="274"/>
      <c r="F335" s="307">
        <v>120</v>
      </c>
      <c r="G335" s="309" t="s">
        <v>27</v>
      </c>
      <c r="H335" s="308"/>
      <c r="I335" s="309" t="s">
        <v>20</v>
      </c>
      <c r="J335" s="274">
        <f t="shared" si="236"/>
        <v>0</v>
      </c>
      <c r="K335" s="274"/>
      <c r="L335" s="274">
        <f>VLOOKUP(F335,'قائمة الأسعار'!$D$312:$F$322,3,0)</f>
        <v>1</v>
      </c>
      <c r="M335" s="282">
        <f t="shared" si="237"/>
        <v>0</v>
      </c>
      <c r="N335" s="412"/>
      <c r="O335" s="275">
        <f t="shared" si="230"/>
        <v>0</v>
      </c>
    </row>
    <row r="336" spans="1:15" ht="15.9" customHeight="1" thickTop="1" thickBot="1" x14ac:dyDescent="0.4">
      <c r="A336" s="275">
        <f>IF(O336=1,SUM($O$138:O336),0)</f>
        <v>0</v>
      </c>
      <c r="B336" s="257">
        <f>IF(O336=1,SUM($O$41:O336),0)</f>
        <v>0</v>
      </c>
      <c r="C336" s="273">
        <v>295</v>
      </c>
      <c r="D336" s="274" t="s">
        <v>345</v>
      </c>
      <c r="E336" s="274"/>
      <c r="F336" s="307">
        <v>6</v>
      </c>
      <c r="G336" s="309" t="s">
        <v>27</v>
      </c>
      <c r="H336" s="308"/>
      <c r="I336" s="309" t="s">
        <v>20</v>
      </c>
      <c r="J336" s="274">
        <f>SUMIFS($BE$14:$BE$38,$BD$14:$BD$38,F336,$BC$14:$BC$38,"سيبار",$AC$14:$AC$38,"مانافيلا")</f>
        <v>0</v>
      </c>
      <c r="K336" s="274"/>
      <c r="L336" s="274">
        <f>VLOOKUP(F336,'قائمة الأسعار'!$D$324:$F$334,3,0)</f>
        <v>1</v>
      </c>
      <c r="M336" s="282">
        <f t="shared" si="237"/>
        <v>0</v>
      </c>
      <c r="N336" s="412"/>
      <c r="O336" s="275">
        <f t="shared" si="230"/>
        <v>0</v>
      </c>
    </row>
    <row r="337" spans="1:15" ht="15.9" customHeight="1" thickTop="1" thickBot="1" x14ac:dyDescent="0.4">
      <c r="A337" s="275">
        <f>IF(O337=1,SUM($O$138:O337),0)</f>
        <v>0</v>
      </c>
      <c r="B337" s="257">
        <f>IF(O337=1,SUM($O$41:O337),0)</f>
        <v>0</v>
      </c>
      <c r="C337" s="273">
        <v>296</v>
      </c>
      <c r="D337" s="274" t="s">
        <v>345</v>
      </c>
      <c r="E337" s="274"/>
      <c r="F337" s="307">
        <v>10</v>
      </c>
      <c r="G337" s="309" t="s">
        <v>27</v>
      </c>
      <c r="H337" s="308"/>
      <c r="I337" s="309" t="s">
        <v>20</v>
      </c>
      <c r="J337" s="274">
        <f t="shared" ref="J337:J346" si="238">SUMIFS($BE$14:$BE$38,$BD$14:$BD$38,F337,$BC$14:$BC$38,"سيبار",$AC$14:$AC$38,"مانافيلا")</f>
        <v>0</v>
      </c>
      <c r="K337" s="274"/>
      <c r="L337" s="274">
        <f>VLOOKUP(F337,'قائمة الأسعار'!$D$324:$F$334,3,0)</f>
        <v>1</v>
      </c>
      <c r="M337" s="282">
        <f t="shared" si="237"/>
        <v>0</v>
      </c>
      <c r="N337" s="412"/>
      <c r="O337" s="275">
        <f t="shared" si="230"/>
        <v>0</v>
      </c>
    </row>
    <row r="338" spans="1:15" ht="15.9" customHeight="1" thickTop="1" thickBot="1" x14ac:dyDescent="0.4">
      <c r="A338" s="275">
        <f>IF(O338=1,SUM($O$138:O338),0)</f>
        <v>0</v>
      </c>
      <c r="B338" s="257">
        <f>IF(O338=1,SUM($O$41:O338),0)</f>
        <v>0</v>
      </c>
      <c r="C338" s="273">
        <v>297</v>
      </c>
      <c r="D338" s="274" t="s">
        <v>345</v>
      </c>
      <c r="E338" s="274"/>
      <c r="F338" s="307">
        <v>15</v>
      </c>
      <c r="G338" s="309" t="s">
        <v>27</v>
      </c>
      <c r="H338" s="308"/>
      <c r="I338" s="309" t="s">
        <v>20</v>
      </c>
      <c r="J338" s="274">
        <f t="shared" si="238"/>
        <v>0</v>
      </c>
      <c r="K338" s="274"/>
      <c r="L338" s="274">
        <f>VLOOKUP(F338,'قائمة الأسعار'!$D$324:$F$334,3,0)</f>
        <v>1</v>
      </c>
      <c r="M338" s="282">
        <f t="shared" si="237"/>
        <v>0</v>
      </c>
      <c r="N338" s="412"/>
      <c r="O338" s="275">
        <f t="shared" si="230"/>
        <v>0</v>
      </c>
    </row>
    <row r="339" spans="1:15" ht="15.9" customHeight="1" thickTop="1" thickBot="1" x14ac:dyDescent="0.4">
      <c r="A339" s="275">
        <f>IF(O339=1,SUM($O$138:O339),0)</f>
        <v>0</v>
      </c>
      <c r="B339" s="257">
        <f>IF(O339=1,SUM($O$41:O339),0)</f>
        <v>0</v>
      </c>
      <c r="C339" s="273">
        <v>298</v>
      </c>
      <c r="D339" s="274" t="s">
        <v>345</v>
      </c>
      <c r="E339" s="274"/>
      <c r="F339" s="307">
        <v>20</v>
      </c>
      <c r="G339" s="309" t="s">
        <v>27</v>
      </c>
      <c r="H339" s="308"/>
      <c r="I339" s="309" t="s">
        <v>20</v>
      </c>
      <c r="J339" s="274">
        <f t="shared" si="238"/>
        <v>0</v>
      </c>
      <c r="K339" s="274"/>
      <c r="L339" s="274">
        <f>VLOOKUP(F339,'قائمة الأسعار'!$D$324:$F$334,3,0)</f>
        <v>1</v>
      </c>
      <c r="M339" s="282">
        <f t="shared" si="237"/>
        <v>0</v>
      </c>
      <c r="N339" s="412"/>
      <c r="O339" s="275">
        <f t="shared" si="230"/>
        <v>0</v>
      </c>
    </row>
    <row r="340" spans="1:15" ht="15.9" customHeight="1" thickTop="1" thickBot="1" x14ac:dyDescent="0.4">
      <c r="A340" s="275">
        <f>IF(O340=1,SUM($O$138:O340),0)</f>
        <v>0</v>
      </c>
      <c r="B340" s="257">
        <f>IF(O340=1,SUM($O$41:O340),0)</f>
        <v>0</v>
      </c>
      <c r="C340" s="273">
        <v>299</v>
      </c>
      <c r="D340" s="274" t="s">
        <v>345</v>
      </c>
      <c r="E340" s="274"/>
      <c r="F340" s="307">
        <v>30</v>
      </c>
      <c r="G340" s="309" t="s">
        <v>27</v>
      </c>
      <c r="H340" s="308"/>
      <c r="I340" s="309" t="s">
        <v>20</v>
      </c>
      <c r="J340" s="274">
        <f t="shared" si="238"/>
        <v>0</v>
      </c>
      <c r="K340" s="274"/>
      <c r="L340" s="274">
        <f>VLOOKUP(F340,'قائمة الأسعار'!$D$324:$F$334,3,0)</f>
        <v>1</v>
      </c>
      <c r="M340" s="282">
        <f t="shared" si="237"/>
        <v>0</v>
      </c>
      <c r="N340" s="412"/>
      <c r="O340" s="275">
        <f t="shared" si="230"/>
        <v>0</v>
      </c>
    </row>
    <row r="341" spans="1:15" ht="15.9" customHeight="1" thickTop="1" thickBot="1" x14ac:dyDescent="0.4">
      <c r="A341" s="275">
        <f>IF(O341=1,SUM($O$138:O341),0)</f>
        <v>0</v>
      </c>
      <c r="B341" s="257">
        <f>IF(O341=1,SUM($O$41:O341),0)</f>
        <v>0</v>
      </c>
      <c r="C341" s="273">
        <v>300</v>
      </c>
      <c r="D341" s="274" t="s">
        <v>345</v>
      </c>
      <c r="E341" s="274"/>
      <c r="F341" s="307">
        <v>40</v>
      </c>
      <c r="G341" s="309" t="s">
        <v>27</v>
      </c>
      <c r="H341" s="308"/>
      <c r="I341" s="309" t="s">
        <v>20</v>
      </c>
      <c r="J341" s="274">
        <f t="shared" si="238"/>
        <v>0</v>
      </c>
      <c r="K341" s="274"/>
      <c r="L341" s="274">
        <f>VLOOKUP(F341,'قائمة الأسعار'!$D$324:$F$334,3,0)</f>
        <v>1</v>
      </c>
      <c r="M341" s="282">
        <f t="shared" si="237"/>
        <v>0</v>
      </c>
      <c r="N341" s="412"/>
      <c r="O341" s="275">
        <f t="shared" si="230"/>
        <v>0</v>
      </c>
    </row>
    <row r="342" spans="1:15" ht="15.9" customHeight="1" thickTop="1" thickBot="1" x14ac:dyDescent="0.4">
      <c r="A342" s="275">
        <f>IF(O342=1,SUM($O$138:O342),0)</f>
        <v>0</v>
      </c>
      <c r="B342" s="257">
        <f>IF(O342=1,SUM($O$41:O342),0)</f>
        <v>0</v>
      </c>
      <c r="C342" s="273">
        <v>301</v>
      </c>
      <c r="D342" s="274" t="s">
        <v>345</v>
      </c>
      <c r="E342" s="274"/>
      <c r="F342" s="307">
        <v>50</v>
      </c>
      <c r="G342" s="309" t="s">
        <v>27</v>
      </c>
      <c r="H342" s="308"/>
      <c r="I342" s="309" t="s">
        <v>20</v>
      </c>
      <c r="J342" s="274">
        <f t="shared" si="238"/>
        <v>0</v>
      </c>
      <c r="K342" s="274"/>
      <c r="L342" s="274">
        <f>VLOOKUP(F342,'قائمة الأسعار'!$D$324:$F$334,3,0)</f>
        <v>1</v>
      </c>
      <c r="M342" s="282">
        <f t="shared" si="237"/>
        <v>0</v>
      </c>
      <c r="N342" s="412"/>
      <c r="O342" s="275">
        <f t="shared" si="230"/>
        <v>0</v>
      </c>
    </row>
    <row r="343" spans="1:15" ht="15.9" customHeight="1" thickTop="1" thickBot="1" x14ac:dyDescent="0.4">
      <c r="A343" s="275">
        <f>IF(O343=1,SUM($O$138:O343),0)</f>
        <v>0</v>
      </c>
      <c r="B343" s="257">
        <f>IF(O343=1,SUM($O$41:O343),0)</f>
        <v>0</v>
      </c>
      <c r="C343" s="273">
        <v>302</v>
      </c>
      <c r="D343" s="274" t="s">
        <v>345</v>
      </c>
      <c r="E343" s="274"/>
      <c r="F343" s="307">
        <v>60</v>
      </c>
      <c r="G343" s="309" t="s">
        <v>27</v>
      </c>
      <c r="H343" s="308"/>
      <c r="I343" s="309" t="s">
        <v>20</v>
      </c>
      <c r="J343" s="274">
        <f t="shared" si="238"/>
        <v>0</v>
      </c>
      <c r="K343" s="274"/>
      <c r="L343" s="274">
        <f>VLOOKUP(F343,'قائمة الأسعار'!$D$324:$F$334,3,0)</f>
        <v>1</v>
      </c>
      <c r="M343" s="282">
        <f t="shared" si="237"/>
        <v>0</v>
      </c>
      <c r="N343" s="412"/>
      <c r="O343" s="275">
        <f t="shared" si="230"/>
        <v>0</v>
      </c>
    </row>
    <row r="344" spans="1:15" ht="15.9" customHeight="1" thickTop="1" thickBot="1" x14ac:dyDescent="0.4">
      <c r="A344" s="275">
        <f>IF(O344=1,SUM($O$138:O344),0)</f>
        <v>0</v>
      </c>
      <c r="B344" s="257">
        <f>IF(O344=1,SUM($O$41:O344),0)</f>
        <v>0</v>
      </c>
      <c r="C344" s="273">
        <v>303</v>
      </c>
      <c r="D344" s="274" t="s">
        <v>345</v>
      </c>
      <c r="E344" s="274"/>
      <c r="F344" s="307">
        <v>80</v>
      </c>
      <c r="G344" s="309" t="s">
        <v>27</v>
      </c>
      <c r="H344" s="308"/>
      <c r="I344" s="309" t="s">
        <v>20</v>
      </c>
      <c r="J344" s="274">
        <f t="shared" si="238"/>
        <v>0</v>
      </c>
      <c r="K344" s="274"/>
      <c r="L344" s="274">
        <f>VLOOKUP(F344,'قائمة الأسعار'!$D$324:$F$334,3,0)</f>
        <v>1</v>
      </c>
      <c r="M344" s="282">
        <f>L344*J344</f>
        <v>0</v>
      </c>
      <c r="N344" s="412"/>
      <c r="O344" s="275">
        <f t="shared" si="230"/>
        <v>0</v>
      </c>
    </row>
    <row r="345" spans="1:15" ht="15.9" customHeight="1" thickTop="1" thickBot="1" x14ac:dyDescent="0.4">
      <c r="A345" s="275">
        <f>IF(O345=1,SUM($O$138:O345),0)</f>
        <v>0</v>
      </c>
      <c r="B345" s="257">
        <f>IF(O345=1,SUM($O$41:O345),0)</f>
        <v>0</v>
      </c>
      <c r="C345" s="273">
        <v>304</v>
      </c>
      <c r="D345" s="274" t="s">
        <v>345</v>
      </c>
      <c r="E345" s="274"/>
      <c r="F345" s="307">
        <v>100</v>
      </c>
      <c r="G345" s="309" t="s">
        <v>27</v>
      </c>
      <c r="H345" s="308"/>
      <c r="I345" s="309" t="s">
        <v>20</v>
      </c>
      <c r="J345" s="274">
        <f t="shared" si="238"/>
        <v>0</v>
      </c>
      <c r="K345" s="274"/>
      <c r="L345" s="274">
        <f>VLOOKUP(F345,'قائمة الأسعار'!$D$324:$F$334,3,0)</f>
        <v>1</v>
      </c>
      <c r="M345" s="282">
        <f t="shared" ref="M345:M354" si="239">L345*J345</f>
        <v>0</v>
      </c>
      <c r="N345" s="412"/>
      <c r="O345" s="275">
        <f t="shared" si="230"/>
        <v>0</v>
      </c>
    </row>
    <row r="346" spans="1:15" ht="15.9" customHeight="1" thickTop="1" thickBot="1" x14ac:dyDescent="0.4">
      <c r="A346" s="275">
        <f>IF(O346=1,SUM($O$138:O346),0)</f>
        <v>0</v>
      </c>
      <c r="B346" s="257">
        <f>IF(O346=1,SUM($O$41:O346),0)</f>
        <v>0</v>
      </c>
      <c r="C346" s="273">
        <v>305</v>
      </c>
      <c r="D346" s="274" t="s">
        <v>345</v>
      </c>
      <c r="E346" s="274"/>
      <c r="F346" s="307">
        <v>120</v>
      </c>
      <c r="G346" s="309" t="s">
        <v>27</v>
      </c>
      <c r="H346" s="308"/>
      <c r="I346" s="309" t="s">
        <v>20</v>
      </c>
      <c r="J346" s="274">
        <f t="shared" si="238"/>
        <v>0</v>
      </c>
      <c r="K346" s="274"/>
      <c r="L346" s="274">
        <f>VLOOKUP(F346,'قائمة الأسعار'!$D$324:$F$334,3,0)</f>
        <v>1</v>
      </c>
      <c r="M346" s="282">
        <f t="shared" si="239"/>
        <v>0</v>
      </c>
      <c r="N346" s="412"/>
      <c r="O346" s="275">
        <f>IF(M346&gt;0,1,0)</f>
        <v>0</v>
      </c>
    </row>
    <row r="347" spans="1:15" ht="15.9" customHeight="1" thickTop="1" thickBot="1" x14ac:dyDescent="0.4">
      <c r="A347" s="275">
        <f>IF(O347=1,SUM($O$138:O347),0)</f>
        <v>0</v>
      </c>
      <c r="B347" s="257">
        <f>IF(O347=1,SUM($O$41:O347),0)</f>
        <v>0</v>
      </c>
      <c r="C347" s="273">
        <v>306</v>
      </c>
      <c r="D347" s="274" t="s">
        <v>346</v>
      </c>
      <c r="E347" s="274"/>
      <c r="F347" s="307">
        <v>8</v>
      </c>
      <c r="G347" s="309" t="s">
        <v>27</v>
      </c>
      <c r="H347" s="308"/>
      <c r="I347" s="309" t="s">
        <v>20</v>
      </c>
      <c r="J347" s="274">
        <f>SUMIFS($BE$14:$BE$38,$BD$14:$BD$38,F347,$BC$14:$BC$38,"سيمو",$AC$14:$AC$38,"مانافيلا")</f>
        <v>0</v>
      </c>
      <c r="K347" s="274"/>
      <c r="L347" s="274">
        <f>VLOOKUP(F347,'قائمة الأسعار'!$D$336:$F$346,3,0)</f>
        <v>1</v>
      </c>
      <c r="M347" s="282">
        <f t="shared" si="239"/>
        <v>0</v>
      </c>
      <c r="N347" s="412"/>
      <c r="O347" s="275">
        <f t="shared" si="230"/>
        <v>0</v>
      </c>
    </row>
    <row r="348" spans="1:15" ht="15.9" customHeight="1" thickTop="1" thickBot="1" x14ac:dyDescent="0.4">
      <c r="A348" s="275">
        <f>IF(O348=1,SUM($O$138:O348),0)</f>
        <v>0</v>
      </c>
      <c r="B348" s="257">
        <f>IF(O348=1,SUM($O$41:O348),0)</f>
        <v>0</v>
      </c>
      <c r="C348" s="273">
        <v>307</v>
      </c>
      <c r="D348" s="274" t="s">
        <v>346</v>
      </c>
      <c r="E348" s="274"/>
      <c r="F348" s="307">
        <v>10</v>
      </c>
      <c r="G348" s="309" t="s">
        <v>27</v>
      </c>
      <c r="H348" s="308"/>
      <c r="I348" s="309" t="s">
        <v>20</v>
      </c>
      <c r="J348" s="274">
        <f t="shared" ref="J348:J357" si="240">SUMIFS($BE$14:$BE$38,$BD$14:$BD$38,F348,$BC$14:$BC$38,"سيمو",$AC$14:$AC$38,"مانافيلا")</f>
        <v>0</v>
      </c>
      <c r="K348" s="274"/>
      <c r="L348" s="274">
        <f>VLOOKUP(F348,'قائمة الأسعار'!$D$336:$F$346,3,0)</f>
        <v>1</v>
      </c>
      <c r="M348" s="282">
        <f t="shared" si="239"/>
        <v>0</v>
      </c>
      <c r="N348" s="412"/>
      <c r="O348" s="275">
        <f t="shared" si="230"/>
        <v>0</v>
      </c>
    </row>
    <row r="349" spans="1:15" ht="15.9" customHeight="1" thickTop="1" thickBot="1" x14ac:dyDescent="0.4">
      <c r="A349" s="275">
        <f>IF(O349=1,SUM($O$138:O349),0)</f>
        <v>0</v>
      </c>
      <c r="B349" s="257">
        <f>IF(O349=1,SUM($O$41:O349),0)</f>
        <v>0</v>
      </c>
      <c r="C349" s="273">
        <v>308</v>
      </c>
      <c r="D349" s="274" t="s">
        <v>346</v>
      </c>
      <c r="E349" s="274"/>
      <c r="F349" s="307">
        <v>15</v>
      </c>
      <c r="G349" s="309" t="s">
        <v>27</v>
      </c>
      <c r="H349" s="308"/>
      <c r="I349" s="309" t="s">
        <v>20</v>
      </c>
      <c r="J349" s="274">
        <f t="shared" si="240"/>
        <v>0</v>
      </c>
      <c r="K349" s="274"/>
      <c r="L349" s="274">
        <f>VLOOKUP(F349,'قائمة الأسعار'!$D$336:$F$346,3,0)</f>
        <v>1</v>
      </c>
      <c r="M349" s="282">
        <f t="shared" si="239"/>
        <v>0</v>
      </c>
      <c r="N349" s="412"/>
      <c r="O349" s="275">
        <f t="shared" si="230"/>
        <v>0</v>
      </c>
    </row>
    <row r="350" spans="1:15" ht="15.9" customHeight="1" thickTop="1" thickBot="1" x14ac:dyDescent="0.4">
      <c r="A350" s="275">
        <f>IF(O350=1,SUM($O$138:O350),0)</f>
        <v>0</v>
      </c>
      <c r="B350" s="257">
        <f>IF(O350=1,SUM($O$41:O350),0)</f>
        <v>0</v>
      </c>
      <c r="C350" s="273">
        <v>309</v>
      </c>
      <c r="D350" s="274" t="s">
        <v>346</v>
      </c>
      <c r="E350" s="274"/>
      <c r="F350" s="307">
        <v>25</v>
      </c>
      <c r="G350" s="309" t="s">
        <v>27</v>
      </c>
      <c r="H350" s="308"/>
      <c r="I350" s="309" t="s">
        <v>20</v>
      </c>
      <c r="J350" s="274">
        <f t="shared" si="240"/>
        <v>0</v>
      </c>
      <c r="K350" s="274"/>
      <c r="L350" s="274">
        <f>VLOOKUP(F350,'قائمة الأسعار'!$D$336:$F$346,3,0)</f>
        <v>1</v>
      </c>
      <c r="M350" s="282">
        <f t="shared" si="239"/>
        <v>0</v>
      </c>
      <c r="N350" s="412"/>
      <c r="O350" s="275">
        <f t="shared" si="230"/>
        <v>0</v>
      </c>
    </row>
    <row r="351" spans="1:15" ht="15.9" customHeight="1" thickTop="1" thickBot="1" x14ac:dyDescent="0.4">
      <c r="A351" s="275">
        <f>IF(O351=1,SUM($O$138:O351),0)</f>
        <v>0</v>
      </c>
      <c r="B351" s="257">
        <f>IF(O351=1,SUM($O$41:O351),0)</f>
        <v>0</v>
      </c>
      <c r="C351" s="273">
        <v>310</v>
      </c>
      <c r="D351" s="274" t="s">
        <v>346</v>
      </c>
      <c r="E351" s="274"/>
      <c r="F351" s="307">
        <v>35</v>
      </c>
      <c r="G351" s="309" t="s">
        <v>27</v>
      </c>
      <c r="H351" s="308"/>
      <c r="I351" s="309" t="s">
        <v>20</v>
      </c>
      <c r="J351" s="274">
        <f t="shared" si="240"/>
        <v>0</v>
      </c>
      <c r="K351" s="274"/>
      <c r="L351" s="274">
        <f>VLOOKUP(F351,'قائمة الأسعار'!$D$336:$F$346,3,0)</f>
        <v>1</v>
      </c>
      <c r="M351" s="282">
        <f t="shared" si="239"/>
        <v>0</v>
      </c>
      <c r="N351" s="412"/>
      <c r="O351" s="275">
        <f t="shared" si="230"/>
        <v>0</v>
      </c>
    </row>
    <row r="352" spans="1:15" ht="15.9" customHeight="1" thickTop="1" thickBot="1" x14ac:dyDescent="0.4">
      <c r="A352" s="275">
        <f>IF(O352=1,SUM($O$138:O352),0)</f>
        <v>0</v>
      </c>
      <c r="B352" s="257">
        <f>IF(O352=1,SUM($O$41:O352),0)</f>
        <v>0</v>
      </c>
      <c r="C352" s="273">
        <v>311</v>
      </c>
      <c r="D352" s="274" t="s">
        <v>346</v>
      </c>
      <c r="E352" s="274"/>
      <c r="F352" s="307">
        <v>40</v>
      </c>
      <c r="G352" s="309" t="s">
        <v>27</v>
      </c>
      <c r="H352" s="308"/>
      <c r="I352" s="309" t="s">
        <v>20</v>
      </c>
      <c r="J352" s="274">
        <f t="shared" si="240"/>
        <v>0</v>
      </c>
      <c r="K352" s="274"/>
      <c r="L352" s="274">
        <f>VLOOKUP(F352,'قائمة الأسعار'!$D$336:$F$346,3,0)</f>
        <v>1</v>
      </c>
      <c r="M352" s="282">
        <f t="shared" si="239"/>
        <v>0</v>
      </c>
      <c r="N352" s="412"/>
      <c r="O352" s="275">
        <f t="shared" si="230"/>
        <v>0</v>
      </c>
    </row>
    <row r="353" spans="1:15" ht="15.9" customHeight="1" thickTop="1" thickBot="1" x14ac:dyDescent="0.4">
      <c r="A353" s="275">
        <f>IF(O353=1,SUM($O$138:O353),0)</f>
        <v>0</v>
      </c>
      <c r="B353" s="257">
        <f>IF(O353=1,SUM($O$41:O353),0)</f>
        <v>0</v>
      </c>
      <c r="C353" s="273">
        <v>312</v>
      </c>
      <c r="D353" s="274" t="s">
        <v>346</v>
      </c>
      <c r="E353" s="274"/>
      <c r="F353" s="307">
        <v>50</v>
      </c>
      <c r="G353" s="309" t="s">
        <v>27</v>
      </c>
      <c r="H353" s="308"/>
      <c r="I353" s="309" t="s">
        <v>20</v>
      </c>
      <c r="J353" s="274">
        <f t="shared" si="240"/>
        <v>0</v>
      </c>
      <c r="K353" s="274"/>
      <c r="L353" s="274">
        <f>VLOOKUP(F353,'قائمة الأسعار'!$D$336:$F$346,3,0)</f>
        <v>1</v>
      </c>
      <c r="M353" s="282">
        <f t="shared" si="239"/>
        <v>0</v>
      </c>
      <c r="N353" s="412"/>
      <c r="O353" s="275">
        <f t="shared" ref="O353:O391" si="241">IF(M353&gt;0,1,0)</f>
        <v>0</v>
      </c>
    </row>
    <row r="354" spans="1:15" ht="15.9" customHeight="1" thickTop="1" thickBot="1" x14ac:dyDescent="0.4">
      <c r="A354" s="275">
        <f>IF(O354=1,SUM($O$138:O354),0)</f>
        <v>0</v>
      </c>
      <c r="B354" s="257">
        <f>IF(O354=1,SUM($O$41:O354),0)</f>
        <v>0</v>
      </c>
      <c r="C354" s="273">
        <v>313</v>
      </c>
      <c r="D354" s="274" t="s">
        <v>346</v>
      </c>
      <c r="E354" s="274"/>
      <c r="F354" s="307">
        <v>60</v>
      </c>
      <c r="G354" s="309" t="s">
        <v>27</v>
      </c>
      <c r="H354" s="308"/>
      <c r="I354" s="309" t="s">
        <v>20</v>
      </c>
      <c r="J354" s="274">
        <f t="shared" si="240"/>
        <v>0</v>
      </c>
      <c r="K354" s="274"/>
      <c r="L354" s="274">
        <f>VLOOKUP(F354,'قائمة الأسعار'!$D$336:$F$346,3,0)</f>
        <v>1</v>
      </c>
      <c r="M354" s="282">
        <f t="shared" si="239"/>
        <v>0</v>
      </c>
      <c r="N354" s="412"/>
      <c r="O354" s="275">
        <f t="shared" si="241"/>
        <v>0</v>
      </c>
    </row>
    <row r="355" spans="1:15" ht="15.9" customHeight="1" thickTop="1" thickBot="1" x14ac:dyDescent="0.4">
      <c r="A355" s="275">
        <f>IF(O355=1,SUM($O$138:O355),0)</f>
        <v>0</v>
      </c>
      <c r="B355" s="257">
        <f>IF(O355=1,SUM($O$41:O355),0)</f>
        <v>0</v>
      </c>
      <c r="C355" s="273">
        <v>314</v>
      </c>
      <c r="D355" s="274" t="s">
        <v>346</v>
      </c>
      <c r="E355" s="274"/>
      <c r="F355" s="307">
        <v>80</v>
      </c>
      <c r="G355" s="309" t="s">
        <v>27</v>
      </c>
      <c r="H355" s="308"/>
      <c r="I355" s="309" t="s">
        <v>20</v>
      </c>
      <c r="J355" s="274">
        <f t="shared" si="240"/>
        <v>0</v>
      </c>
      <c r="K355" s="274"/>
      <c r="L355" s="274">
        <f>VLOOKUP(F355,'قائمة الأسعار'!$D$336:$F$346,3,0)</f>
        <v>1</v>
      </c>
      <c r="M355" s="282">
        <f>L355*J355</f>
        <v>0</v>
      </c>
      <c r="N355" s="412"/>
      <c r="O355" s="275">
        <f t="shared" si="241"/>
        <v>0</v>
      </c>
    </row>
    <row r="356" spans="1:15" ht="15.9" customHeight="1" thickTop="1" thickBot="1" x14ac:dyDescent="0.4">
      <c r="A356" s="275">
        <f>IF(O356=1,SUM($O$138:O356),0)</f>
        <v>0</v>
      </c>
      <c r="B356" s="257">
        <f>IF(O356=1,SUM($O$41:O356),0)</f>
        <v>0</v>
      </c>
      <c r="C356" s="273">
        <v>315</v>
      </c>
      <c r="D356" s="274" t="s">
        <v>346</v>
      </c>
      <c r="E356" s="274"/>
      <c r="F356" s="307">
        <v>100</v>
      </c>
      <c r="G356" s="309" t="s">
        <v>27</v>
      </c>
      <c r="H356" s="308"/>
      <c r="I356" s="309" t="s">
        <v>20</v>
      </c>
      <c r="J356" s="274">
        <f t="shared" si="240"/>
        <v>0</v>
      </c>
      <c r="K356" s="274"/>
      <c r="L356" s="274">
        <f>VLOOKUP(F356,'قائمة الأسعار'!$D$336:$F$346,3,0)</f>
        <v>1</v>
      </c>
      <c r="M356" s="282">
        <f t="shared" ref="M356:M365" si="242">L356*J356</f>
        <v>0</v>
      </c>
      <c r="N356" s="412"/>
      <c r="O356" s="275">
        <f t="shared" si="241"/>
        <v>0</v>
      </c>
    </row>
    <row r="357" spans="1:15" ht="15.9" customHeight="1" thickTop="1" thickBot="1" x14ac:dyDescent="0.4">
      <c r="A357" s="275">
        <f>IF(O357=1,SUM($O$138:O357),0)</f>
        <v>0</v>
      </c>
      <c r="B357" s="257">
        <f>IF(O357=1,SUM($O$41:O357),0)</f>
        <v>0</v>
      </c>
      <c r="C357" s="273">
        <v>316</v>
      </c>
      <c r="D357" s="274" t="s">
        <v>346</v>
      </c>
      <c r="E357" s="274"/>
      <c r="F357" s="307">
        <v>120</v>
      </c>
      <c r="G357" s="309" t="s">
        <v>27</v>
      </c>
      <c r="H357" s="308"/>
      <c r="I357" s="309" t="s">
        <v>20</v>
      </c>
      <c r="J357" s="274">
        <f t="shared" si="240"/>
        <v>0</v>
      </c>
      <c r="K357" s="274"/>
      <c r="L357" s="274">
        <f>VLOOKUP(F357,'قائمة الأسعار'!$D$336:$F$346,3,0)</f>
        <v>1</v>
      </c>
      <c r="M357" s="282">
        <f t="shared" si="242"/>
        <v>0</v>
      </c>
      <c r="N357" s="412"/>
      <c r="O357" s="275">
        <f t="shared" si="241"/>
        <v>0</v>
      </c>
    </row>
    <row r="358" spans="1:15" ht="15.9" customHeight="1" thickTop="1" thickBot="1" x14ac:dyDescent="0.4">
      <c r="A358" s="275">
        <f>IF(O358=1,SUM($O$138:O358),0)</f>
        <v>0</v>
      </c>
      <c r="B358" s="257">
        <f>IF(O358=1,SUM($O$41:O358),0)</f>
        <v>0</v>
      </c>
      <c r="C358" s="273">
        <v>317</v>
      </c>
      <c r="D358" s="274" t="s">
        <v>362</v>
      </c>
      <c r="E358" s="274"/>
      <c r="F358" s="307">
        <v>8</v>
      </c>
      <c r="G358" s="309" t="s">
        <v>27</v>
      </c>
      <c r="H358" s="308"/>
      <c r="I358" s="309" t="s">
        <v>20</v>
      </c>
      <c r="J358" s="274">
        <f>SUMIFS($BE$14:$BE$38,$BD$14:$BD$38,F358,$BC$14:$BC$38,"هيولايت",$AC$14:$AC$38,"مانافيلا")</f>
        <v>0</v>
      </c>
      <c r="K358" s="274"/>
      <c r="L358" s="274">
        <f>VLOOKUP(F358,'قائمة الأسعار'!$D$348:$F$358,3,0)</f>
        <v>1</v>
      </c>
      <c r="M358" s="282">
        <f t="shared" si="242"/>
        <v>0</v>
      </c>
      <c r="N358" s="412"/>
      <c r="O358" s="275">
        <f t="shared" si="241"/>
        <v>0</v>
      </c>
    </row>
    <row r="359" spans="1:15" ht="15.9" customHeight="1" thickTop="1" thickBot="1" x14ac:dyDescent="0.4">
      <c r="A359" s="275">
        <f>IF(O359=1,SUM($O$138:O359),0)</f>
        <v>0</v>
      </c>
      <c r="B359" s="257">
        <f>IF(O359=1,SUM($O$41:O359),0)</f>
        <v>0</v>
      </c>
      <c r="C359" s="273">
        <v>318</v>
      </c>
      <c r="D359" s="274" t="s">
        <v>362</v>
      </c>
      <c r="E359" s="274"/>
      <c r="F359" s="307">
        <v>10</v>
      </c>
      <c r="G359" s="309" t="s">
        <v>27</v>
      </c>
      <c r="H359" s="308"/>
      <c r="I359" s="309" t="s">
        <v>20</v>
      </c>
      <c r="J359" s="274">
        <f>SUMIFS($BE$14:$BE$38,$BD$14:$BD$38,F359,$BC$14:$BC$38,"هيولايت",$AC$14:$AC$38,"مانافيلا")</f>
        <v>0</v>
      </c>
      <c r="K359" s="274"/>
      <c r="L359" s="274">
        <f>VLOOKUP(F359,'قائمة الأسعار'!$D$348:$F$358,3,0)</f>
        <v>1</v>
      </c>
      <c r="M359" s="282">
        <f t="shared" si="242"/>
        <v>0</v>
      </c>
      <c r="N359" s="412"/>
      <c r="O359" s="275">
        <f t="shared" si="241"/>
        <v>0</v>
      </c>
    </row>
    <row r="360" spans="1:15" ht="15.9" customHeight="1" thickTop="1" thickBot="1" x14ac:dyDescent="0.4">
      <c r="A360" s="275">
        <f>IF(O360=1,SUM($O$138:O360),0)</f>
        <v>0</v>
      </c>
      <c r="B360" s="257">
        <f>IF(O360=1,SUM($O$41:O360),0)</f>
        <v>0</v>
      </c>
      <c r="C360" s="273">
        <v>319</v>
      </c>
      <c r="D360" s="274" t="s">
        <v>362</v>
      </c>
      <c r="E360" s="274"/>
      <c r="F360" s="307">
        <v>15</v>
      </c>
      <c r="G360" s="309" t="s">
        <v>27</v>
      </c>
      <c r="H360" s="308"/>
      <c r="I360" s="309" t="s">
        <v>20</v>
      </c>
      <c r="J360" s="274">
        <f t="shared" ref="J360:J368" si="243">SUMIFS($BE$14:$BE$38,$BD$14:$BD$38,F360,$BC$14:$BC$38,"هيولايت",$AC$14:$AC$38,"مانافيلا")</f>
        <v>0</v>
      </c>
      <c r="K360" s="274"/>
      <c r="L360" s="274">
        <f>VLOOKUP(F360,'قائمة الأسعار'!$D$348:$F$358,3,0)</f>
        <v>1</v>
      </c>
      <c r="M360" s="282">
        <f t="shared" si="242"/>
        <v>0</v>
      </c>
      <c r="N360" s="412"/>
      <c r="O360" s="275">
        <f t="shared" si="241"/>
        <v>0</v>
      </c>
    </row>
    <row r="361" spans="1:15" ht="15.9" customHeight="1" thickTop="1" thickBot="1" x14ac:dyDescent="0.4">
      <c r="A361" s="275">
        <f>IF(O361=1,SUM($O$138:O361),0)</f>
        <v>0</v>
      </c>
      <c r="B361" s="257">
        <f>IF(O361=1,SUM($O$41:O361),0)</f>
        <v>0</v>
      </c>
      <c r="C361" s="273">
        <v>320</v>
      </c>
      <c r="D361" s="274" t="s">
        <v>362</v>
      </c>
      <c r="E361" s="274"/>
      <c r="F361" s="307">
        <v>20</v>
      </c>
      <c r="G361" s="309" t="s">
        <v>27</v>
      </c>
      <c r="H361" s="308"/>
      <c r="I361" s="309" t="s">
        <v>20</v>
      </c>
      <c r="J361" s="274">
        <f t="shared" si="243"/>
        <v>0</v>
      </c>
      <c r="K361" s="274"/>
      <c r="L361" s="274">
        <f>VLOOKUP(F361,'قائمة الأسعار'!$D$348:$F$358,3,0)</f>
        <v>1</v>
      </c>
      <c r="M361" s="282">
        <f t="shared" si="242"/>
        <v>0</v>
      </c>
      <c r="N361" s="412"/>
      <c r="O361" s="275">
        <f t="shared" si="241"/>
        <v>0</v>
      </c>
    </row>
    <row r="362" spans="1:15" ht="15.9" customHeight="1" thickTop="1" thickBot="1" x14ac:dyDescent="0.4">
      <c r="A362" s="275">
        <f>IF(O362=1,SUM($O$138:O362),0)</f>
        <v>0</v>
      </c>
      <c r="B362" s="257">
        <f>IF(O362=1,SUM($O$41:O362),0)</f>
        <v>0</v>
      </c>
      <c r="C362" s="273">
        <v>321</v>
      </c>
      <c r="D362" s="274" t="s">
        <v>362</v>
      </c>
      <c r="E362" s="274"/>
      <c r="F362" s="307">
        <v>30</v>
      </c>
      <c r="G362" s="309" t="s">
        <v>27</v>
      </c>
      <c r="H362" s="308"/>
      <c r="I362" s="309" t="s">
        <v>20</v>
      </c>
      <c r="J362" s="274">
        <f t="shared" si="243"/>
        <v>0</v>
      </c>
      <c r="K362" s="274"/>
      <c r="L362" s="274">
        <f>VLOOKUP(F362,'قائمة الأسعار'!$D$348:$F$358,3,0)</f>
        <v>1</v>
      </c>
      <c r="M362" s="282">
        <f t="shared" si="242"/>
        <v>0</v>
      </c>
      <c r="N362" s="412"/>
      <c r="O362" s="275">
        <f t="shared" si="241"/>
        <v>0</v>
      </c>
    </row>
    <row r="363" spans="1:15" ht="15.9" customHeight="1" thickTop="1" thickBot="1" x14ac:dyDescent="0.4">
      <c r="A363" s="275">
        <f>IF(O363=1,SUM($O$138:O363),0)</f>
        <v>0</v>
      </c>
      <c r="B363" s="257">
        <f>IF(O363=1,SUM($O$41:O363),0)</f>
        <v>0</v>
      </c>
      <c r="C363" s="273">
        <v>322</v>
      </c>
      <c r="D363" s="274" t="s">
        <v>362</v>
      </c>
      <c r="E363" s="274"/>
      <c r="F363" s="307">
        <v>40</v>
      </c>
      <c r="G363" s="309" t="s">
        <v>27</v>
      </c>
      <c r="H363" s="308"/>
      <c r="I363" s="309" t="s">
        <v>20</v>
      </c>
      <c r="J363" s="274">
        <f t="shared" si="243"/>
        <v>0</v>
      </c>
      <c r="K363" s="274"/>
      <c r="L363" s="274">
        <f>VLOOKUP(F363,'قائمة الأسعار'!$D$348:$F$358,3,0)</f>
        <v>1</v>
      </c>
      <c r="M363" s="282">
        <f t="shared" si="242"/>
        <v>0</v>
      </c>
      <c r="N363" s="412"/>
      <c r="O363" s="275">
        <f t="shared" si="241"/>
        <v>0</v>
      </c>
    </row>
    <row r="364" spans="1:15" ht="15.9" customHeight="1" thickTop="1" thickBot="1" x14ac:dyDescent="0.4">
      <c r="A364" s="275">
        <f>IF(O364=1,SUM($O$138:O364),0)</f>
        <v>0</v>
      </c>
      <c r="B364" s="257">
        <f>IF(O364=1,SUM($O$41:O364),0)</f>
        <v>0</v>
      </c>
      <c r="C364" s="273">
        <v>323</v>
      </c>
      <c r="D364" s="274" t="s">
        <v>362</v>
      </c>
      <c r="E364" s="274"/>
      <c r="F364" s="307">
        <v>50</v>
      </c>
      <c r="G364" s="309" t="s">
        <v>27</v>
      </c>
      <c r="H364" s="308"/>
      <c r="I364" s="309" t="s">
        <v>20</v>
      </c>
      <c r="J364" s="274">
        <f t="shared" si="243"/>
        <v>0</v>
      </c>
      <c r="K364" s="274"/>
      <c r="L364" s="274">
        <f>VLOOKUP(F364,'قائمة الأسعار'!$D$348:$F$358,3,0)</f>
        <v>1</v>
      </c>
      <c r="M364" s="282">
        <f t="shared" si="242"/>
        <v>0</v>
      </c>
      <c r="N364" s="412"/>
      <c r="O364" s="275">
        <f t="shared" si="241"/>
        <v>0</v>
      </c>
    </row>
    <row r="365" spans="1:15" ht="15.9" customHeight="1" thickTop="1" thickBot="1" x14ac:dyDescent="0.4">
      <c r="A365" s="275">
        <f>IF(O365=1,SUM($O$138:O365),0)</f>
        <v>0</v>
      </c>
      <c r="B365" s="257">
        <f>IF(O365=1,SUM($O$41:O365),0)</f>
        <v>0</v>
      </c>
      <c r="C365" s="273">
        <v>324</v>
      </c>
      <c r="D365" s="274" t="s">
        <v>362</v>
      </c>
      <c r="E365" s="274"/>
      <c r="F365" s="307">
        <v>60</v>
      </c>
      <c r="G365" s="309" t="s">
        <v>27</v>
      </c>
      <c r="H365" s="308"/>
      <c r="I365" s="309" t="s">
        <v>20</v>
      </c>
      <c r="J365" s="274">
        <f t="shared" si="243"/>
        <v>0</v>
      </c>
      <c r="K365" s="274"/>
      <c r="L365" s="274">
        <f>VLOOKUP(F365,'قائمة الأسعار'!$D$348:$F$358,3,0)</f>
        <v>1</v>
      </c>
      <c r="M365" s="282">
        <f t="shared" si="242"/>
        <v>0</v>
      </c>
      <c r="N365" s="412"/>
      <c r="O365" s="275">
        <f t="shared" si="241"/>
        <v>0</v>
      </c>
    </row>
    <row r="366" spans="1:15" ht="15.9" customHeight="1" thickTop="1" thickBot="1" x14ac:dyDescent="0.4">
      <c r="A366" s="275">
        <f>IF(O366=1,SUM($O$138:O366),0)</f>
        <v>0</v>
      </c>
      <c r="B366" s="257">
        <f>IF(O366=1,SUM($O$41:O366),0)</f>
        <v>0</v>
      </c>
      <c r="C366" s="273">
        <v>325</v>
      </c>
      <c r="D366" s="274" t="s">
        <v>362</v>
      </c>
      <c r="E366" s="274"/>
      <c r="F366" s="307">
        <v>80</v>
      </c>
      <c r="G366" s="309" t="s">
        <v>27</v>
      </c>
      <c r="H366" s="308"/>
      <c r="I366" s="309" t="s">
        <v>20</v>
      </c>
      <c r="J366" s="274">
        <f t="shared" si="243"/>
        <v>0</v>
      </c>
      <c r="K366" s="274"/>
      <c r="L366" s="274">
        <f>VLOOKUP(F366,'قائمة الأسعار'!$D$348:$F$358,3,0)</f>
        <v>1</v>
      </c>
      <c r="M366" s="282">
        <f>L366*J366</f>
        <v>0</v>
      </c>
      <c r="N366" s="412"/>
      <c r="O366" s="275">
        <f t="shared" si="241"/>
        <v>0</v>
      </c>
    </row>
    <row r="367" spans="1:15" ht="15.9" customHeight="1" thickTop="1" thickBot="1" x14ac:dyDescent="0.4">
      <c r="A367" s="275">
        <f>IF(O367=1,SUM($O$138:O367),0)</f>
        <v>0</v>
      </c>
      <c r="B367" s="257">
        <f>IF(O367=1,SUM($O$41:O367),0)</f>
        <v>0</v>
      </c>
      <c r="C367" s="273">
        <v>326</v>
      </c>
      <c r="D367" s="274" t="s">
        <v>362</v>
      </c>
      <c r="E367" s="274"/>
      <c r="F367" s="307">
        <v>100</v>
      </c>
      <c r="G367" s="309" t="s">
        <v>27</v>
      </c>
      <c r="H367" s="308"/>
      <c r="I367" s="309" t="s">
        <v>20</v>
      </c>
      <c r="J367" s="274">
        <f t="shared" si="243"/>
        <v>0</v>
      </c>
      <c r="K367" s="274"/>
      <c r="L367" s="274">
        <f>VLOOKUP(F367,'قائمة الأسعار'!$D$348:$F$358,3,0)</f>
        <v>1</v>
      </c>
      <c r="M367" s="282">
        <f t="shared" ref="M367:M375" si="244">L367*J367</f>
        <v>0</v>
      </c>
      <c r="N367" s="412"/>
      <c r="O367" s="275">
        <f t="shared" si="241"/>
        <v>0</v>
      </c>
    </row>
    <row r="368" spans="1:15" ht="15.9" customHeight="1" thickTop="1" thickBot="1" x14ac:dyDescent="0.4">
      <c r="A368" s="275">
        <f>IF(O368=1,SUM($O$138:O368),0)</f>
        <v>0</v>
      </c>
      <c r="B368" s="257">
        <f>IF(O368=1,SUM($O$41:O368),0)</f>
        <v>0</v>
      </c>
      <c r="C368" s="273">
        <v>327</v>
      </c>
      <c r="D368" s="274" t="s">
        <v>362</v>
      </c>
      <c r="E368" s="325"/>
      <c r="F368" s="326">
        <v>120</v>
      </c>
      <c r="G368" s="327" t="s">
        <v>27</v>
      </c>
      <c r="H368" s="328"/>
      <c r="I368" s="327" t="s">
        <v>20</v>
      </c>
      <c r="J368" s="325">
        <f t="shared" si="243"/>
        <v>0</v>
      </c>
      <c r="K368" s="325"/>
      <c r="L368" s="325">
        <f>VLOOKUP(F368,'قائمة الأسعار'!$D$348:$F$358,3,0)</f>
        <v>1</v>
      </c>
      <c r="M368" s="329">
        <f t="shared" si="244"/>
        <v>0</v>
      </c>
      <c r="N368" s="414"/>
      <c r="O368" s="275">
        <f t="shared" si="241"/>
        <v>0</v>
      </c>
    </row>
    <row r="369" spans="1:15" ht="15.9" customHeight="1" thickTop="1" thickBot="1" x14ac:dyDescent="0.4">
      <c r="A369" s="37">
        <f>IF(O369=1,SUM($O$369,O369),0)</f>
        <v>0</v>
      </c>
      <c r="B369" s="257">
        <f>IF(O369=1,SUM($O$41:O369),0)</f>
        <v>0</v>
      </c>
      <c r="C369" s="324">
        <v>328</v>
      </c>
      <c r="D369" s="352" t="s">
        <v>347</v>
      </c>
      <c r="E369" s="353"/>
      <c r="F369" s="816"/>
      <c r="G369" s="816"/>
      <c r="H369" s="816"/>
      <c r="I369" s="335" t="s">
        <v>20</v>
      </c>
      <c r="J369" s="334">
        <f>BM39</f>
        <v>0</v>
      </c>
      <c r="K369" s="334"/>
      <c r="L369" s="335">
        <f>VLOOKUP(D369,'قائمة الأسعار'!$D$361:$F$367,3,0)</f>
        <v>1</v>
      </c>
      <c r="M369" s="336">
        <f t="shared" si="244"/>
        <v>0</v>
      </c>
      <c r="N369" s="415"/>
      <c r="O369" s="275">
        <f>IF(M369&gt;0,1,0)</f>
        <v>0</v>
      </c>
    </row>
    <row r="370" spans="1:15" ht="15.9" customHeight="1" thickTop="1" thickBot="1" x14ac:dyDescent="0.4">
      <c r="A370" s="37">
        <f>IF(O370=1,SUM($O$369,O370),0)</f>
        <v>0</v>
      </c>
      <c r="B370" s="257">
        <f>IF(O370=1,SUM($O$41:O370),0)</f>
        <v>0</v>
      </c>
      <c r="C370" s="324">
        <v>329</v>
      </c>
      <c r="D370" s="354" t="s">
        <v>348</v>
      </c>
      <c r="E370" s="351"/>
      <c r="F370" s="808"/>
      <c r="G370" s="808"/>
      <c r="H370" s="808"/>
      <c r="I370" s="274" t="s">
        <v>20</v>
      </c>
      <c r="J370" s="323">
        <f>BN39</f>
        <v>0</v>
      </c>
      <c r="K370" s="59"/>
      <c r="L370" s="274">
        <f>VLOOKUP(D370,'قائمة الأسعار'!$D$361:$F$367,3,0)</f>
        <v>1</v>
      </c>
      <c r="M370" s="282">
        <f t="shared" si="244"/>
        <v>0</v>
      </c>
      <c r="N370" s="416"/>
      <c r="O370" s="275">
        <f t="shared" si="241"/>
        <v>0</v>
      </c>
    </row>
    <row r="371" spans="1:15" ht="15.9" customHeight="1" thickTop="1" thickBot="1" x14ac:dyDescent="0.4">
      <c r="A371" s="37">
        <f>IF(O371=1,SUM($O$369:O371),0)</f>
        <v>0</v>
      </c>
      <c r="B371" s="257">
        <f>IF(O371=1,SUM($O$41:O371),0)</f>
        <v>0</v>
      </c>
      <c r="C371" s="324">
        <v>330</v>
      </c>
      <c r="D371" s="354" t="s">
        <v>349</v>
      </c>
      <c r="E371" s="351"/>
      <c r="F371" s="808"/>
      <c r="G371" s="808"/>
      <c r="H371" s="808"/>
      <c r="I371" s="274" t="s">
        <v>20</v>
      </c>
      <c r="J371" s="323">
        <f>BO39</f>
        <v>0</v>
      </c>
      <c r="K371" s="59"/>
      <c r="L371" s="274">
        <f>VLOOKUP(D371,'قائمة الأسعار'!$D$361:$F$367,3,0)</f>
        <v>1</v>
      </c>
      <c r="M371" s="282">
        <f t="shared" si="244"/>
        <v>0</v>
      </c>
      <c r="N371" s="416"/>
      <c r="O371" s="275">
        <f t="shared" si="241"/>
        <v>0</v>
      </c>
    </row>
    <row r="372" spans="1:15" ht="15.9" customHeight="1" thickTop="1" thickBot="1" x14ac:dyDescent="0.4">
      <c r="A372" s="37">
        <f>IF(O372=1,SUM($O$369:O372),0)</f>
        <v>0</v>
      </c>
      <c r="B372" s="257">
        <f>IF(O372=1,SUM($O$41:O372),0)</f>
        <v>0</v>
      </c>
      <c r="C372" s="324">
        <v>331</v>
      </c>
      <c r="D372" s="354" t="s">
        <v>350</v>
      </c>
      <c r="E372" s="351"/>
      <c r="F372" s="808"/>
      <c r="G372" s="808"/>
      <c r="H372" s="808"/>
      <c r="I372" s="274" t="s">
        <v>20</v>
      </c>
      <c r="J372" s="323">
        <f>BP39</f>
        <v>0</v>
      </c>
      <c r="K372" s="59"/>
      <c r="L372" s="274">
        <f>VLOOKUP(D372,'قائمة الأسعار'!$D$361:$F$367,3,0)</f>
        <v>1</v>
      </c>
      <c r="M372" s="282">
        <f t="shared" si="244"/>
        <v>0</v>
      </c>
      <c r="N372" s="416"/>
      <c r="O372" s="275">
        <f t="shared" si="241"/>
        <v>0</v>
      </c>
    </row>
    <row r="373" spans="1:15" ht="15.9" customHeight="1" thickTop="1" thickBot="1" x14ac:dyDescent="0.4">
      <c r="A373" s="37">
        <f>IF(O373=1,SUM($O$369:O373),0)</f>
        <v>0</v>
      </c>
      <c r="B373" s="257">
        <f>IF(O373=1,SUM($O$41:O373),0)</f>
        <v>0</v>
      </c>
      <c r="C373" s="324">
        <v>332</v>
      </c>
      <c r="D373" s="354" t="s">
        <v>351</v>
      </c>
      <c r="E373" s="351"/>
      <c r="F373" s="808"/>
      <c r="G373" s="808"/>
      <c r="H373" s="808"/>
      <c r="I373" s="274" t="s">
        <v>20</v>
      </c>
      <c r="J373" s="323">
        <f>BQ39</f>
        <v>0</v>
      </c>
      <c r="K373" s="59"/>
      <c r="L373" s="274">
        <f>VLOOKUP(D373,'قائمة الأسعار'!$D$361:$F$367,3,0)</f>
        <v>1</v>
      </c>
      <c r="M373" s="282">
        <f t="shared" si="244"/>
        <v>0</v>
      </c>
      <c r="N373" s="416"/>
      <c r="O373" s="275">
        <f t="shared" si="241"/>
        <v>0</v>
      </c>
    </row>
    <row r="374" spans="1:15" ht="15.9" customHeight="1" thickTop="1" thickBot="1" x14ac:dyDescent="0.4">
      <c r="A374" s="37">
        <f>IF(O374=1,SUM($O$369:O374),0)</f>
        <v>0</v>
      </c>
      <c r="B374" s="257">
        <f>IF(O374=1,SUM($O$41:O374),0)</f>
        <v>0</v>
      </c>
      <c r="C374" s="324">
        <v>333</v>
      </c>
      <c r="D374" s="354" t="s">
        <v>352</v>
      </c>
      <c r="E374" s="351"/>
      <c r="F374" s="808"/>
      <c r="G374" s="808"/>
      <c r="H374" s="808"/>
      <c r="I374" s="274" t="s">
        <v>20</v>
      </c>
      <c r="J374" s="323">
        <f>BR39</f>
        <v>0</v>
      </c>
      <c r="K374" s="59"/>
      <c r="L374" s="274">
        <f>VLOOKUP(D374,'قائمة الأسعار'!$D$361:$F$367,3,0)</f>
        <v>1</v>
      </c>
      <c r="M374" s="282">
        <f t="shared" si="244"/>
        <v>0</v>
      </c>
      <c r="N374" s="416"/>
      <c r="O374" s="275">
        <f t="shared" si="241"/>
        <v>0</v>
      </c>
    </row>
    <row r="375" spans="1:15" ht="15.9" customHeight="1" thickTop="1" thickBot="1" x14ac:dyDescent="0.4">
      <c r="A375" s="37">
        <f>IF(O375=1,SUM($O$369:O375),0)</f>
        <v>0</v>
      </c>
      <c r="B375" s="257">
        <f>IF(O375=1,SUM($O$41:O375),0)</f>
        <v>0</v>
      </c>
      <c r="C375" s="324">
        <v>334</v>
      </c>
      <c r="D375" s="355" t="s">
        <v>409</v>
      </c>
      <c r="E375" s="356"/>
      <c r="F375" s="828"/>
      <c r="G375" s="828"/>
      <c r="H375" s="828"/>
      <c r="I375" s="339" t="s">
        <v>20</v>
      </c>
      <c r="J375" s="337">
        <f>BS39</f>
        <v>0</v>
      </c>
      <c r="K375" s="338"/>
      <c r="L375" s="339">
        <f>VLOOKUP(D375,'قائمة الأسعار'!$D$361:$F$367,3,0)</f>
        <v>1</v>
      </c>
      <c r="M375" s="340">
        <f t="shared" si="244"/>
        <v>0</v>
      </c>
      <c r="N375" s="417"/>
      <c r="O375" s="275">
        <f t="shared" si="241"/>
        <v>0</v>
      </c>
    </row>
    <row r="376" spans="1:15" ht="18.75" customHeight="1" thickTop="1" thickBot="1" x14ac:dyDescent="0.4">
      <c r="A376" s="37">
        <f>IF(O376=1,SUM($O$369:O376),0)</f>
        <v>0</v>
      </c>
      <c r="B376" s="257">
        <f>IF(O376=1,SUM($O$41:O376),0)</f>
        <v>0</v>
      </c>
      <c r="C376" s="324">
        <v>335</v>
      </c>
      <c r="D376" s="365" t="s">
        <v>353</v>
      </c>
      <c r="E376" s="366"/>
      <c r="F376" s="829"/>
      <c r="G376" s="829"/>
      <c r="H376" s="829"/>
      <c r="I376" s="333" t="s">
        <v>20</v>
      </c>
      <c r="J376" s="331">
        <f>BT$39</f>
        <v>0</v>
      </c>
      <c r="K376" s="331"/>
      <c r="L376" s="330">
        <f>VLOOKUP(D376,'قائمة الأسعار'!$D$369:$F$374,3,0)</f>
        <v>1</v>
      </c>
      <c r="M376" s="332">
        <f t="shared" ref="M376:M381" si="245">J376*L376</f>
        <v>0</v>
      </c>
      <c r="N376" s="418"/>
      <c r="O376" s="275">
        <f t="shared" si="241"/>
        <v>0</v>
      </c>
    </row>
    <row r="377" spans="1:15" ht="18.75" customHeight="1" thickTop="1" thickBot="1" x14ac:dyDescent="0.4">
      <c r="A377" s="37">
        <f>IF(O377=1,SUM($O$369:O377),0)</f>
        <v>0</v>
      </c>
      <c r="B377" s="257">
        <f>IF(O377=1,SUM($O$41:O377),0)</f>
        <v>0</v>
      </c>
      <c r="C377" s="324">
        <v>336</v>
      </c>
      <c r="D377" s="348" t="s">
        <v>354</v>
      </c>
      <c r="E377" s="345"/>
      <c r="F377" s="808"/>
      <c r="G377" s="808"/>
      <c r="H377" s="808"/>
      <c r="I377" s="274" t="s">
        <v>20</v>
      </c>
      <c r="J377" s="59">
        <f>BU$39</f>
        <v>0</v>
      </c>
      <c r="K377" s="59"/>
      <c r="L377" s="255">
        <f>VLOOKUP(D377,'قائمة الأسعار'!$D$369:$F$374,3,0)</f>
        <v>1</v>
      </c>
      <c r="M377" s="58">
        <f t="shared" si="245"/>
        <v>0</v>
      </c>
      <c r="N377" s="416"/>
      <c r="O377" s="275">
        <f t="shared" si="241"/>
        <v>0</v>
      </c>
    </row>
    <row r="378" spans="1:15" ht="18.75" customHeight="1" thickTop="1" thickBot="1" x14ac:dyDescent="0.4">
      <c r="A378" s="37">
        <f>IF(O378=1,SUM($O$369:O378),0)</f>
        <v>0</v>
      </c>
      <c r="B378" s="257">
        <f>IF(O378=1,SUM($O$41:O378),0)</f>
        <v>0</v>
      </c>
      <c r="C378" s="324">
        <v>337</v>
      </c>
      <c r="D378" s="348" t="s">
        <v>355</v>
      </c>
      <c r="E378" s="345"/>
      <c r="F378" s="808"/>
      <c r="G378" s="808"/>
      <c r="H378" s="808"/>
      <c r="I378" s="274" t="s">
        <v>20</v>
      </c>
      <c r="J378" s="59">
        <f>BV$39</f>
        <v>0</v>
      </c>
      <c r="K378" s="59"/>
      <c r="L378" s="255">
        <f>VLOOKUP(D378,'قائمة الأسعار'!$D$369:$F$374,3,0)</f>
        <v>1</v>
      </c>
      <c r="M378" s="58">
        <f t="shared" si="245"/>
        <v>0</v>
      </c>
      <c r="N378" s="416"/>
      <c r="O378" s="275">
        <f t="shared" si="241"/>
        <v>0</v>
      </c>
    </row>
    <row r="379" spans="1:15" ht="18.75" customHeight="1" thickTop="1" thickBot="1" x14ac:dyDescent="0.4">
      <c r="A379" s="37">
        <f>IF(O379=1,SUM($O$369:O379),0)</f>
        <v>0</v>
      </c>
      <c r="B379" s="257">
        <f>IF(O379=1,SUM($O$41:O379),0)</f>
        <v>0</v>
      </c>
      <c r="C379" s="324">
        <v>338</v>
      </c>
      <c r="D379" s="348" t="s">
        <v>356</v>
      </c>
      <c r="E379" s="345"/>
      <c r="F379" s="808"/>
      <c r="G379" s="808"/>
      <c r="H379" s="808"/>
      <c r="I379" s="274" t="s">
        <v>20</v>
      </c>
      <c r="J379" s="59">
        <f>BW$39</f>
        <v>0</v>
      </c>
      <c r="K379" s="59"/>
      <c r="L379" s="255">
        <f>VLOOKUP(D379,'قائمة الأسعار'!$D$369:$F$374,3,0)</f>
        <v>1</v>
      </c>
      <c r="M379" s="58">
        <f t="shared" si="245"/>
        <v>0</v>
      </c>
      <c r="N379" s="416"/>
      <c r="O379" s="275">
        <f t="shared" si="241"/>
        <v>0</v>
      </c>
    </row>
    <row r="380" spans="1:15" ht="18.75" customHeight="1" thickTop="1" thickBot="1" x14ac:dyDescent="0.4">
      <c r="A380" s="37">
        <f>IF(O380=1,SUM($O$369:O380),0)</f>
        <v>0</v>
      </c>
      <c r="B380" s="257">
        <f>IF(O380=1,SUM($O$41:O380),0)</f>
        <v>0</v>
      </c>
      <c r="C380" s="324">
        <v>339</v>
      </c>
      <c r="D380" s="348" t="s">
        <v>357</v>
      </c>
      <c r="E380" s="345"/>
      <c r="F380" s="808"/>
      <c r="G380" s="808"/>
      <c r="H380" s="808"/>
      <c r="I380" s="274" t="s">
        <v>20</v>
      </c>
      <c r="J380" s="59">
        <f>BX$39</f>
        <v>0</v>
      </c>
      <c r="K380" s="59"/>
      <c r="L380" s="255">
        <f>VLOOKUP(D380,'قائمة الأسعار'!$D$369:$F$374,3,0)</f>
        <v>1</v>
      </c>
      <c r="M380" s="58">
        <f t="shared" si="245"/>
        <v>0</v>
      </c>
      <c r="N380" s="416"/>
      <c r="O380" s="275">
        <f t="shared" si="241"/>
        <v>0</v>
      </c>
    </row>
    <row r="381" spans="1:15" ht="18.75" customHeight="1" thickTop="1" thickBot="1" x14ac:dyDescent="0.4">
      <c r="A381" s="37">
        <f>IF(O381=1,SUM($O$369:O381),0)</f>
        <v>0</v>
      </c>
      <c r="B381" s="257">
        <f>IF(O381=1,SUM($O$41:O381),0)</f>
        <v>0</v>
      </c>
      <c r="C381" s="324">
        <v>340</v>
      </c>
      <c r="D381" s="349" t="s">
        <v>358</v>
      </c>
      <c r="E381" s="350"/>
      <c r="F381" s="828"/>
      <c r="G381" s="828"/>
      <c r="H381" s="828"/>
      <c r="I381" s="339" t="s">
        <v>20</v>
      </c>
      <c r="J381" s="338">
        <f>BY$39</f>
        <v>0</v>
      </c>
      <c r="K381" s="338"/>
      <c r="L381" s="343">
        <f>VLOOKUP(D381,'قائمة الأسعار'!$D$369:$F$374,3,0)</f>
        <v>1</v>
      </c>
      <c r="M381" s="58">
        <f t="shared" si="245"/>
        <v>0</v>
      </c>
      <c r="N381" s="417"/>
      <c r="O381" s="275">
        <f t="shared" si="241"/>
        <v>0</v>
      </c>
    </row>
    <row r="382" spans="1:15" ht="15.9" customHeight="1" thickTop="1" thickBot="1" x14ac:dyDescent="0.4">
      <c r="A382" s="37">
        <f>IF(O382=1,SUM($O$369:O382),0)</f>
        <v>0</v>
      </c>
      <c r="B382" s="257">
        <f>IF(O382=1,SUM($O$41:O382),0)</f>
        <v>0</v>
      </c>
      <c r="C382" s="324">
        <v>341</v>
      </c>
      <c r="D382" s="359" t="s">
        <v>301</v>
      </c>
      <c r="E382" s="360"/>
      <c r="F382" s="834"/>
      <c r="G382" s="834"/>
      <c r="H382" s="834"/>
      <c r="I382" s="335" t="s">
        <v>20</v>
      </c>
      <c r="J382" s="341">
        <f>BZ$39</f>
        <v>0</v>
      </c>
      <c r="K382" s="341"/>
      <c r="L382" s="330">
        <f>VLOOKUP(D382,'قائمة الأسعار'!$D$376:$F$380,3,0)</f>
        <v>1</v>
      </c>
      <c r="M382" s="342">
        <f>L382*J382</f>
        <v>0</v>
      </c>
      <c r="N382" s="419"/>
      <c r="O382" s="275">
        <f t="shared" si="241"/>
        <v>0</v>
      </c>
    </row>
    <row r="383" spans="1:15" ht="15.9" customHeight="1" thickTop="1" thickBot="1" x14ac:dyDescent="0.4">
      <c r="A383" s="37">
        <f>IF(O383=1,SUM($O$369:O383),0)</f>
        <v>0</v>
      </c>
      <c r="B383" s="257">
        <f>IF(O383=1,SUM($O$41:O383),0)</f>
        <v>0</v>
      </c>
      <c r="C383" s="324">
        <v>342</v>
      </c>
      <c r="D383" s="361" t="s">
        <v>302</v>
      </c>
      <c r="E383" s="357"/>
      <c r="F383" s="808"/>
      <c r="G383" s="808"/>
      <c r="H383" s="808"/>
      <c r="I383" s="274" t="s">
        <v>20</v>
      </c>
      <c r="J383" s="59">
        <f>CA$39</f>
        <v>0</v>
      </c>
      <c r="K383" s="59"/>
      <c r="L383" s="330">
        <f>VLOOKUP(D383,'قائمة الأسعار'!$D$376:$F$380,3,0)</f>
        <v>1</v>
      </c>
      <c r="M383" s="58">
        <f>L383*J383</f>
        <v>0</v>
      </c>
      <c r="N383" s="416"/>
      <c r="O383" s="275">
        <f t="shared" si="241"/>
        <v>0</v>
      </c>
    </row>
    <row r="384" spans="1:15" ht="15.9" customHeight="1" thickTop="1" thickBot="1" x14ac:dyDescent="0.4">
      <c r="A384" s="37">
        <f>IF(O384=1,SUM($O$369:O384),0)</f>
        <v>0</v>
      </c>
      <c r="B384" s="257">
        <f>IF(O384=1,SUM($O$41:O384),0)</f>
        <v>0</v>
      </c>
      <c r="C384" s="324">
        <v>343</v>
      </c>
      <c r="D384" s="361" t="s">
        <v>303</v>
      </c>
      <c r="E384" s="357"/>
      <c r="F384" s="808"/>
      <c r="G384" s="808"/>
      <c r="H384" s="808"/>
      <c r="I384" s="274" t="s">
        <v>20</v>
      </c>
      <c r="J384" s="59">
        <f>CB$39</f>
        <v>0</v>
      </c>
      <c r="K384" s="59"/>
      <c r="L384" s="330">
        <f>VLOOKUP(D384,'قائمة الأسعار'!$D$376:$F$380,3,0)</f>
        <v>1</v>
      </c>
      <c r="M384" s="58">
        <f>L384*J384</f>
        <v>0</v>
      </c>
      <c r="N384" s="416"/>
      <c r="O384" s="275">
        <f t="shared" si="241"/>
        <v>0</v>
      </c>
    </row>
    <row r="385" spans="1:15" ht="15.9" customHeight="1" thickTop="1" thickBot="1" x14ac:dyDescent="0.4">
      <c r="A385" s="37">
        <f>IF(O385=1,SUM($O$369:O385),0)</f>
        <v>0</v>
      </c>
      <c r="B385" s="257">
        <f>IF(O385=1,SUM($O$41:O385),0)</f>
        <v>0</v>
      </c>
      <c r="C385" s="324">
        <v>344</v>
      </c>
      <c r="D385" s="361" t="s">
        <v>304</v>
      </c>
      <c r="E385" s="357"/>
      <c r="F385" s="808"/>
      <c r="G385" s="808"/>
      <c r="H385" s="808"/>
      <c r="I385" s="274" t="s">
        <v>20</v>
      </c>
      <c r="J385" s="59">
        <f>CC$39</f>
        <v>0</v>
      </c>
      <c r="K385" s="59"/>
      <c r="L385" s="330">
        <f>VLOOKUP(D385,'قائمة الأسعار'!$D$376:$F$380,3,0)</f>
        <v>1</v>
      </c>
      <c r="M385" s="58">
        <f>L385*J385</f>
        <v>0</v>
      </c>
      <c r="N385" s="416"/>
      <c r="O385" s="275">
        <f t="shared" si="241"/>
        <v>0</v>
      </c>
    </row>
    <row r="386" spans="1:15" ht="15.9" customHeight="1" thickTop="1" thickBot="1" x14ac:dyDescent="0.4">
      <c r="A386" s="37">
        <f>IF(O386=1,SUM($O$369:O386),0)</f>
        <v>0</v>
      </c>
      <c r="B386" s="257">
        <f>IF(O386=1,SUM($O$41:O386),0)</f>
        <v>0</v>
      </c>
      <c r="C386" s="324">
        <v>345</v>
      </c>
      <c r="D386" s="362" t="s">
        <v>305</v>
      </c>
      <c r="E386" s="358"/>
      <c r="F386" s="808"/>
      <c r="G386" s="808"/>
      <c r="H386" s="808"/>
      <c r="I386" s="274" t="s">
        <v>20</v>
      </c>
      <c r="J386" s="59">
        <f>CD$39</f>
        <v>0</v>
      </c>
      <c r="K386" s="59"/>
      <c r="L386" s="330">
        <f>VLOOKUP(D386,'قائمة الأسعار'!$D$376:$F$380,3,0)</f>
        <v>1</v>
      </c>
      <c r="M386" s="58">
        <f>L386*J386</f>
        <v>0</v>
      </c>
      <c r="N386" s="416"/>
      <c r="O386" s="275">
        <f t="shared" si="241"/>
        <v>0</v>
      </c>
    </row>
    <row r="387" spans="1:15" ht="15.9" customHeight="1" thickTop="1" thickBot="1" x14ac:dyDescent="0.4">
      <c r="A387" s="37">
        <f>IF(O387=1,SUM($O$369:O387),0)</f>
        <v>0</v>
      </c>
      <c r="B387" s="257">
        <f>IF(O387=1,SUM($O$41:O387),0)</f>
        <v>0</v>
      </c>
      <c r="C387" s="324">
        <v>346</v>
      </c>
      <c r="D387" s="867"/>
      <c r="E387" s="833"/>
      <c r="F387" s="831"/>
      <c r="G387" s="832"/>
      <c r="H387" s="833"/>
      <c r="I387" s="363"/>
      <c r="J387" s="344"/>
      <c r="K387" s="344"/>
      <c r="L387" s="363"/>
      <c r="M387" s="364"/>
      <c r="N387" s="420"/>
      <c r="O387" s="275">
        <f t="shared" si="241"/>
        <v>0</v>
      </c>
    </row>
    <row r="388" spans="1:15" ht="15.9" customHeight="1" thickTop="1" thickBot="1" x14ac:dyDescent="0.4">
      <c r="A388" s="37">
        <f>IF(O388=1,SUM($O$369:O388),0)</f>
        <v>0</v>
      </c>
      <c r="B388" s="257">
        <f>IF(O388=1,SUM($O$41:O388),0)</f>
        <v>0</v>
      </c>
      <c r="C388" s="324">
        <v>347</v>
      </c>
      <c r="D388" s="868" t="s">
        <v>359</v>
      </c>
      <c r="E388" s="837"/>
      <c r="F388" s="835"/>
      <c r="G388" s="836"/>
      <c r="H388" s="837"/>
      <c r="I388" s="347" t="s">
        <v>20</v>
      </c>
      <c r="J388" s="341">
        <f>IF40</f>
        <v>0</v>
      </c>
      <c r="K388" s="341"/>
      <c r="L388" s="341">
        <f>'قائمة الأسعار'!F382</f>
        <v>1</v>
      </c>
      <c r="M388" s="342">
        <f>L388*J388</f>
        <v>0</v>
      </c>
      <c r="N388" s="419"/>
      <c r="O388" s="275">
        <f t="shared" si="241"/>
        <v>0</v>
      </c>
    </row>
    <row r="389" spans="1:15" ht="15.9" customHeight="1" thickTop="1" thickBot="1" x14ac:dyDescent="0.4">
      <c r="A389" s="37">
        <f>IF(O389=1,SUM($O$369:O389),0)</f>
        <v>0</v>
      </c>
      <c r="B389" s="257">
        <f>IF(O389=1,SUM($O$41:O389),0)</f>
        <v>0</v>
      </c>
      <c r="C389" s="324">
        <v>348</v>
      </c>
      <c r="D389" s="841" t="s">
        <v>360</v>
      </c>
      <c r="E389" s="840"/>
      <c r="F389" s="838"/>
      <c r="G389" s="839"/>
      <c r="H389" s="840"/>
      <c r="I389" s="255" t="s">
        <v>20</v>
      </c>
      <c r="J389" s="59">
        <f>IG40</f>
        <v>0</v>
      </c>
      <c r="K389" s="59"/>
      <c r="L389" s="59">
        <f>'قائمة الأسعار'!F383</f>
        <v>1</v>
      </c>
      <c r="M389" s="58">
        <f>L389*J389</f>
        <v>0</v>
      </c>
      <c r="N389" s="416"/>
      <c r="O389" s="275">
        <f t="shared" si="241"/>
        <v>0</v>
      </c>
    </row>
    <row r="390" spans="1:15" ht="15.9" customHeight="1" thickTop="1" thickBot="1" x14ac:dyDescent="0.4">
      <c r="A390" s="37">
        <f>IF(O390=1,SUM($O$369:O390),0)</f>
        <v>0</v>
      </c>
      <c r="B390" s="257">
        <f>IF(O390=1,SUM($O$41:O390),0)</f>
        <v>0</v>
      </c>
      <c r="C390" s="324">
        <v>349</v>
      </c>
      <c r="D390" s="842" t="s">
        <v>361</v>
      </c>
      <c r="E390" s="843"/>
      <c r="F390" s="846"/>
      <c r="G390" s="847"/>
      <c r="H390" s="843"/>
      <c r="I390" s="343" t="s">
        <v>20</v>
      </c>
      <c r="J390" s="338">
        <f>IH40</f>
        <v>0</v>
      </c>
      <c r="K390" s="338"/>
      <c r="L390" s="338">
        <f>'قائمة الأسعار'!F384</f>
        <v>1</v>
      </c>
      <c r="M390" s="369">
        <f>L390*J390</f>
        <v>0</v>
      </c>
      <c r="N390" s="417"/>
      <c r="O390" s="275">
        <f t="shared" si="241"/>
        <v>0</v>
      </c>
    </row>
    <row r="391" spans="1:15" ht="15.9" customHeight="1" thickTop="1" thickBot="1" x14ac:dyDescent="0.4">
      <c r="A391" s="37">
        <f>IF(O391=1,SUM($O$369,O391),0)</f>
        <v>0</v>
      </c>
      <c r="B391" s="257">
        <f>IF(O391=1,SUM($O$41:O391),0)</f>
        <v>0</v>
      </c>
      <c r="C391" s="273">
        <v>350</v>
      </c>
      <c r="D391" s="844" t="s">
        <v>404</v>
      </c>
      <c r="E391" s="845"/>
      <c r="F391" s="844"/>
      <c r="G391" s="848"/>
      <c r="H391" s="845"/>
      <c r="I391" s="330" t="s">
        <v>20</v>
      </c>
      <c r="J391" s="331">
        <f>II40</f>
        <v>0</v>
      </c>
      <c r="K391" s="331"/>
      <c r="L391" s="331">
        <f>'قائمة الأسعار'!F359</f>
        <v>1</v>
      </c>
      <c r="M391" s="332">
        <f>L391*J391</f>
        <v>0</v>
      </c>
      <c r="N391" s="333"/>
      <c r="O391" s="275">
        <f t="shared" si="241"/>
        <v>0</v>
      </c>
    </row>
    <row r="392" spans="1:15" ht="15.9" customHeight="1" thickTop="1" thickBot="1" x14ac:dyDescent="0.4">
      <c r="D392" s="830" t="s">
        <v>44</v>
      </c>
      <c r="E392" s="830"/>
      <c r="F392" s="830"/>
      <c r="G392" s="830"/>
      <c r="H392" s="830"/>
      <c r="I392" s="830"/>
      <c r="J392" s="830"/>
      <c r="K392" s="830"/>
      <c r="L392" s="830"/>
      <c r="M392" s="830"/>
      <c r="N392" s="830"/>
      <c r="O392" s="830"/>
    </row>
    <row r="393" spans="1:15" ht="15.9" customHeight="1" thickTop="1" thickBot="1" x14ac:dyDescent="0.4">
      <c r="D393" s="878"/>
      <c r="E393" s="879"/>
      <c r="F393" s="879"/>
      <c r="G393" s="879"/>
      <c r="H393" s="879"/>
      <c r="I393" s="879"/>
      <c r="J393" s="879"/>
      <c r="K393" s="879"/>
      <c r="L393" s="879"/>
      <c r="M393" s="879"/>
      <c r="N393" s="879"/>
      <c r="O393" s="879"/>
    </row>
    <row r="394" spans="1:15" ht="15.9" customHeight="1" thickTop="1" thickBot="1" x14ac:dyDescent="0.4">
      <c r="D394" s="870"/>
      <c r="E394" s="870"/>
      <c r="F394" s="870"/>
      <c r="G394" s="870"/>
      <c r="H394" s="870"/>
      <c r="I394" s="870"/>
      <c r="J394" s="870"/>
      <c r="K394" s="870"/>
      <c r="L394" s="870"/>
      <c r="M394" s="870"/>
      <c r="N394" s="870"/>
      <c r="O394" s="870"/>
    </row>
    <row r="395" spans="1:15" ht="15.9" customHeight="1" thickTop="1" thickBot="1" x14ac:dyDescent="0.4">
      <c r="D395" s="871" t="s">
        <v>45</v>
      </c>
      <c r="E395" s="871"/>
      <c r="F395" s="871"/>
      <c r="G395" s="871"/>
      <c r="H395" s="871"/>
      <c r="I395" s="871"/>
      <c r="J395" s="871"/>
      <c r="K395" s="871"/>
      <c r="L395" s="871"/>
      <c r="M395" s="871"/>
      <c r="N395" s="872" t="e">
        <f>SUM(M42:M391,M14:M38)</f>
        <v>#N/A</v>
      </c>
      <c r="O395" s="872"/>
    </row>
    <row r="396" spans="1:15" ht="15.9" customHeight="1" thickTop="1" thickBot="1" x14ac:dyDescent="0.4">
      <c r="D396" s="874" t="s">
        <v>58</v>
      </c>
      <c r="E396" s="875"/>
      <c r="F396" s="875"/>
      <c r="G396" s="875"/>
      <c r="H396" s="876">
        <v>0</v>
      </c>
      <c r="I396" s="876"/>
      <c r="J396" s="876"/>
      <c r="K396" s="876"/>
      <c r="L396" s="876"/>
      <c r="M396" s="877"/>
      <c r="N396" s="872" t="e">
        <f>N395*H396</f>
        <v>#N/A</v>
      </c>
      <c r="O396" s="872"/>
    </row>
    <row r="397" spans="1:15" ht="15.9" customHeight="1" thickTop="1" thickBot="1" x14ac:dyDescent="0.4">
      <c r="D397" s="871" t="s">
        <v>45</v>
      </c>
      <c r="E397" s="871"/>
      <c r="F397" s="871"/>
      <c r="G397" s="871"/>
      <c r="H397" s="871"/>
      <c r="I397" s="871"/>
      <c r="J397" s="871"/>
      <c r="K397" s="871"/>
      <c r="L397" s="871"/>
      <c r="M397" s="871"/>
      <c r="N397" s="872" t="e">
        <f>N395-N396</f>
        <v>#N/A</v>
      </c>
      <c r="O397" s="872"/>
    </row>
    <row r="398" spans="1:15" ht="15.9" customHeight="1" thickTop="1" thickBot="1" x14ac:dyDescent="0.4">
      <c r="D398" s="873" t="s">
        <v>216</v>
      </c>
      <c r="E398" s="873"/>
      <c r="F398" s="873"/>
      <c r="G398" s="873"/>
      <c r="H398" s="873"/>
      <c r="I398" s="873"/>
      <c r="J398" s="873"/>
      <c r="K398" s="873" t="e">
        <f>#REF!*0.11</f>
        <v>#REF!</v>
      </c>
      <c r="L398" s="873"/>
      <c r="M398" s="873"/>
      <c r="N398" s="872" t="e">
        <f>N397*0.13</f>
        <v>#N/A</v>
      </c>
      <c r="O398" s="872"/>
    </row>
    <row r="399" spans="1:15" ht="15.9" customHeight="1" thickTop="1" thickBot="1" x14ac:dyDescent="0.4">
      <c r="D399" s="865" t="s">
        <v>46</v>
      </c>
      <c r="E399" s="865"/>
      <c r="F399" s="865"/>
      <c r="G399" s="865"/>
      <c r="H399" s="865"/>
      <c r="I399" s="865"/>
      <c r="J399" s="865"/>
      <c r="K399" s="865" t="e">
        <f>K398+#REF!</f>
        <v>#REF!</v>
      </c>
      <c r="L399" s="865"/>
      <c r="M399" s="865"/>
      <c r="N399" s="866" t="e">
        <f>N397+N398</f>
        <v>#N/A</v>
      </c>
      <c r="O399" s="866"/>
    </row>
  </sheetData>
  <sheetProtection formatCells="0" formatColumns="0" formatRows="0" insertColumns="0" insertRows="0" insertHyperlinks="0" deleteColumns="0" deleteRows="0"/>
  <protectedRanges>
    <protectedRange sqref="R49:AI51" name="Range4"/>
    <protectedRange sqref="T42 V42" name="Range3"/>
    <protectedRange sqref="U6:U7 AI6:AI7" name="Range2"/>
    <protectedRange sqref="S14:AF38" name="Range1"/>
    <protectedRange sqref="R14:R38" name="Range5"/>
  </protectedRanges>
  <mergeCells count="151">
    <mergeCell ref="D399:M399"/>
    <mergeCell ref="N399:O399"/>
    <mergeCell ref="D387:E387"/>
    <mergeCell ref="D388:E388"/>
    <mergeCell ref="C10:N10"/>
    <mergeCell ref="D59:E59"/>
    <mergeCell ref="D55:E55"/>
    <mergeCell ref="D54:E54"/>
    <mergeCell ref="D52:E52"/>
    <mergeCell ref="D51:E51"/>
    <mergeCell ref="D56:E56"/>
    <mergeCell ref="D48:E48"/>
    <mergeCell ref="D394:O394"/>
    <mergeCell ref="D395:M395"/>
    <mergeCell ref="N395:O395"/>
    <mergeCell ref="N396:O396"/>
    <mergeCell ref="D397:M397"/>
    <mergeCell ref="N397:O397"/>
    <mergeCell ref="D398:M398"/>
    <mergeCell ref="N398:O398"/>
    <mergeCell ref="D396:G396"/>
    <mergeCell ref="H396:M396"/>
    <mergeCell ref="D61:E61"/>
    <mergeCell ref="D393:O393"/>
    <mergeCell ref="R4:AF4"/>
    <mergeCell ref="GE10:GK11"/>
    <mergeCell ref="GY10:HE11"/>
    <mergeCell ref="DV3:DV38"/>
    <mergeCell ref="CL1:CL1048576"/>
    <mergeCell ref="AN6:AR6"/>
    <mergeCell ref="AN4:AR4"/>
    <mergeCell ref="CM10:DA11"/>
    <mergeCell ref="DW10:EK11"/>
    <mergeCell ref="U6:X6"/>
    <mergeCell ref="R85:AB85"/>
    <mergeCell ref="R40:AF40"/>
    <mergeCell ref="R46:AI46"/>
    <mergeCell ref="V39:X39"/>
    <mergeCell ref="X12:X13"/>
    <mergeCell ref="AA12:AA13"/>
    <mergeCell ref="U12:U13"/>
    <mergeCell ref="AH4:AI4"/>
    <mergeCell ref="R6:T6"/>
    <mergeCell ref="R7:T7"/>
    <mergeCell ref="U7:X7"/>
    <mergeCell ref="R10:AF10"/>
    <mergeCell ref="R12:R13"/>
    <mergeCell ref="T5:U5"/>
    <mergeCell ref="D392:O392"/>
    <mergeCell ref="F384:H384"/>
    <mergeCell ref="F385:H385"/>
    <mergeCell ref="F386:H386"/>
    <mergeCell ref="F387:H387"/>
    <mergeCell ref="F380:H380"/>
    <mergeCell ref="F381:H381"/>
    <mergeCell ref="F382:H382"/>
    <mergeCell ref="F383:H383"/>
    <mergeCell ref="F388:H388"/>
    <mergeCell ref="F389:H389"/>
    <mergeCell ref="D389:E389"/>
    <mergeCell ref="D390:E390"/>
    <mergeCell ref="D391:E391"/>
    <mergeCell ref="F390:H390"/>
    <mergeCell ref="F391:H391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D53:E53"/>
    <mergeCell ref="F369:H369"/>
    <mergeCell ref="F370:H370"/>
    <mergeCell ref="U8:W8"/>
    <mergeCell ref="R51:AI51"/>
    <mergeCell ref="T12:T13"/>
    <mergeCell ref="Y12:Y13"/>
    <mergeCell ref="R43:AA43"/>
    <mergeCell ref="R52:AI52"/>
    <mergeCell ref="R49:AI49"/>
    <mergeCell ref="R50:AI50"/>
    <mergeCell ref="AC45:AD45"/>
    <mergeCell ref="R42:U42"/>
    <mergeCell ref="V42:AA42"/>
    <mergeCell ref="D58:E58"/>
    <mergeCell ref="D46:E46"/>
    <mergeCell ref="D49:E49"/>
    <mergeCell ref="D60:E60"/>
    <mergeCell ref="D57:E57"/>
    <mergeCell ref="D47:E47"/>
    <mergeCell ref="D50:E50"/>
    <mergeCell ref="C12:C13"/>
    <mergeCell ref="J12:J13"/>
    <mergeCell ref="M12:M13"/>
    <mergeCell ref="D12:D13"/>
    <mergeCell ref="D45:E45"/>
    <mergeCell ref="E12:E13"/>
    <mergeCell ref="L12:L13"/>
    <mergeCell ref="D42:E42"/>
    <mergeCell ref="D43:E43"/>
    <mergeCell ref="G12:H12"/>
    <mergeCell ref="C40:N40"/>
    <mergeCell ref="N12:N13"/>
    <mergeCell ref="F12:F13"/>
    <mergeCell ref="K12:K13"/>
    <mergeCell ref="I12:I13"/>
    <mergeCell ref="D44:E44"/>
    <mergeCell ref="D41:E41"/>
    <mergeCell ref="FU5:FU11"/>
    <mergeCell ref="GL11:GU11"/>
    <mergeCell ref="HF11:HP11"/>
    <mergeCell ref="FV11:GA11"/>
    <mergeCell ref="FP11:FT11"/>
    <mergeCell ref="R81:AB81"/>
    <mergeCell ref="AB41:AF41"/>
    <mergeCell ref="R41:AA41"/>
    <mergeCell ref="AB43:AF43"/>
    <mergeCell ref="AB42:AF42"/>
    <mergeCell ref="AZ12:BB12"/>
    <mergeCell ref="CG12:CG13"/>
    <mergeCell ref="V12:W12"/>
    <mergeCell ref="CF12:CF13"/>
    <mergeCell ref="FI10:FO11"/>
    <mergeCell ref="AC12:AC13"/>
    <mergeCell ref="II12:II13"/>
    <mergeCell ref="IF12:IH12"/>
    <mergeCell ref="R83:AB83"/>
    <mergeCell ref="S12:S13"/>
    <mergeCell ref="R39:T39"/>
    <mergeCell ref="AB12:AB13"/>
    <mergeCell ref="HU12:HU13"/>
    <mergeCell ref="BM12:BS12"/>
    <mergeCell ref="IA13:IB13"/>
    <mergeCell ref="HV12:HV13"/>
    <mergeCell ref="HT12:HT13"/>
    <mergeCell ref="CE12:CE13"/>
    <mergeCell ref="BL12:BL13"/>
    <mergeCell ref="BT12:BY12"/>
    <mergeCell ref="BZ12:CD12"/>
    <mergeCell ref="BC12:BE12"/>
    <mergeCell ref="AS12:AV12"/>
    <mergeCell ref="AO12:AR12"/>
    <mergeCell ref="AW12:AY12"/>
    <mergeCell ref="AD12:AF12"/>
    <mergeCell ref="W44:AA44"/>
    <mergeCell ref="W45:AA45"/>
    <mergeCell ref="AC44:AD44"/>
    <mergeCell ref="HS4:HS38"/>
  </mergeCells>
  <conditionalFormatting sqref="M14:M38">
    <cfRule type="cellIs" dxfId="100" priority="223" operator="equal">
      <formula>0</formula>
    </cfRule>
  </conditionalFormatting>
  <conditionalFormatting sqref="M42:M45">
    <cfRule type="cellIs" dxfId="99" priority="155" operator="equal">
      <formula>0</formula>
    </cfRule>
  </conditionalFormatting>
  <conditionalFormatting sqref="M47:M391">
    <cfRule type="cellIs" dxfId="98" priority="9" operator="equal">
      <formula>0</formula>
    </cfRule>
  </conditionalFormatting>
  <conditionalFormatting sqref="R45">
    <cfRule type="containsText" dxfId="97" priority="179" operator="containsText" text="محرك">
      <formula>NOT(ISERROR(SEARCH("محرك",R45)))</formula>
    </cfRule>
  </conditionalFormatting>
  <conditionalFormatting sqref="AH14:AH38">
    <cfRule type="cellIs" dxfId="96" priority="178" operator="equal">
      <formula>0</formula>
    </cfRule>
    <cfRule type="cellIs" dxfId="95" priority="180" operator="equal">
      <formula>"غير مقبول فنياً"</formula>
    </cfRule>
  </conditionalFormatting>
  <conditionalFormatting sqref="IA14:IB46">
    <cfRule type="cellIs" dxfId="94" priority="196" operator="equal">
      <formula>$AM$15</formula>
    </cfRule>
  </conditionalFormatting>
  <dataValidations xWindow="826" yWindow="392" count="14">
    <dataValidation type="list" allowBlank="1" showInputMessage="1" showErrorMessage="1" sqref="S14:S38" xr:uid="{00000000-0002-0000-0000-000001000000}">
      <formula1>$CI$15:$CI$47</formula1>
    </dataValidation>
    <dataValidation type="list" allowBlank="1" showInputMessage="1" showErrorMessage="1" sqref="X14:X38" xr:uid="{00000000-0002-0000-0000-000002000000}">
      <formula1>$BF$14:$BF$16</formula1>
    </dataValidation>
    <dataValidation type="list" allowBlank="1" showInputMessage="1" showErrorMessage="1" sqref="Y6:Z6" xr:uid="{00000000-0002-0000-0000-000003000000}">
      <formula1>$IJ$11:$IJ$14</formula1>
    </dataValidation>
    <dataValidation type="list" allowBlank="1" showInputMessage="1" showErrorMessage="1" sqref="AB14:AB38" xr:uid="{00000000-0002-0000-0000-000004000000}">
      <formula1>$BF$18:$BF$40</formula1>
    </dataValidation>
    <dataValidation type="list" allowBlank="1" showInputMessage="1" showErrorMessage="1" sqref="AC14:AC38" xr:uid="{00000000-0002-0000-0000-000006000000}">
      <formula1>$CH$12:$CH$14</formula1>
    </dataValidation>
    <dataValidation type="list" allowBlank="1" showInputMessage="1" showErrorMessage="1" sqref="S45:AD45" xr:uid="{00000000-0002-0000-0000-00000A000000}">
      <formula1>$JJ$10:$JJ$11</formula1>
    </dataValidation>
    <dataValidation allowBlank="1" showInputMessage="1" sqref="U6:X6" xr:uid="{00000000-0002-0000-0000-00000B000000}"/>
    <dataValidation type="list" allowBlank="1" showInputMessage="1" showErrorMessage="1" sqref="T14:U38" xr:uid="{74F0F1FA-A0AF-4022-B893-1880C99462C8}">
      <formula1>$CH$16:$CH$27</formula1>
    </dataValidation>
    <dataValidation type="list" allowBlank="1" showInputMessage="1" promptTitle="تنبيه" prompt="تغيير المجرى إلى المجاري الخشبي الإسباني الجديدة_x000a_" sqref="AW12:AY12" xr:uid="{00000000-0002-0000-0000-00000C000000}">
      <formula1>$BB$1:$BB$4</formula1>
    </dataValidation>
    <dataValidation type="list" allowBlank="1" showInputMessage="1" showErrorMessage="1" sqref="Z16:Z38" xr:uid="{00000000-0002-0000-0000-000005000000}">
      <formula1>$CM$44:$CM$45</formula1>
    </dataValidation>
    <dataValidation type="list" allowBlank="1" showInputMessage="1" showErrorMessage="1" sqref="AE14:AE38" xr:uid="{00000000-0002-0000-0000-000008000000}">
      <formula1>$BH$42:$BH$47</formula1>
    </dataValidation>
    <dataValidation type="list" allowBlank="1" showInputMessage="1" showErrorMessage="1" sqref="AD14:AD38" xr:uid="{00000000-0002-0000-0000-000007000000}">
      <formula1>$BI$42:$BI$48</formula1>
    </dataValidation>
    <dataValidation type="list" allowBlank="1" showInputMessage="1" showErrorMessage="1" sqref="AG14:AG38" xr:uid="{00000000-0002-0000-0000-000000000000}">
      <formula1>$BG$12:$BG$17</formula1>
    </dataValidation>
    <dataValidation type="list" allowBlank="1" showInputMessage="1" showErrorMessage="1" sqref="AF14:AF38" xr:uid="{00000000-0002-0000-0000-000009000000}">
      <formula1>$BG$13:$BG$20</formula1>
    </dataValidation>
  </dataValidations>
  <printOptions horizontalCentered="1"/>
  <pageMargins left="0" right="0" top="0" bottom="0" header="0" footer="0"/>
  <pageSetup paperSize="9" scale="50" orientation="landscape" r:id="rId1"/>
  <headerFooter>
    <oddHeader>&amp;C&amp;G</oddHeader>
  </headerFooter>
  <colBreaks count="1" manualBreakCount="1">
    <brk id="16" max="34" man="1"/>
  </colBreaks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2" r:id="rId5" name="Check Box 58">
              <controlPr defaultSize="0" autoFill="0" autoLine="0" autoPict="0">
                <anchor moveWithCells="1">
                  <from>
                    <xdr:col>24</xdr:col>
                    <xdr:colOff>60960</xdr:colOff>
                    <xdr:row>13</xdr:row>
                    <xdr:rowOff>60960</xdr:rowOff>
                  </from>
                  <to>
                    <xdr:col>24</xdr:col>
                    <xdr:colOff>251460</xdr:colOff>
                    <xdr:row>13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6" name="Check Box 107">
              <controlPr defaultSize="0" autoFill="0" autoLine="0" autoPict="0">
                <anchor moveWithCells="1">
                  <from>
                    <xdr:col>24</xdr:col>
                    <xdr:colOff>68580</xdr:colOff>
                    <xdr:row>14</xdr:row>
                    <xdr:rowOff>38100</xdr:rowOff>
                  </from>
                  <to>
                    <xdr:col>24</xdr:col>
                    <xdr:colOff>259080</xdr:colOff>
                    <xdr:row>14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7" name="Check Box 108">
              <controlPr defaultSize="0" autoFill="0" autoLine="0" autoPict="0">
                <anchor moveWithCells="1">
                  <from>
                    <xdr:col>24</xdr:col>
                    <xdr:colOff>68580</xdr:colOff>
                    <xdr:row>15</xdr:row>
                    <xdr:rowOff>38100</xdr:rowOff>
                  </from>
                  <to>
                    <xdr:col>24</xdr:col>
                    <xdr:colOff>259080</xdr:colOff>
                    <xdr:row>15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8" name="Check Box 109">
              <controlPr defaultSize="0" autoFill="0" autoLine="0" autoPict="0">
                <anchor moveWithCells="1">
                  <from>
                    <xdr:col>24</xdr:col>
                    <xdr:colOff>68580</xdr:colOff>
                    <xdr:row>16</xdr:row>
                    <xdr:rowOff>30480</xdr:rowOff>
                  </from>
                  <to>
                    <xdr:col>24</xdr:col>
                    <xdr:colOff>259080</xdr:colOff>
                    <xdr:row>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" name="Check Box 110">
              <controlPr defaultSize="0" autoFill="0" autoLine="0" autoPict="0">
                <anchor moveWithCells="1">
                  <from>
                    <xdr:col>24</xdr:col>
                    <xdr:colOff>68580</xdr:colOff>
                    <xdr:row>17</xdr:row>
                    <xdr:rowOff>45720</xdr:rowOff>
                  </from>
                  <to>
                    <xdr:col>24</xdr:col>
                    <xdr:colOff>259080</xdr:colOff>
                    <xdr:row>17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" name="Check Box 111">
              <controlPr defaultSize="0" autoFill="0" autoLine="0" autoPict="0">
                <anchor moveWithCells="1">
                  <from>
                    <xdr:col>24</xdr:col>
                    <xdr:colOff>68580</xdr:colOff>
                    <xdr:row>18</xdr:row>
                    <xdr:rowOff>38100</xdr:rowOff>
                  </from>
                  <to>
                    <xdr:col>24</xdr:col>
                    <xdr:colOff>259080</xdr:colOff>
                    <xdr:row>18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" name="Check Box 112">
              <controlPr defaultSize="0" autoFill="0" autoLine="0" autoPict="0">
                <anchor moveWithCells="1">
                  <from>
                    <xdr:col>24</xdr:col>
                    <xdr:colOff>60960</xdr:colOff>
                    <xdr:row>19</xdr:row>
                    <xdr:rowOff>38100</xdr:rowOff>
                  </from>
                  <to>
                    <xdr:col>24</xdr:col>
                    <xdr:colOff>251460</xdr:colOff>
                    <xdr:row>19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2" name="Check Box 113">
              <controlPr defaultSize="0" autoFill="0" autoLine="0" autoPict="0">
                <anchor moveWithCells="1">
                  <from>
                    <xdr:col>24</xdr:col>
                    <xdr:colOff>38100</xdr:colOff>
                    <xdr:row>20</xdr:row>
                    <xdr:rowOff>22860</xdr:rowOff>
                  </from>
                  <to>
                    <xdr:col>24</xdr:col>
                    <xdr:colOff>228600</xdr:colOff>
                    <xdr:row>20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3" name="Check Box 114">
              <controlPr defaultSize="0" autoFill="0" autoLine="0" autoPict="0">
                <anchor moveWithCells="1">
                  <from>
                    <xdr:col>24</xdr:col>
                    <xdr:colOff>38100</xdr:colOff>
                    <xdr:row>21</xdr:row>
                    <xdr:rowOff>38100</xdr:rowOff>
                  </from>
                  <to>
                    <xdr:col>24</xdr:col>
                    <xdr:colOff>228600</xdr:colOff>
                    <xdr:row>21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4" name="Check Box 115">
              <controlPr defaultSize="0" autoFill="0" autoLine="0" autoPict="0">
                <anchor moveWithCells="1">
                  <from>
                    <xdr:col>24</xdr:col>
                    <xdr:colOff>45720</xdr:colOff>
                    <xdr:row>22</xdr:row>
                    <xdr:rowOff>38100</xdr:rowOff>
                  </from>
                  <to>
                    <xdr:col>24</xdr:col>
                    <xdr:colOff>251460</xdr:colOff>
                    <xdr:row>22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5" name="Check Box 116">
              <controlPr defaultSize="0" autoFill="0" autoLine="0" autoPict="0">
                <anchor moveWithCells="1">
                  <from>
                    <xdr:col>24</xdr:col>
                    <xdr:colOff>45720</xdr:colOff>
                    <xdr:row>23</xdr:row>
                    <xdr:rowOff>38100</xdr:rowOff>
                  </from>
                  <to>
                    <xdr:col>24</xdr:col>
                    <xdr:colOff>251460</xdr:colOff>
                    <xdr:row>23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6" name="Check Box 117">
              <controlPr defaultSize="0" autoFill="0" autoLine="0" autoPict="0">
                <anchor moveWithCells="1">
                  <from>
                    <xdr:col>24</xdr:col>
                    <xdr:colOff>38100</xdr:colOff>
                    <xdr:row>24</xdr:row>
                    <xdr:rowOff>38100</xdr:rowOff>
                  </from>
                  <to>
                    <xdr:col>24</xdr:col>
                    <xdr:colOff>228600</xdr:colOff>
                    <xdr:row>24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7" name="Check Box 118">
              <controlPr defaultSize="0" autoFill="0" autoLine="0" autoPict="0">
                <anchor moveWithCells="1">
                  <from>
                    <xdr:col>24</xdr:col>
                    <xdr:colOff>45720</xdr:colOff>
                    <xdr:row>25</xdr:row>
                    <xdr:rowOff>38100</xdr:rowOff>
                  </from>
                  <to>
                    <xdr:col>24</xdr:col>
                    <xdr:colOff>251460</xdr:colOff>
                    <xdr:row>25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8" name="Check Box 119">
              <controlPr defaultSize="0" autoFill="0" autoLine="0" autoPict="0">
                <anchor moveWithCells="1">
                  <from>
                    <xdr:col>24</xdr:col>
                    <xdr:colOff>68580</xdr:colOff>
                    <xdr:row>26</xdr:row>
                    <xdr:rowOff>45720</xdr:rowOff>
                  </from>
                  <to>
                    <xdr:col>24</xdr:col>
                    <xdr:colOff>259080</xdr:colOff>
                    <xdr:row>26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9" name="Check Box 120">
              <controlPr defaultSize="0" autoFill="0" autoLine="0" autoPict="0">
                <anchor moveWithCells="1">
                  <from>
                    <xdr:col>24</xdr:col>
                    <xdr:colOff>60960</xdr:colOff>
                    <xdr:row>27</xdr:row>
                    <xdr:rowOff>38100</xdr:rowOff>
                  </from>
                  <to>
                    <xdr:col>24</xdr:col>
                    <xdr:colOff>251460</xdr:colOff>
                    <xdr:row>27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20" name="Check Box 121">
              <controlPr defaultSize="0" autoFill="0" autoLine="0" autoPict="0">
                <anchor moveWithCells="1">
                  <from>
                    <xdr:col>24</xdr:col>
                    <xdr:colOff>68580</xdr:colOff>
                    <xdr:row>28</xdr:row>
                    <xdr:rowOff>22860</xdr:rowOff>
                  </from>
                  <to>
                    <xdr:col>24</xdr:col>
                    <xdr:colOff>259080</xdr:colOff>
                    <xdr:row>28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21" name="Check Box 122">
              <controlPr defaultSize="0" autoFill="0" autoLine="0" autoPict="0">
                <anchor moveWithCells="1">
                  <from>
                    <xdr:col>24</xdr:col>
                    <xdr:colOff>68580</xdr:colOff>
                    <xdr:row>29</xdr:row>
                    <xdr:rowOff>60960</xdr:rowOff>
                  </from>
                  <to>
                    <xdr:col>24</xdr:col>
                    <xdr:colOff>259080</xdr:colOff>
                    <xdr:row>29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22" name="Check Box 123">
              <controlPr defaultSize="0" autoFill="0" autoLine="0" autoPict="0">
                <anchor moveWithCells="1">
                  <from>
                    <xdr:col>24</xdr:col>
                    <xdr:colOff>68580</xdr:colOff>
                    <xdr:row>30</xdr:row>
                    <xdr:rowOff>38100</xdr:rowOff>
                  </from>
                  <to>
                    <xdr:col>24</xdr:col>
                    <xdr:colOff>259080</xdr:colOff>
                    <xdr:row>30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3" name="Check Box 124">
              <controlPr defaultSize="0" autoFill="0" autoLine="0" autoPict="0">
                <anchor moveWithCells="1">
                  <from>
                    <xdr:col>24</xdr:col>
                    <xdr:colOff>60960</xdr:colOff>
                    <xdr:row>31</xdr:row>
                    <xdr:rowOff>45720</xdr:rowOff>
                  </from>
                  <to>
                    <xdr:col>24</xdr:col>
                    <xdr:colOff>251460</xdr:colOff>
                    <xdr:row>31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24" name="Check Box 125">
              <controlPr defaultSize="0" autoFill="0" autoLine="0" autoPict="0">
                <anchor moveWithCells="1">
                  <from>
                    <xdr:col>24</xdr:col>
                    <xdr:colOff>60960</xdr:colOff>
                    <xdr:row>32</xdr:row>
                    <xdr:rowOff>30480</xdr:rowOff>
                  </from>
                  <to>
                    <xdr:col>24</xdr:col>
                    <xdr:colOff>251460</xdr:colOff>
                    <xdr:row>32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5" name="Check Box 126">
              <controlPr defaultSize="0" autoFill="0" autoLine="0" autoPict="0">
                <anchor moveWithCells="1">
                  <from>
                    <xdr:col>24</xdr:col>
                    <xdr:colOff>68580</xdr:colOff>
                    <xdr:row>33</xdr:row>
                    <xdr:rowOff>22860</xdr:rowOff>
                  </from>
                  <to>
                    <xdr:col>24</xdr:col>
                    <xdr:colOff>259080</xdr:colOff>
                    <xdr:row>33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6" name="Check Box 127">
              <controlPr defaultSize="0" autoFill="0" autoLine="0" autoPict="0">
                <anchor moveWithCells="1">
                  <from>
                    <xdr:col>24</xdr:col>
                    <xdr:colOff>68580</xdr:colOff>
                    <xdr:row>34</xdr:row>
                    <xdr:rowOff>30480</xdr:rowOff>
                  </from>
                  <to>
                    <xdr:col>24</xdr:col>
                    <xdr:colOff>259080</xdr:colOff>
                    <xdr:row>34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27" name="Check Box 128">
              <controlPr defaultSize="0" autoFill="0" autoLine="0" autoPict="0">
                <anchor moveWithCells="1">
                  <from>
                    <xdr:col>24</xdr:col>
                    <xdr:colOff>60960</xdr:colOff>
                    <xdr:row>35</xdr:row>
                    <xdr:rowOff>45720</xdr:rowOff>
                  </from>
                  <to>
                    <xdr:col>24</xdr:col>
                    <xdr:colOff>251460</xdr:colOff>
                    <xdr:row>35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28" name="Check Box 129">
              <controlPr defaultSize="0" autoFill="0" autoLine="0" autoPict="0">
                <anchor moveWithCells="1">
                  <from>
                    <xdr:col>24</xdr:col>
                    <xdr:colOff>68580</xdr:colOff>
                    <xdr:row>36</xdr:row>
                    <xdr:rowOff>38100</xdr:rowOff>
                  </from>
                  <to>
                    <xdr:col>24</xdr:col>
                    <xdr:colOff>259080</xdr:colOff>
                    <xdr:row>36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29" name="Check Box 130">
              <controlPr defaultSize="0" autoFill="0" autoLine="0" autoPict="0">
                <anchor moveWithCells="1">
                  <from>
                    <xdr:col>24</xdr:col>
                    <xdr:colOff>68580</xdr:colOff>
                    <xdr:row>37</xdr:row>
                    <xdr:rowOff>38100</xdr:rowOff>
                  </from>
                  <to>
                    <xdr:col>24</xdr:col>
                    <xdr:colOff>259080</xdr:colOff>
                    <xdr:row>37</xdr:row>
                    <xdr:rowOff>274320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8" stopIfTrue="1" operator="containsText" id="{808E1AF0-72DF-4460-B99B-B1A72DF804E2}">
            <xm:f>NOT(ISERROR(SEARCH($AM$14,IA14)))</xm:f>
            <xm:f>$AM$14</xm:f>
            <x14:dxf>
              <font>
                <strike val="0"/>
                <color theme="0" tint="-4.9989318521683403E-2"/>
              </font>
              <fill>
                <patternFill patternType="solid">
                  <bgColor rgb="FFA5CDA7"/>
                </patternFill>
              </fill>
            </x14:dxf>
          </x14:cfRule>
          <xm:sqref>IA14:IB46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826" yWindow="392" count="1">
        <x14:dataValidation type="list" allowBlank="1" showInputMessage="1" showErrorMessage="1" xr:uid="{00000000-0002-0000-0000-00000E000000}">
          <x14:formula1>
            <xm:f>'قائمة الأسعار'!$AA$4:$AA$51</xm:f>
          </x14:formula1>
          <xm:sqref>T5:U5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2D8B6E"/>
    <pageSetUpPr fitToPage="1"/>
  </sheetPr>
  <dimension ref="A1:U138"/>
  <sheetViews>
    <sheetView showGridLines="0" rightToLeft="1" tabSelected="1" view="pageBreakPreview" topLeftCell="A7" zoomScale="70" zoomScaleNormal="100" zoomScaleSheetLayoutView="70" zoomScalePageLayoutView="90" workbookViewId="0">
      <selection activeCell="D23" sqref="D23"/>
    </sheetView>
  </sheetViews>
  <sheetFormatPr defaultColWidth="9" defaultRowHeight="14.4" x14ac:dyDescent="0.3"/>
  <cols>
    <col min="1" max="1" width="5.5546875" customWidth="1"/>
    <col min="2" max="2" width="8" customWidth="1"/>
    <col min="3" max="3" width="30.33203125" bestFit="1" customWidth="1"/>
    <col min="4" max="4" width="17.33203125" customWidth="1"/>
    <col min="5" max="7" width="21" customWidth="1"/>
    <col min="8" max="8" width="10.33203125" customWidth="1"/>
    <col min="9" max="9" width="1" customWidth="1"/>
    <col min="10" max="11" width="17.33203125" customWidth="1"/>
    <col min="12" max="12" width="14.5546875" customWidth="1"/>
    <col min="13" max="13" width="8.33203125" customWidth="1"/>
    <col min="14" max="14" width="13.88671875" customWidth="1"/>
    <col min="15" max="15" width="6.44140625" customWidth="1"/>
    <col min="16" max="16" width="7" style="121" customWidth="1"/>
    <col min="17" max="17" width="8.33203125" style="121" hidden="1" customWidth="1"/>
    <col min="18" max="18" width="9.33203125" style="121" hidden="1" customWidth="1"/>
    <col min="19" max="20" width="9" hidden="1" customWidth="1"/>
    <col min="21" max="21" width="6.44140625" hidden="1" customWidth="1"/>
    <col min="22" max="23" width="9" customWidth="1"/>
  </cols>
  <sheetData>
    <row r="1" spans="1:19" ht="2.25" customHeight="1" x14ac:dyDescent="0.3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0"/>
    </row>
    <row r="2" spans="1:19" ht="18" hidden="1" customHeight="1" x14ac:dyDescent="0.3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0"/>
    </row>
    <row r="3" spans="1:19" ht="18" hidden="1" customHeight="1" x14ac:dyDescent="0.3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0"/>
    </row>
    <row r="4" spans="1:19" ht="3.75" customHeight="1" x14ac:dyDescent="0.3">
      <c r="A4" s="122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0"/>
    </row>
    <row r="5" spans="1:19" ht="33" customHeight="1" x14ac:dyDescent="0.3">
      <c r="A5" s="122"/>
      <c r="B5" s="884" t="s">
        <v>117</v>
      </c>
      <c r="C5" s="884"/>
      <c r="D5" s="884"/>
      <c r="E5" s="884"/>
      <c r="F5" s="884"/>
      <c r="G5" s="884"/>
      <c r="H5" s="884"/>
      <c r="I5" s="884"/>
      <c r="J5" s="884"/>
      <c r="K5" s="884"/>
      <c r="L5" s="884"/>
      <c r="M5" s="884"/>
      <c r="N5" s="884"/>
      <c r="O5" s="613"/>
      <c r="P5" s="120"/>
    </row>
    <row r="6" spans="1:19" ht="23.25" customHeight="1" x14ac:dyDescent="0.3">
      <c r="A6" s="122"/>
      <c r="B6" s="885" t="s">
        <v>154</v>
      </c>
      <c r="C6" s="885"/>
      <c r="D6" s="885"/>
      <c r="E6" s="885"/>
      <c r="F6" s="885"/>
      <c r="G6" s="885"/>
      <c r="H6" s="885"/>
      <c r="I6" s="885"/>
      <c r="J6" s="885"/>
      <c r="K6" s="885"/>
      <c r="L6" s="885"/>
      <c r="M6" s="885"/>
      <c r="N6" s="885"/>
      <c r="O6" s="614"/>
      <c r="P6" s="120"/>
    </row>
    <row r="7" spans="1:19" ht="11.25" customHeight="1" thickBot="1" x14ac:dyDescent="0.35">
      <c r="A7" s="123"/>
      <c r="B7" s="124"/>
      <c r="C7" s="124"/>
      <c r="D7" s="124"/>
      <c r="E7" s="124"/>
      <c r="F7" s="124"/>
      <c r="G7" s="124"/>
      <c r="H7" s="124"/>
      <c r="I7" s="124"/>
      <c r="J7" s="124"/>
      <c r="K7" s="124"/>
      <c r="M7" s="125"/>
      <c r="N7" s="125"/>
      <c r="O7" s="125"/>
      <c r="P7" s="126"/>
    </row>
    <row r="8" spans="1:19" ht="24.75" customHeight="1" x14ac:dyDescent="0.3">
      <c r="A8" s="122"/>
      <c r="B8" s="888" t="s">
        <v>118</v>
      </c>
      <c r="C8" s="889"/>
      <c r="D8" s="886"/>
      <c r="E8" s="886"/>
      <c r="F8" s="886"/>
      <c r="G8" s="886"/>
      <c r="H8" s="887"/>
      <c r="I8" s="643"/>
      <c r="J8" s="894" t="s">
        <v>185</v>
      </c>
      <c r="K8" s="895"/>
      <c r="L8" s="898"/>
      <c r="M8" s="899"/>
      <c r="N8" s="900"/>
      <c r="O8" s="133"/>
      <c r="P8" s="120"/>
    </row>
    <row r="9" spans="1:19" ht="24.75" customHeight="1" x14ac:dyDescent="0.3">
      <c r="A9" s="123"/>
      <c r="B9" s="890" t="s">
        <v>152</v>
      </c>
      <c r="C9" s="891"/>
      <c r="D9" s="892"/>
      <c r="E9" s="892"/>
      <c r="F9" s="892"/>
      <c r="G9" s="892"/>
      <c r="H9" s="893"/>
      <c r="I9" s="643"/>
      <c r="J9" s="896" t="s">
        <v>547</v>
      </c>
      <c r="K9" s="897"/>
      <c r="L9" s="901"/>
      <c r="M9" s="902"/>
      <c r="N9" s="903"/>
      <c r="O9" s="133"/>
      <c r="P9" s="126"/>
    </row>
    <row r="10" spans="1:19" ht="24.75" customHeight="1" thickBot="1" x14ac:dyDescent="0.35">
      <c r="A10" s="123"/>
      <c r="B10" s="904" t="s">
        <v>184</v>
      </c>
      <c r="C10" s="905"/>
      <c r="D10" s="906"/>
      <c r="E10" s="907"/>
      <c r="F10" s="907"/>
      <c r="G10" s="907"/>
      <c r="H10" s="908"/>
      <c r="I10" s="643"/>
      <c r="J10" s="950" t="s">
        <v>61</v>
      </c>
      <c r="K10" s="951"/>
      <c r="L10" s="928">
        <f ca="1">NOW()</f>
        <v>45773.642606250003</v>
      </c>
      <c r="M10" s="929"/>
      <c r="N10" s="930"/>
      <c r="O10" s="615"/>
      <c r="P10" s="126"/>
    </row>
    <row r="11" spans="1:19" ht="9" customHeight="1" thickBot="1" x14ac:dyDescent="0.3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26"/>
    </row>
    <row r="12" spans="1:19" ht="24" customHeight="1" x14ac:dyDescent="0.3">
      <c r="A12" s="729" t="s">
        <v>559</v>
      </c>
      <c r="B12" s="923" t="s">
        <v>96</v>
      </c>
      <c r="C12" s="920" t="s">
        <v>136</v>
      </c>
      <c r="D12" s="922"/>
      <c r="E12" s="920" t="s">
        <v>137</v>
      </c>
      <c r="F12" s="921"/>
      <c r="G12" s="921"/>
      <c r="H12" s="922"/>
      <c r="I12" s="645"/>
      <c r="J12" s="646" t="s">
        <v>119</v>
      </c>
      <c r="K12" s="925" t="str">
        <f>IF('طلب التصنيع'!Z14=TRUE,"المجرى من غير مزلقان","المجرى بالمزلقان")</f>
        <v>المجرى من غير مزلقان</v>
      </c>
      <c r="L12" s="926"/>
      <c r="M12" s="926"/>
      <c r="N12" s="927"/>
      <c r="P12" s="127"/>
      <c r="Q12" s="121" t="s">
        <v>156</v>
      </c>
      <c r="R12" s="121" t="s">
        <v>157</v>
      </c>
    </row>
    <row r="13" spans="1:19" ht="39" customHeight="1" x14ac:dyDescent="0.3">
      <c r="A13" s="731" t="s">
        <v>560</v>
      </c>
      <c r="B13" s="924"/>
      <c r="C13" s="667" t="s">
        <v>134</v>
      </c>
      <c r="D13" s="668" t="s">
        <v>135</v>
      </c>
      <c r="E13" s="667" t="s">
        <v>133</v>
      </c>
      <c r="F13" s="666" t="s">
        <v>120</v>
      </c>
      <c r="G13" s="666" t="s">
        <v>121</v>
      </c>
      <c r="H13" s="668" t="s">
        <v>132</v>
      </c>
      <c r="I13" s="644"/>
      <c r="J13" s="669" t="s">
        <v>0</v>
      </c>
      <c r="K13" s="667" t="s">
        <v>0</v>
      </c>
      <c r="L13" s="666" t="s">
        <v>558</v>
      </c>
      <c r="M13" s="666" t="s">
        <v>33</v>
      </c>
      <c r="N13" s="668" t="s">
        <v>88</v>
      </c>
      <c r="P13" s="127"/>
    </row>
    <row r="14" spans="1:19" ht="24" customHeight="1" x14ac:dyDescent="0.3">
      <c r="A14" s="177"/>
      <c r="B14" s="730">
        <f>'عرض السعر'!D14</f>
        <v>1</v>
      </c>
      <c r="C14" s="725" t="str">
        <f>'طلب التصنيع'!S14</f>
        <v>مدار 4.6</v>
      </c>
      <c r="D14" s="726">
        <f>'طلب التصنيع'!E14</f>
        <v>0</v>
      </c>
      <c r="E14" s="684">
        <f>'طلب التصنيع'!F14</f>
        <v>103.6</v>
      </c>
      <c r="F14" s="685">
        <f>IF('طلب التصنيع'!H14-1&lt;0,"",'طلب التصنيع'!H14-1)</f>
        <v>36</v>
      </c>
      <c r="G14" s="685">
        <f>'طلب التصنيع'!J14</f>
        <v>1</v>
      </c>
      <c r="H14" s="686">
        <f>'طلب التصنيع'!N14</f>
        <v>1.6772839999999998</v>
      </c>
      <c r="I14" s="677"/>
      <c r="J14" s="678">
        <f>'طلب التصنيع'!U14</f>
        <v>0</v>
      </c>
      <c r="K14" s="679">
        <f>IF('طلب التصنيع'!X14="حصيرة فقط","",'طلب التصنيع'!U14)</f>
        <v>0</v>
      </c>
      <c r="L14" s="690">
        <f>'طلب التصنيع'!AX14</f>
        <v>153</v>
      </c>
      <c r="M14" s="691">
        <f>IF('طلب التصنيع'!X14="حصيرة فقط","",'طلب التصنيع'!AA14*2)</f>
        <v>2</v>
      </c>
      <c r="N14" s="692">
        <f>IF('طلب التصنيع'!X14="حصيرة فقط","",'طلب التصنيع'!AW14)</f>
        <v>4.5</v>
      </c>
      <c r="P14" s="432"/>
      <c r="Q14" s="134">
        <f>IFERROR(G14*F14,0)</f>
        <v>36</v>
      </c>
      <c r="R14" s="134">
        <f>IFERROR(M14*L14,0)</f>
        <v>306</v>
      </c>
      <c r="S14" s="433"/>
    </row>
    <row r="15" spans="1:19" ht="24" customHeight="1" x14ac:dyDescent="0.3">
      <c r="A15" s="177"/>
      <c r="B15" s="730">
        <f>'عرض السعر'!D15</f>
        <v>2</v>
      </c>
      <c r="C15" s="725" t="str">
        <f>'طلب التصنيع'!S15</f>
        <v>مدار 5.8</v>
      </c>
      <c r="D15" s="726">
        <f>'طلب التصنيع'!E15</f>
        <v>0</v>
      </c>
      <c r="E15" s="684">
        <f>'طلب التصنيع'!F15</f>
        <v>103.6</v>
      </c>
      <c r="F15" s="685">
        <f>IF('طلب التصنيع'!H15-1&lt;0,"",'طلب التصنيع'!H15-1)</f>
        <v>28</v>
      </c>
      <c r="G15" s="685">
        <f>'طلب التصنيع'!J15</f>
        <v>1</v>
      </c>
      <c r="H15" s="686">
        <f>'طلب التصنيع'!N15</f>
        <v>1.6824639999999997</v>
      </c>
      <c r="I15" s="677"/>
      <c r="J15" s="678">
        <f>'طلب التصنيع'!U15</f>
        <v>0</v>
      </c>
      <c r="K15" s="679">
        <f>IF('طلب التصنيع'!X15="حصيرة فقط","",'طلب التصنيع'!U15)</f>
        <v>0</v>
      </c>
      <c r="L15" s="690">
        <f>'طلب التصنيع'!AX15</f>
        <v>153</v>
      </c>
      <c r="M15" s="691">
        <f>IF('طلب التصنيع'!X15="حصيرة فقط","",'طلب التصنيع'!AA15*2)</f>
        <v>2</v>
      </c>
      <c r="N15" s="692">
        <f>IF('طلب التصنيع'!X15="حصيرة فقط","",'طلب التصنيع'!AW15)</f>
        <v>5.8</v>
      </c>
      <c r="P15" s="434"/>
      <c r="Q15" s="134">
        <f t="shared" ref="Q15:Q38" si="0">IFERROR(G15*F15,0)</f>
        <v>28</v>
      </c>
      <c r="R15" s="134">
        <f>IFERROR(M15*L15,0)</f>
        <v>306</v>
      </c>
      <c r="S15" s="433"/>
    </row>
    <row r="16" spans="1:19" ht="24" customHeight="1" x14ac:dyDescent="0.3">
      <c r="A16" s="177"/>
      <c r="B16" s="730">
        <f>'عرض السعر'!D16</f>
        <v>3</v>
      </c>
      <c r="C16" s="725" t="str">
        <f>'طلب التصنيع'!S16</f>
        <v>مدار حماية 5.5</v>
      </c>
      <c r="D16" s="726">
        <f>'طلب التصنيع'!E16</f>
        <v>0</v>
      </c>
      <c r="E16" s="684">
        <f>'طلب التصنيع'!F16</f>
        <v>103.6</v>
      </c>
      <c r="F16" s="685">
        <f>IF('طلب التصنيع'!H16-1&lt;0,"",'طلب التصنيع'!H16-1)</f>
        <v>29</v>
      </c>
      <c r="G16" s="685">
        <f>'طلب التصنيع'!J16</f>
        <v>1</v>
      </c>
      <c r="H16" s="686">
        <f>'طلب التصنيع'!N16</f>
        <v>1.7094</v>
      </c>
      <c r="I16" s="677"/>
      <c r="J16" s="678">
        <f>'طلب التصنيع'!U16</f>
        <v>0</v>
      </c>
      <c r="K16" s="679">
        <f>IF('طلب التصنيع'!X16="حصيرة فقط","",'طلب التصنيع'!U16)</f>
        <v>0</v>
      </c>
      <c r="L16" s="690">
        <f>'طلب التصنيع'!AX16</f>
        <v>153</v>
      </c>
      <c r="M16" s="691">
        <f>IF('طلب التصنيع'!X16="حصيرة فقط","",'طلب التصنيع'!AA16*2)</f>
        <v>2</v>
      </c>
      <c r="N16" s="692">
        <f>IF('طلب التصنيع'!X16="حصيرة فقط","",'طلب التصنيع'!AW16)</f>
        <v>5.8</v>
      </c>
      <c r="P16" s="434"/>
      <c r="Q16" s="134">
        <f t="shared" si="0"/>
        <v>29</v>
      </c>
      <c r="R16" s="134">
        <f>IFERROR(M16*L16,0)</f>
        <v>306</v>
      </c>
      <c r="S16" s="433"/>
    </row>
    <row r="17" spans="1:19" ht="24" customHeight="1" x14ac:dyDescent="0.3">
      <c r="A17" s="177"/>
      <c r="B17" s="730">
        <f>'عرض السعر'!D17</f>
        <v>4</v>
      </c>
      <c r="C17" s="725" t="str">
        <f>'طلب التصنيع'!S17</f>
        <v>مدار زنكاليوم 5.5</v>
      </c>
      <c r="D17" s="726">
        <f>'طلب التصنيع'!E17</f>
        <v>0</v>
      </c>
      <c r="E17" s="684">
        <f>'طلب التصنيع'!F17</f>
        <v>103.6</v>
      </c>
      <c r="F17" s="685">
        <f>IF('طلب التصنيع'!H17-1&lt;0,"",'طلب التصنيع'!H17-1)</f>
        <v>29</v>
      </c>
      <c r="G17" s="685">
        <f>'طلب التصنيع'!J17</f>
        <v>1</v>
      </c>
      <c r="H17" s="686">
        <f>'طلب التصنيع'!N17</f>
        <v>1.7094</v>
      </c>
      <c r="I17" s="677"/>
      <c r="J17" s="678">
        <f>'طلب التصنيع'!U17</f>
        <v>0</v>
      </c>
      <c r="K17" s="679">
        <f>IF('طلب التصنيع'!X17="حصيرة فقط","",'طلب التصنيع'!U17)</f>
        <v>0</v>
      </c>
      <c r="L17" s="690">
        <f>'طلب التصنيع'!AX17</f>
        <v>153</v>
      </c>
      <c r="M17" s="691">
        <f>IF('طلب التصنيع'!X17="حصيرة فقط","",'طلب التصنيع'!AA17*2)</f>
        <v>2</v>
      </c>
      <c r="N17" s="692">
        <f>IF('طلب التصنيع'!X17="حصيرة فقط","",'طلب التصنيع'!AW17)</f>
        <v>5.8</v>
      </c>
      <c r="P17" s="434"/>
      <c r="Q17" s="134">
        <f t="shared" si="0"/>
        <v>29</v>
      </c>
      <c r="R17" s="134">
        <f t="shared" ref="R17:R38" si="1">IFERROR(M17*L17,0)</f>
        <v>306</v>
      </c>
      <c r="S17" s="433"/>
    </row>
    <row r="18" spans="1:19" ht="24" customHeight="1" x14ac:dyDescent="0.3">
      <c r="A18" s="177"/>
      <c r="B18" s="730">
        <f>'عرض السعر'!D18</f>
        <v>5</v>
      </c>
      <c r="C18" s="725" t="str">
        <f>'طلب التصنيع'!S18</f>
        <v>مدار 5.5</v>
      </c>
      <c r="D18" s="726">
        <f>'طلب التصنيع'!E18</f>
        <v>0</v>
      </c>
      <c r="E18" s="684">
        <f>'طلب التصنيع'!F18</f>
        <v>103.6</v>
      </c>
      <c r="F18" s="685">
        <f>IF('طلب التصنيع'!H18-1&lt;0,"",'طلب التصنيع'!H18-1)</f>
        <v>29</v>
      </c>
      <c r="G18" s="685">
        <f>'طلب التصنيع'!J18</f>
        <v>1</v>
      </c>
      <c r="H18" s="686">
        <f>'طلب التصنيع'!N18</f>
        <v>1.65242</v>
      </c>
      <c r="I18" s="677"/>
      <c r="J18" s="678">
        <f>'طلب التصنيع'!U18</f>
        <v>0</v>
      </c>
      <c r="K18" s="679">
        <f>IF('طلب التصنيع'!X18="حصيرة فقط","",'طلب التصنيع'!U18)</f>
        <v>0</v>
      </c>
      <c r="L18" s="690">
        <f>'طلب التصنيع'!AX18</f>
        <v>153</v>
      </c>
      <c r="M18" s="691">
        <f>IF('طلب التصنيع'!X18="حصيرة فقط","",'طلب التصنيع'!AA18*2)</f>
        <v>2</v>
      </c>
      <c r="N18" s="692">
        <f>IF('طلب التصنيع'!X18="حصيرة فقط","",'طلب التصنيع'!AW18)</f>
        <v>5.8</v>
      </c>
      <c r="P18" s="434"/>
      <c r="Q18" s="134">
        <f t="shared" si="0"/>
        <v>29</v>
      </c>
      <c r="R18" s="134">
        <f t="shared" si="1"/>
        <v>306</v>
      </c>
      <c r="S18" s="433"/>
    </row>
    <row r="19" spans="1:19" ht="24" customHeight="1" x14ac:dyDescent="0.3">
      <c r="A19" s="177"/>
      <c r="B19" s="730">
        <f>'عرض السعر'!D19</f>
        <v>6</v>
      </c>
      <c r="C19" s="725" t="str">
        <f>'طلب التصنيع'!S19</f>
        <v>مدار 4سم زنكاليوم</v>
      </c>
      <c r="D19" s="726">
        <f>'طلب التصنيع'!E19</f>
        <v>0</v>
      </c>
      <c r="E19" s="684">
        <f>'طلب التصنيع'!F19</f>
        <v>103.6</v>
      </c>
      <c r="F19" s="685">
        <f>IF('طلب التصنيع'!H19-1&lt;0,"",'طلب التصنيع'!H19-1)</f>
        <v>41</v>
      </c>
      <c r="G19" s="685">
        <f>'طلب التصنيع'!J19</f>
        <v>1</v>
      </c>
      <c r="H19" s="686">
        <f>'طلب التصنيع'!N19</f>
        <v>1.6990400000000001</v>
      </c>
      <c r="I19" s="677"/>
      <c r="J19" s="678">
        <f>'طلب التصنيع'!U19</f>
        <v>0</v>
      </c>
      <c r="K19" s="679">
        <f>IF('طلب التصنيع'!X19="حصيرة فقط","",'طلب التصنيع'!U19)</f>
        <v>0</v>
      </c>
      <c r="L19" s="690">
        <f>'طلب التصنيع'!AX19</f>
        <v>153</v>
      </c>
      <c r="M19" s="691">
        <f>IF('طلب التصنيع'!X19="حصيرة فقط","",'طلب التصنيع'!AA19*2)</f>
        <v>2</v>
      </c>
      <c r="N19" s="692">
        <f>IF('طلب التصنيع'!X19="حصيرة فقط","",'طلب التصنيع'!AW19)</f>
        <v>4.5</v>
      </c>
      <c r="P19" s="434"/>
      <c r="Q19" s="134">
        <f t="shared" si="0"/>
        <v>41</v>
      </c>
      <c r="R19" s="134">
        <f t="shared" si="1"/>
        <v>306</v>
      </c>
      <c r="S19" s="433"/>
    </row>
    <row r="20" spans="1:19" ht="24" customHeight="1" x14ac:dyDescent="0.3">
      <c r="A20" s="177"/>
      <c r="B20" s="730">
        <f>'عرض السعر'!D20</f>
        <v>7</v>
      </c>
      <c r="C20" s="727" t="str">
        <f>'طلب التصنيع'!S20</f>
        <v>مدار 5.8 هارفوم</v>
      </c>
      <c r="D20" s="728">
        <f>'طلب التصنيع'!E20</f>
        <v>0</v>
      </c>
      <c r="E20" s="687">
        <f>'طلب التصنيع'!F20</f>
        <v>102.9</v>
      </c>
      <c r="F20" s="688">
        <f>IF('طلب التصنيع'!H20-1&lt;0,"",'طلب التصنيع'!H20-1)</f>
        <v>28</v>
      </c>
      <c r="G20" s="688">
        <f>'طلب التصنيع'!J20</f>
        <v>1</v>
      </c>
      <c r="H20" s="689">
        <f>'طلب التصنيع'!N20</f>
        <v>1.6710960000000001</v>
      </c>
      <c r="I20" s="677"/>
      <c r="J20" s="678">
        <f>'طلب التصنيع'!U20</f>
        <v>0</v>
      </c>
      <c r="K20" s="679">
        <f>IF('طلب التصنيع'!X20="حصيرة فقط","",'طلب التصنيع'!U20)</f>
        <v>0</v>
      </c>
      <c r="L20" s="690">
        <f>'طلب التصنيع'!AX20</f>
        <v>153</v>
      </c>
      <c r="M20" s="691">
        <f>IF('طلب التصنيع'!X20="حصيرة فقط","",'طلب التصنيع'!AA20*2)</f>
        <v>2</v>
      </c>
      <c r="N20" s="692">
        <f>IF('طلب التصنيع'!X20="حصيرة فقط","",'طلب التصنيع'!AW20)</f>
        <v>5.8</v>
      </c>
      <c r="P20" s="434"/>
      <c r="Q20" s="134">
        <f t="shared" si="0"/>
        <v>28</v>
      </c>
      <c r="R20" s="134">
        <f t="shared" si="1"/>
        <v>306</v>
      </c>
      <c r="S20" s="433"/>
    </row>
    <row r="21" spans="1:19" ht="24" customHeight="1" x14ac:dyDescent="0.3">
      <c r="A21" s="177"/>
      <c r="B21" s="730">
        <f>'عرض السعر'!D21</f>
        <v>8</v>
      </c>
      <c r="C21" s="727" t="str">
        <f>'طلب التصنيع'!S21</f>
        <v>نيل 4.25</v>
      </c>
      <c r="D21" s="728">
        <f>'طلب التصنيع'!E21</f>
        <v>0</v>
      </c>
      <c r="E21" s="687">
        <f>'طلب التصنيع'!F21</f>
        <v>104</v>
      </c>
      <c r="F21" s="688">
        <f>IF('طلب التصنيع'!H21-1&lt;0,"",'طلب التصنيع'!H21-1)</f>
        <v>38</v>
      </c>
      <c r="G21" s="688">
        <f>'طلب التصنيع'!J21</f>
        <v>1</v>
      </c>
      <c r="H21" s="689">
        <f>'طلب التصنيع'!N21</f>
        <v>1.6796</v>
      </c>
      <c r="I21" s="677"/>
      <c r="J21" s="678">
        <f>'طلب التصنيع'!U21</f>
        <v>0</v>
      </c>
      <c r="K21" s="679">
        <f>IF('طلب التصنيع'!X21="حصيرة فقط","",'طلب التصنيع'!U21)</f>
        <v>0</v>
      </c>
      <c r="L21" s="690">
        <f>'طلب التصنيع'!AX21</f>
        <v>153</v>
      </c>
      <c r="M21" s="691">
        <f>IF('طلب التصنيع'!X21="حصيرة فقط","",'طلب التصنيع'!AA21*2)</f>
        <v>2</v>
      </c>
      <c r="N21" s="692">
        <f>IF('طلب التصنيع'!X21="حصيرة فقط","",'طلب التصنيع'!AW21)</f>
        <v>4.5</v>
      </c>
      <c r="P21" s="434"/>
      <c r="Q21" s="134">
        <f t="shared" si="0"/>
        <v>38</v>
      </c>
      <c r="R21" s="134">
        <f t="shared" si="1"/>
        <v>306</v>
      </c>
      <c r="S21" s="433"/>
    </row>
    <row r="22" spans="1:19" ht="24" customHeight="1" x14ac:dyDescent="0.3">
      <c r="A22" s="177"/>
      <c r="B22" s="730">
        <f>'عرض السعر'!D22</f>
        <v>9</v>
      </c>
      <c r="C22" s="727" t="str">
        <f>'طلب التصنيع'!S22</f>
        <v>النيل 5سم BK</v>
      </c>
      <c r="D22" s="728">
        <f>'طلب التصنيع'!E22</f>
        <v>0</v>
      </c>
      <c r="E22" s="687">
        <f>'طلب التصنيع'!F22</f>
        <v>104</v>
      </c>
      <c r="F22" s="688">
        <f>IF('طلب التصنيع'!H22-1&lt;0,"",'طلب التصنيع'!H22-1)</f>
        <v>32</v>
      </c>
      <c r="G22" s="688">
        <f>'طلب التصنيع'!J22</f>
        <v>1</v>
      </c>
      <c r="H22" s="689">
        <f>'طلب التصنيع'!N22</f>
        <v>1.6639999999999999</v>
      </c>
      <c r="I22" s="677"/>
      <c r="J22" s="678">
        <f>'طلب التصنيع'!U22</f>
        <v>0</v>
      </c>
      <c r="K22" s="679">
        <f>IF('طلب التصنيع'!X22="حصيرة فقط","",'طلب التصنيع'!U22)</f>
        <v>0</v>
      </c>
      <c r="L22" s="690">
        <f>'طلب التصنيع'!AX22</f>
        <v>153</v>
      </c>
      <c r="M22" s="691">
        <f>IF('طلب التصنيع'!X22="حصيرة فقط","",'طلب التصنيع'!AA22*2)</f>
        <v>2</v>
      </c>
      <c r="N22" s="692">
        <f>IF('طلب التصنيع'!X22="حصيرة فقط","",'طلب التصنيع'!AW22)</f>
        <v>4.5</v>
      </c>
      <c r="P22" s="434"/>
      <c r="Q22" s="134">
        <f t="shared" si="0"/>
        <v>32</v>
      </c>
      <c r="R22" s="134">
        <f t="shared" si="1"/>
        <v>306</v>
      </c>
      <c r="S22" s="433"/>
    </row>
    <row r="23" spans="1:19" ht="24" customHeight="1" x14ac:dyDescent="0.3">
      <c r="A23" s="177"/>
      <c r="B23" s="730">
        <f>'عرض السعر'!D23</f>
        <v>10</v>
      </c>
      <c r="C23" s="727" t="str">
        <f>'طلب التصنيع'!S23</f>
        <v>النيل 5سم NGS</v>
      </c>
      <c r="D23" s="728">
        <f>'طلب التصنيع'!E23</f>
        <v>0</v>
      </c>
      <c r="E23" s="687">
        <f>'طلب التصنيع'!F23</f>
        <v>104</v>
      </c>
      <c r="F23" s="688">
        <f>IF('طلب التصنيع'!H23-1&lt;0,"",'طلب التصنيع'!H23-1)</f>
        <v>32</v>
      </c>
      <c r="G23" s="688">
        <f>'طلب التصنيع'!J23</f>
        <v>1</v>
      </c>
      <c r="H23" s="689">
        <f>'طلب التصنيع'!N23</f>
        <v>1.6639999999999999</v>
      </c>
      <c r="I23" s="677"/>
      <c r="J23" s="678">
        <f>'طلب التصنيع'!U23</f>
        <v>0</v>
      </c>
      <c r="K23" s="679">
        <f>IF('طلب التصنيع'!X23="حصيرة فقط","",'طلب التصنيع'!U23)</f>
        <v>0</v>
      </c>
      <c r="L23" s="690">
        <f>'طلب التصنيع'!AX23</f>
        <v>153</v>
      </c>
      <c r="M23" s="691">
        <f>IF('طلب التصنيع'!X23="حصيرة فقط","",'طلب التصنيع'!AA23*2)</f>
        <v>2</v>
      </c>
      <c r="N23" s="692">
        <f>IF('طلب التصنيع'!X23="حصيرة فقط","",'طلب التصنيع'!AW23)</f>
        <v>4.5</v>
      </c>
      <c r="P23" s="434"/>
      <c r="Q23" s="134">
        <f t="shared" si="0"/>
        <v>32</v>
      </c>
      <c r="R23" s="134">
        <f t="shared" si="1"/>
        <v>306</v>
      </c>
      <c r="S23" s="433"/>
    </row>
    <row r="24" spans="1:19" ht="24" customHeight="1" x14ac:dyDescent="0.3">
      <c r="A24" s="177"/>
      <c r="B24" s="730">
        <f>'عرض السعر'!D24</f>
        <v>11</v>
      </c>
      <c r="C24" s="727" t="str">
        <f>'طلب التصنيع'!S24</f>
        <v>النيل 5.5 زنكاليوم</v>
      </c>
      <c r="D24" s="728">
        <f>'طلب التصنيع'!E24</f>
        <v>0</v>
      </c>
      <c r="E24" s="687">
        <f>'طلب التصنيع'!F24</f>
        <v>104</v>
      </c>
      <c r="F24" s="688">
        <f>IF('طلب التصنيع'!H24-1&lt;0,"",'طلب التصنيع'!H24-1)</f>
        <v>29</v>
      </c>
      <c r="G24" s="688">
        <f>'طلب التصنيع'!J24</f>
        <v>1</v>
      </c>
      <c r="H24" s="689">
        <f>'طلب التصنيع'!N24</f>
        <v>1.6588000000000001</v>
      </c>
      <c r="I24" s="677"/>
      <c r="J24" s="678">
        <f>'طلب التصنيع'!U24</f>
        <v>0</v>
      </c>
      <c r="K24" s="679">
        <f>IF('طلب التصنيع'!X24="حصيرة فقط","",'طلب التصنيع'!U24)</f>
        <v>0</v>
      </c>
      <c r="L24" s="690">
        <f>'طلب التصنيع'!AX24</f>
        <v>153</v>
      </c>
      <c r="M24" s="691">
        <f>IF('طلب التصنيع'!X24="حصيرة فقط","",'طلب التصنيع'!AA24*2)</f>
        <v>2</v>
      </c>
      <c r="N24" s="692">
        <f>IF('طلب التصنيع'!X24="حصيرة فقط","",'طلب التصنيع'!AW24)</f>
        <v>5.8</v>
      </c>
      <c r="P24" s="434"/>
      <c r="Q24" s="134">
        <f t="shared" si="0"/>
        <v>29</v>
      </c>
      <c r="R24" s="134">
        <f t="shared" si="1"/>
        <v>306</v>
      </c>
      <c r="S24" s="433"/>
    </row>
    <row r="25" spans="1:19" ht="24" customHeight="1" x14ac:dyDescent="0.3">
      <c r="A25" s="177"/>
      <c r="B25" s="730">
        <f>'عرض السعر'!D25</f>
        <v>12</v>
      </c>
      <c r="C25" s="727" t="str">
        <f>'طلب التصنيع'!S25</f>
        <v>النيل 5.8 تيرا</v>
      </c>
      <c r="D25" s="728">
        <f>'طلب التصنيع'!E25</f>
        <v>0</v>
      </c>
      <c r="E25" s="687">
        <f>'طلب التصنيع'!F25</f>
        <v>104</v>
      </c>
      <c r="F25" s="688">
        <f>IF('طلب التصنيع'!H25-1&lt;0,"",'طلب التصنيع'!H25-1)</f>
        <v>28</v>
      </c>
      <c r="G25" s="688">
        <f>'طلب التصنيع'!J25</f>
        <v>1</v>
      </c>
      <c r="H25" s="689">
        <f>'طلب التصنيع'!N25</f>
        <v>1.68896</v>
      </c>
      <c r="I25" s="677"/>
      <c r="J25" s="678">
        <f>'طلب التصنيع'!U25</f>
        <v>0</v>
      </c>
      <c r="K25" s="679">
        <f>IF('طلب التصنيع'!X25="حصيرة فقط","",'طلب التصنيع'!U25)</f>
        <v>0</v>
      </c>
      <c r="L25" s="690">
        <f>'طلب التصنيع'!AX25</f>
        <v>153</v>
      </c>
      <c r="M25" s="691">
        <f>IF('طلب التصنيع'!X25="حصيرة فقط","",'طلب التصنيع'!AA25*2)</f>
        <v>2</v>
      </c>
      <c r="N25" s="692">
        <f>IF('طلب التصنيع'!X25="حصيرة فقط","",'طلب التصنيع'!AW25)</f>
        <v>5.8</v>
      </c>
      <c r="P25" s="434"/>
      <c r="Q25" s="134">
        <f t="shared" si="0"/>
        <v>28</v>
      </c>
      <c r="R25" s="134">
        <f t="shared" si="1"/>
        <v>306</v>
      </c>
      <c r="S25" s="433"/>
    </row>
    <row r="26" spans="1:19" ht="24" customHeight="1" x14ac:dyDescent="0.3">
      <c r="A26" s="177"/>
      <c r="B26" s="730">
        <f>'عرض السعر'!D26</f>
        <v>13</v>
      </c>
      <c r="C26" s="727" t="str">
        <f>'طلب التصنيع'!S26</f>
        <v>نيل هاردفوم 5.8</v>
      </c>
      <c r="D26" s="728">
        <f>'طلب التصنيع'!E26</f>
        <v>0</v>
      </c>
      <c r="E26" s="687">
        <f>'طلب التصنيع'!F26</f>
        <v>104</v>
      </c>
      <c r="F26" s="688">
        <f>IF('طلب التصنيع'!H26-1&lt;0,"",'طلب التصنيع'!H26-1)</f>
        <v>28</v>
      </c>
      <c r="G26" s="688">
        <f>'طلب التصنيع'!J26</f>
        <v>1</v>
      </c>
      <c r="H26" s="689">
        <f>'طلب التصنيع'!N26</f>
        <v>1.68896</v>
      </c>
      <c r="I26" s="677"/>
      <c r="J26" s="678">
        <f>'طلب التصنيع'!U26</f>
        <v>0</v>
      </c>
      <c r="K26" s="679">
        <f>IF('طلب التصنيع'!X26="حصيرة فقط","",'طلب التصنيع'!U26)</f>
        <v>0</v>
      </c>
      <c r="L26" s="690">
        <f>'طلب التصنيع'!AX26</f>
        <v>153</v>
      </c>
      <c r="M26" s="691">
        <f>IF('طلب التصنيع'!X26="حصيرة فقط","",'طلب التصنيع'!AA26*2)</f>
        <v>2</v>
      </c>
      <c r="N26" s="692">
        <f>IF('طلب التصنيع'!X26="حصيرة فقط","",'طلب التصنيع'!AW26)</f>
        <v>5.8</v>
      </c>
      <c r="P26" s="434"/>
      <c r="Q26" s="134">
        <f t="shared" si="0"/>
        <v>28</v>
      </c>
      <c r="R26" s="134">
        <f t="shared" si="1"/>
        <v>306</v>
      </c>
      <c r="S26" s="433"/>
    </row>
    <row r="27" spans="1:19" ht="24" customHeight="1" x14ac:dyDescent="0.3">
      <c r="A27" s="177"/>
      <c r="B27" s="730">
        <f>'عرض السعر'!D27</f>
        <v>14</v>
      </c>
      <c r="C27" s="727">
        <f>'طلب التصنيع'!S27</f>
        <v>0</v>
      </c>
      <c r="D27" s="728">
        <f>'طلب التصنيع'!E27</f>
        <v>0</v>
      </c>
      <c r="E27" s="687">
        <f>'طلب التصنيع'!F27</f>
        <v>0</v>
      </c>
      <c r="F27" s="688" t="str">
        <f>IF('طلب التصنيع'!H27-1&lt;0,"",'طلب التصنيع'!H27-1)</f>
        <v/>
      </c>
      <c r="G27" s="688">
        <f>'طلب التصنيع'!J27</f>
        <v>0</v>
      </c>
      <c r="H27" s="689">
        <f>'طلب التصنيع'!N27</f>
        <v>0</v>
      </c>
      <c r="I27" s="677"/>
      <c r="J27" s="678">
        <f>'طلب التصنيع'!U27</f>
        <v>0</v>
      </c>
      <c r="K27" s="679">
        <f>IF('طلب التصنيع'!X27="حصيرة فقط","",'طلب التصنيع'!U27)</f>
        <v>0</v>
      </c>
      <c r="L27" s="690">
        <f>'طلب التصنيع'!AX27</f>
        <v>0</v>
      </c>
      <c r="M27" s="691">
        <f>IF('طلب التصنيع'!X27="حصيرة فقط","",'طلب التصنيع'!AA27*2)</f>
        <v>0</v>
      </c>
      <c r="N27" s="692">
        <f>IF('طلب التصنيع'!X27="حصيرة فقط","",'طلب التصنيع'!AW27)</f>
        <v>0</v>
      </c>
      <c r="P27" s="434"/>
      <c r="Q27" s="134">
        <f t="shared" si="0"/>
        <v>0</v>
      </c>
      <c r="R27" s="134">
        <f t="shared" si="1"/>
        <v>0</v>
      </c>
      <c r="S27" s="433"/>
    </row>
    <row r="28" spans="1:19" ht="24" customHeight="1" x14ac:dyDescent="0.3">
      <c r="A28" s="177"/>
      <c r="B28" s="730">
        <f>'عرض السعر'!D28</f>
        <v>15</v>
      </c>
      <c r="C28" s="727">
        <f>'طلب التصنيع'!S28</f>
        <v>0</v>
      </c>
      <c r="D28" s="728">
        <f>'طلب التصنيع'!E28</f>
        <v>0</v>
      </c>
      <c r="E28" s="687">
        <f>'طلب التصنيع'!F28</f>
        <v>0</v>
      </c>
      <c r="F28" s="688" t="str">
        <f>IF('طلب التصنيع'!H28-1&lt;0,"",'طلب التصنيع'!H28-1)</f>
        <v/>
      </c>
      <c r="G28" s="688">
        <f>'طلب التصنيع'!J28</f>
        <v>0</v>
      </c>
      <c r="H28" s="689">
        <f>'طلب التصنيع'!N28</f>
        <v>0</v>
      </c>
      <c r="I28" s="677"/>
      <c r="J28" s="678">
        <f>'طلب التصنيع'!U28</f>
        <v>0</v>
      </c>
      <c r="K28" s="679">
        <f>IF('طلب التصنيع'!X28="حصيرة فقط","",'طلب التصنيع'!U28)</f>
        <v>0</v>
      </c>
      <c r="L28" s="690">
        <f>'طلب التصنيع'!AX28</f>
        <v>0</v>
      </c>
      <c r="M28" s="691">
        <f>IF('طلب التصنيع'!X28="حصيرة فقط","",'طلب التصنيع'!AA28*2)</f>
        <v>0</v>
      </c>
      <c r="N28" s="692">
        <f>IF('طلب التصنيع'!X28="حصيرة فقط","",'طلب التصنيع'!AW28)</f>
        <v>0</v>
      </c>
      <c r="P28" s="434"/>
      <c r="Q28" s="134">
        <f t="shared" si="0"/>
        <v>0</v>
      </c>
      <c r="R28" s="134">
        <f t="shared" si="1"/>
        <v>0</v>
      </c>
      <c r="S28" s="433"/>
    </row>
    <row r="29" spans="1:19" ht="19.5" hidden="1" customHeight="1" x14ac:dyDescent="0.3">
      <c r="A29" s="2"/>
      <c r="B29" s="430">
        <f>'عرض السعر'!D29</f>
        <v>16</v>
      </c>
      <c r="C29" s="428">
        <f>'طلب التصنيع'!S29</f>
        <v>0</v>
      </c>
      <c r="D29" s="429">
        <f>'طلب التصنيع'!E29</f>
        <v>0</v>
      </c>
      <c r="E29" s="632">
        <f>'طلب التصنيع'!F29</f>
        <v>0</v>
      </c>
      <c r="F29" s="428" t="str">
        <f>IF('طلب التصنيع'!H29-1&lt;0,"",'طلب التصنيع'!H29-1)</f>
        <v/>
      </c>
      <c r="G29" s="428">
        <f>'طلب التصنيع'!J29</f>
        <v>0</v>
      </c>
      <c r="H29" s="633">
        <f>'طلب التصنيع'!N29</f>
        <v>0</v>
      </c>
      <c r="I29" s="431"/>
      <c r="J29" s="625">
        <f>'طلب التصنيع'!U29</f>
        <v>0</v>
      </c>
      <c r="K29" s="626">
        <f>IF('طلب التصنيع'!X29="حصيرة فقط","",'طلب التصنيع'!U29)</f>
        <v>0</v>
      </c>
      <c r="L29" s="627">
        <f>'طلب التصنيع'!AX29</f>
        <v>0</v>
      </c>
      <c r="M29" s="628">
        <f>IF('طلب التصنيع'!X29="حصيرة فقط","",'طلب التصنيع'!AA29*2)</f>
        <v>0</v>
      </c>
      <c r="N29" s="629">
        <f>IF('طلب التصنيع'!X29="حصيرة فقط","",'طلب التصنيع'!AW29)</f>
        <v>0</v>
      </c>
      <c r="P29" s="434"/>
      <c r="Q29" s="134">
        <f t="shared" si="0"/>
        <v>0</v>
      </c>
      <c r="R29" s="134">
        <f t="shared" si="1"/>
        <v>0</v>
      </c>
      <c r="S29" s="433"/>
    </row>
    <row r="30" spans="1:19" ht="19.5" hidden="1" customHeight="1" x14ac:dyDescent="0.3">
      <c r="A30" s="2"/>
      <c r="B30" s="430">
        <f>'عرض السعر'!D30</f>
        <v>17</v>
      </c>
      <c r="C30" s="428">
        <f>'طلب التصنيع'!S30</f>
        <v>0</v>
      </c>
      <c r="D30" s="429">
        <f>'طلب التصنيع'!E30</f>
        <v>0</v>
      </c>
      <c r="E30" s="632">
        <f>'طلب التصنيع'!F30</f>
        <v>0</v>
      </c>
      <c r="F30" s="428" t="str">
        <f>IF('طلب التصنيع'!H30-1&lt;0,"",'طلب التصنيع'!H30-1)</f>
        <v/>
      </c>
      <c r="G30" s="428">
        <f>'طلب التصنيع'!J30</f>
        <v>0</v>
      </c>
      <c r="H30" s="633">
        <f>'طلب التصنيع'!N30</f>
        <v>0</v>
      </c>
      <c r="I30" s="431"/>
      <c r="J30" s="625">
        <f>'طلب التصنيع'!U30</f>
        <v>0</v>
      </c>
      <c r="K30" s="626">
        <f>IF('طلب التصنيع'!X30="حصيرة فقط","",'طلب التصنيع'!U30)</f>
        <v>0</v>
      </c>
      <c r="L30" s="627">
        <f>'طلب التصنيع'!AX30</f>
        <v>0</v>
      </c>
      <c r="M30" s="628">
        <f>IF('طلب التصنيع'!X30="حصيرة فقط","",'طلب التصنيع'!AA30*2)</f>
        <v>0</v>
      </c>
      <c r="N30" s="629">
        <f>IF('طلب التصنيع'!X30="حصيرة فقط","",'طلب التصنيع'!AW30)</f>
        <v>0</v>
      </c>
      <c r="P30" s="434"/>
      <c r="Q30" s="134">
        <f t="shared" si="0"/>
        <v>0</v>
      </c>
      <c r="R30" s="134">
        <f t="shared" si="1"/>
        <v>0</v>
      </c>
      <c r="S30" s="433"/>
    </row>
    <row r="31" spans="1:19" ht="19.5" hidden="1" customHeight="1" x14ac:dyDescent="0.3">
      <c r="A31" s="2"/>
      <c r="B31" s="430">
        <f>'عرض السعر'!D31</f>
        <v>18</v>
      </c>
      <c r="C31" s="428">
        <f>'طلب التصنيع'!S31</f>
        <v>0</v>
      </c>
      <c r="D31" s="429">
        <f>'طلب التصنيع'!E31</f>
        <v>0</v>
      </c>
      <c r="E31" s="632">
        <f>'طلب التصنيع'!F31</f>
        <v>0</v>
      </c>
      <c r="F31" s="428" t="str">
        <f>IF('طلب التصنيع'!H31-1&lt;0,"",'طلب التصنيع'!H31-1)</f>
        <v/>
      </c>
      <c r="G31" s="428">
        <f>'طلب التصنيع'!J31</f>
        <v>0</v>
      </c>
      <c r="H31" s="633">
        <f>'طلب التصنيع'!N31</f>
        <v>0</v>
      </c>
      <c r="I31" s="431"/>
      <c r="J31" s="625">
        <f>'طلب التصنيع'!U31</f>
        <v>0</v>
      </c>
      <c r="K31" s="626">
        <f>IF('طلب التصنيع'!X31="حصيرة فقط","",'طلب التصنيع'!U31)</f>
        <v>0</v>
      </c>
      <c r="L31" s="627">
        <f>'طلب التصنيع'!AX31</f>
        <v>0</v>
      </c>
      <c r="M31" s="628">
        <f>IF('طلب التصنيع'!X31="حصيرة فقط","",'طلب التصنيع'!AA31*2)</f>
        <v>0</v>
      </c>
      <c r="N31" s="629">
        <f>IF('طلب التصنيع'!X31="حصيرة فقط","",'طلب التصنيع'!AW31)</f>
        <v>0</v>
      </c>
      <c r="P31" s="434"/>
      <c r="Q31" s="134">
        <f t="shared" si="0"/>
        <v>0</v>
      </c>
      <c r="R31" s="134">
        <f t="shared" si="1"/>
        <v>0</v>
      </c>
      <c r="S31" s="433"/>
    </row>
    <row r="32" spans="1:19" ht="19.5" hidden="1" customHeight="1" x14ac:dyDescent="0.3">
      <c r="A32" s="2"/>
      <c r="B32" s="430">
        <f>'عرض السعر'!D32</f>
        <v>19</v>
      </c>
      <c r="C32" s="428">
        <f>'طلب التصنيع'!S32</f>
        <v>0</v>
      </c>
      <c r="D32" s="429">
        <f>'طلب التصنيع'!E32</f>
        <v>0</v>
      </c>
      <c r="E32" s="632">
        <f>'طلب التصنيع'!F32</f>
        <v>0</v>
      </c>
      <c r="F32" s="428" t="str">
        <f>IF('طلب التصنيع'!H32-1&lt;0,"",'طلب التصنيع'!H32-1)</f>
        <v/>
      </c>
      <c r="G32" s="428">
        <f>'طلب التصنيع'!J32</f>
        <v>0</v>
      </c>
      <c r="H32" s="633">
        <f>'طلب التصنيع'!N32</f>
        <v>0</v>
      </c>
      <c r="I32" s="431"/>
      <c r="J32" s="625">
        <f>'طلب التصنيع'!U32</f>
        <v>0</v>
      </c>
      <c r="K32" s="626">
        <f>IF('طلب التصنيع'!X32="حصيرة فقط","",'طلب التصنيع'!U32)</f>
        <v>0</v>
      </c>
      <c r="L32" s="627">
        <f>'طلب التصنيع'!AX32</f>
        <v>0</v>
      </c>
      <c r="M32" s="628">
        <f>IF('طلب التصنيع'!X32="حصيرة فقط","",'طلب التصنيع'!AA32*2)</f>
        <v>0</v>
      </c>
      <c r="N32" s="629">
        <f>IF('طلب التصنيع'!X32="حصيرة فقط","",'طلب التصنيع'!AW32)</f>
        <v>0</v>
      </c>
      <c r="P32" s="434"/>
      <c r="Q32" s="134">
        <f t="shared" si="0"/>
        <v>0</v>
      </c>
      <c r="R32" s="134">
        <f t="shared" si="1"/>
        <v>0</v>
      </c>
      <c r="S32" s="433"/>
    </row>
    <row r="33" spans="1:20" ht="19.5" hidden="1" customHeight="1" x14ac:dyDescent="0.3">
      <c r="A33" s="2"/>
      <c r="B33" s="430">
        <f>'عرض السعر'!D33</f>
        <v>20</v>
      </c>
      <c r="C33" s="428">
        <f>'طلب التصنيع'!S33</f>
        <v>0</v>
      </c>
      <c r="D33" s="429">
        <f>'طلب التصنيع'!E33</f>
        <v>0</v>
      </c>
      <c r="E33" s="632">
        <f>'طلب التصنيع'!F33</f>
        <v>0</v>
      </c>
      <c r="F33" s="428" t="str">
        <f>IF('طلب التصنيع'!H33-1&lt;0,"",'طلب التصنيع'!H33-1)</f>
        <v/>
      </c>
      <c r="G33" s="428">
        <f>'طلب التصنيع'!J33</f>
        <v>0</v>
      </c>
      <c r="H33" s="633">
        <f>'طلب التصنيع'!N33</f>
        <v>0</v>
      </c>
      <c r="I33" s="431"/>
      <c r="J33" s="625">
        <f>'طلب التصنيع'!U33</f>
        <v>0</v>
      </c>
      <c r="K33" s="626">
        <f>IF('طلب التصنيع'!X33="حصيرة فقط","",'طلب التصنيع'!U33)</f>
        <v>0</v>
      </c>
      <c r="L33" s="627">
        <f>'طلب التصنيع'!AX33</f>
        <v>0</v>
      </c>
      <c r="M33" s="628">
        <f>IF('طلب التصنيع'!X33="حصيرة فقط","",'طلب التصنيع'!AA33*2)</f>
        <v>0</v>
      </c>
      <c r="N33" s="629">
        <f>IF('طلب التصنيع'!X33="حصيرة فقط","",'طلب التصنيع'!AW33)</f>
        <v>0</v>
      </c>
      <c r="P33" s="434"/>
      <c r="Q33" s="134">
        <f t="shared" si="0"/>
        <v>0</v>
      </c>
      <c r="R33" s="134">
        <f t="shared" si="1"/>
        <v>0</v>
      </c>
      <c r="S33" s="433"/>
    </row>
    <row r="34" spans="1:20" ht="19.5" hidden="1" customHeight="1" x14ac:dyDescent="0.3">
      <c r="A34" s="2"/>
      <c r="B34" s="430">
        <f>'عرض السعر'!D34</f>
        <v>21</v>
      </c>
      <c r="C34" s="104">
        <f>'طلب التصنيع'!S34</f>
        <v>0</v>
      </c>
      <c r="D34" s="103">
        <f>'طلب التصنيع'!E34</f>
        <v>0</v>
      </c>
      <c r="E34" s="630">
        <f>'طلب التصنيع'!F34</f>
        <v>0</v>
      </c>
      <c r="F34" s="104" t="str">
        <f>IF('طلب التصنيع'!H34-1&lt;0,"",'طلب التصنيع'!H34-1)</f>
        <v/>
      </c>
      <c r="G34" s="104">
        <f>'طلب التصنيع'!J34</f>
        <v>0</v>
      </c>
      <c r="H34" s="631">
        <f>'طلب التصنيع'!N34</f>
        <v>0</v>
      </c>
      <c r="I34" s="431"/>
      <c r="J34" s="625">
        <f>'طلب التصنيع'!U34</f>
        <v>0</v>
      </c>
      <c r="K34" s="626">
        <f>IF('طلب التصنيع'!X34="حصيرة فقط","",'طلب التصنيع'!U34)</f>
        <v>0</v>
      </c>
      <c r="L34" s="627">
        <f>'طلب التصنيع'!AX34</f>
        <v>0</v>
      </c>
      <c r="M34" s="628">
        <f>IF('طلب التصنيع'!X34="حصيرة فقط","",'طلب التصنيع'!AA34*2)</f>
        <v>0</v>
      </c>
      <c r="N34" s="629">
        <f>IF('طلب التصنيع'!X34="حصيرة فقط","",'طلب التصنيع'!AW34)</f>
        <v>0</v>
      </c>
      <c r="P34" s="434"/>
      <c r="Q34" s="134">
        <f t="shared" si="0"/>
        <v>0</v>
      </c>
      <c r="R34" s="134">
        <f t="shared" si="1"/>
        <v>0</v>
      </c>
      <c r="S34" s="433"/>
    </row>
    <row r="35" spans="1:20" ht="19.5" hidden="1" customHeight="1" x14ac:dyDescent="0.3">
      <c r="A35" s="2"/>
      <c r="B35" s="430">
        <f>'عرض السعر'!D35</f>
        <v>22</v>
      </c>
      <c r="C35" s="104">
        <f>'طلب التصنيع'!S35</f>
        <v>0</v>
      </c>
      <c r="D35" s="103">
        <f>'طلب التصنيع'!E35</f>
        <v>0</v>
      </c>
      <c r="E35" s="630">
        <f>'طلب التصنيع'!F35</f>
        <v>0</v>
      </c>
      <c r="F35" s="104" t="str">
        <f>IF('طلب التصنيع'!H35-1&lt;0,"",'طلب التصنيع'!H35-1)</f>
        <v/>
      </c>
      <c r="G35" s="104">
        <f>'طلب التصنيع'!J35</f>
        <v>0</v>
      </c>
      <c r="H35" s="631">
        <f>'طلب التصنيع'!N35</f>
        <v>0</v>
      </c>
      <c r="I35" s="431"/>
      <c r="J35" s="625">
        <f>'طلب التصنيع'!U35</f>
        <v>0</v>
      </c>
      <c r="K35" s="626">
        <f>IF('طلب التصنيع'!X35="حصيرة فقط","",'طلب التصنيع'!U35)</f>
        <v>0</v>
      </c>
      <c r="L35" s="627">
        <f>'طلب التصنيع'!AX35</f>
        <v>0</v>
      </c>
      <c r="M35" s="628">
        <f>IF('طلب التصنيع'!X35="حصيرة فقط","",'طلب التصنيع'!AA35*2)</f>
        <v>0</v>
      </c>
      <c r="N35" s="629">
        <f>IF('طلب التصنيع'!X35="حصيرة فقط","",'طلب التصنيع'!AW35)</f>
        <v>0</v>
      </c>
      <c r="P35" s="434"/>
      <c r="Q35" s="134">
        <f t="shared" si="0"/>
        <v>0</v>
      </c>
      <c r="R35" s="134">
        <f t="shared" si="1"/>
        <v>0</v>
      </c>
      <c r="S35" s="433"/>
    </row>
    <row r="36" spans="1:20" ht="19.5" hidden="1" customHeight="1" x14ac:dyDescent="0.3">
      <c r="A36" s="2"/>
      <c r="B36" s="430">
        <f>'عرض السعر'!D36</f>
        <v>23</v>
      </c>
      <c r="C36" s="104">
        <f>'طلب التصنيع'!S36</f>
        <v>0</v>
      </c>
      <c r="D36" s="103">
        <f>'طلب التصنيع'!E36</f>
        <v>0</v>
      </c>
      <c r="E36" s="630">
        <f>'طلب التصنيع'!F36</f>
        <v>0</v>
      </c>
      <c r="F36" s="104" t="str">
        <f>IF('طلب التصنيع'!H36-1&lt;0,"",'طلب التصنيع'!H36-1)</f>
        <v/>
      </c>
      <c r="G36" s="104">
        <f>'طلب التصنيع'!J36</f>
        <v>0</v>
      </c>
      <c r="H36" s="631">
        <f>'طلب التصنيع'!N36</f>
        <v>0</v>
      </c>
      <c r="I36" s="431"/>
      <c r="J36" s="625">
        <f>'طلب التصنيع'!U36</f>
        <v>0</v>
      </c>
      <c r="K36" s="626">
        <f>IF('طلب التصنيع'!X36="حصيرة فقط","",'طلب التصنيع'!U36)</f>
        <v>0</v>
      </c>
      <c r="L36" s="627">
        <f>'طلب التصنيع'!AX36</f>
        <v>0</v>
      </c>
      <c r="M36" s="628">
        <f>IF('طلب التصنيع'!X36="حصيرة فقط","",'طلب التصنيع'!AA36*2)</f>
        <v>0</v>
      </c>
      <c r="N36" s="629">
        <f>IF('طلب التصنيع'!X36="حصيرة فقط","",'طلب التصنيع'!AW36)</f>
        <v>0</v>
      </c>
      <c r="P36" s="434"/>
      <c r="Q36" s="134">
        <f t="shared" si="0"/>
        <v>0</v>
      </c>
      <c r="R36" s="134">
        <f t="shared" si="1"/>
        <v>0</v>
      </c>
      <c r="S36" s="433"/>
    </row>
    <row r="37" spans="1:20" ht="19.5" hidden="1" customHeight="1" x14ac:dyDescent="0.3">
      <c r="A37" s="2"/>
      <c r="B37" s="430">
        <f>'عرض السعر'!D37</f>
        <v>24</v>
      </c>
      <c r="C37" s="104">
        <f>'طلب التصنيع'!S37</f>
        <v>0</v>
      </c>
      <c r="D37" s="103">
        <f>'طلب التصنيع'!E37</f>
        <v>0</v>
      </c>
      <c r="E37" s="630">
        <f>'طلب التصنيع'!F37</f>
        <v>0</v>
      </c>
      <c r="F37" s="104" t="str">
        <f>IF('طلب التصنيع'!H37-1&lt;0,"",'طلب التصنيع'!H37-1)</f>
        <v/>
      </c>
      <c r="G37" s="104">
        <f>'طلب التصنيع'!J37</f>
        <v>0</v>
      </c>
      <c r="H37" s="631">
        <f>'طلب التصنيع'!N37</f>
        <v>0</v>
      </c>
      <c r="I37" s="431"/>
      <c r="J37" s="625">
        <f>'طلب التصنيع'!U37</f>
        <v>0</v>
      </c>
      <c r="K37" s="626">
        <f>IF('طلب التصنيع'!X37="حصيرة فقط","",'طلب التصنيع'!U37)</f>
        <v>0</v>
      </c>
      <c r="L37" s="627">
        <f>'طلب التصنيع'!AX37</f>
        <v>0</v>
      </c>
      <c r="M37" s="628">
        <f>IF('طلب التصنيع'!X37="حصيرة فقط","",'طلب التصنيع'!AA37*2)</f>
        <v>0</v>
      </c>
      <c r="N37" s="629">
        <f>IF('طلب التصنيع'!X37="حصيرة فقط","",'طلب التصنيع'!AW37)</f>
        <v>0</v>
      </c>
      <c r="P37" s="434"/>
      <c r="Q37" s="134">
        <f t="shared" si="0"/>
        <v>0</v>
      </c>
      <c r="R37" s="134">
        <f t="shared" si="1"/>
        <v>0</v>
      </c>
      <c r="S37" s="433"/>
    </row>
    <row r="38" spans="1:20" ht="19.5" hidden="1" customHeight="1" x14ac:dyDescent="0.3">
      <c r="A38" s="2"/>
      <c r="B38" s="430">
        <f>'عرض السعر'!D38</f>
        <v>25</v>
      </c>
      <c r="C38" s="104">
        <f>'طلب التصنيع'!S38</f>
        <v>0</v>
      </c>
      <c r="D38" s="103">
        <f>'طلب التصنيع'!E38</f>
        <v>0</v>
      </c>
      <c r="E38" s="630">
        <f>'طلب التصنيع'!F38</f>
        <v>0</v>
      </c>
      <c r="F38" s="104" t="str">
        <f>IF('طلب التصنيع'!H38-1&lt;0,"",'طلب التصنيع'!H38-1)</f>
        <v/>
      </c>
      <c r="G38" s="104">
        <f>'طلب التصنيع'!J38</f>
        <v>0</v>
      </c>
      <c r="H38" s="631">
        <f>'طلب التصنيع'!N38</f>
        <v>0</v>
      </c>
      <c r="I38" s="431"/>
      <c r="J38" s="625">
        <f>'طلب التصنيع'!U38</f>
        <v>0</v>
      </c>
      <c r="K38" s="626">
        <f>IF('طلب التصنيع'!X38="حصيرة فقط","",'طلب التصنيع'!U38)</f>
        <v>0</v>
      </c>
      <c r="L38" s="627">
        <f>'طلب التصنيع'!AX38</f>
        <v>0</v>
      </c>
      <c r="M38" s="628">
        <f>IF('طلب التصنيع'!X38="حصيرة فقط","",'طلب التصنيع'!AA38*2)</f>
        <v>0</v>
      </c>
      <c r="N38" s="629">
        <f>IF('طلب التصنيع'!X38="حصيرة فقط","",'طلب التصنيع'!AW38)</f>
        <v>0</v>
      </c>
      <c r="P38" s="434"/>
      <c r="Q38" s="134">
        <f t="shared" si="0"/>
        <v>0</v>
      </c>
      <c r="R38" s="134">
        <f t="shared" si="1"/>
        <v>0</v>
      </c>
      <c r="S38" s="433"/>
    </row>
    <row r="39" spans="1:20" s="102" customFormat="1" ht="21.75" customHeight="1" thickBot="1" x14ac:dyDescent="0.35">
      <c r="A39" s="100"/>
      <c r="B39" s="918" t="s">
        <v>176</v>
      </c>
      <c r="C39" s="919"/>
      <c r="D39" s="657">
        <f>Q39</f>
        <v>407</v>
      </c>
      <c r="E39" s="918" t="s">
        <v>194</v>
      </c>
      <c r="F39" s="919"/>
      <c r="G39" s="702">
        <f>SUM(G14:G38)</f>
        <v>13</v>
      </c>
      <c r="H39" s="703">
        <f>SUM(H14:H38)</f>
        <v>21.845424000000005</v>
      </c>
      <c r="I39" s="704"/>
      <c r="J39" s="701"/>
      <c r="K39" s="952" t="s">
        <v>175</v>
      </c>
      <c r="L39" s="953"/>
      <c r="M39" s="658">
        <f>R39/100</f>
        <v>39.78</v>
      </c>
      <c r="N39" s="705"/>
      <c r="O39"/>
      <c r="P39" s="130"/>
      <c r="Q39" s="131">
        <f>SUM(Q14:Q38)</f>
        <v>407</v>
      </c>
      <c r="R39" s="134">
        <f>SUM(R14:R38)</f>
        <v>3978</v>
      </c>
    </row>
    <row r="40" spans="1:20" ht="8.25" customHeight="1" thickBot="1" x14ac:dyDescent="0.35">
      <c r="A40" s="2"/>
      <c r="B40" s="700"/>
      <c r="C40" s="7"/>
      <c r="D40" s="7"/>
      <c r="E40" s="7"/>
      <c r="F40" s="7"/>
      <c r="G40" s="7"/>
      <c r="H40" s="7"/>
      <c r="I40" s="7"/>
      <c r="J40" s="7"/>
      <c r="K40" s="7"/>
      <c r="L40" s="7"/>
      <c r="M40" s="641"/>
      <c r="N40" s="642"/>
      <c r="P40" s="132"/>
      <c r="Q40" s="134"/>
      <c r="R40" s="134"/>
      <c r="S40" s="433"/>
    </row>
    <row r="41" spans="1:20" ht="26.25" customHeight="1" thickBot="1" x14ac:dyDescent="0.35">
      <c r="A41" s="2"/>
      <c r="B41" s="915" t="s">
        <v>198</v>
      </c>
      <c r="C41" s="913"/>
      <c r="D41" s="913"/>
      <c r="E41" s="914"/>
      <c r="F41" s="912" t="s">
        <v>123</v>
      </c>
      <c r="G41" s="913"/>
      <c r="H41" s="914"/>
      <c r="I41" s="648"/>
      <c r="J41" s="909" t="s">
        <v>124</v>
      </c>
      <c r="K41" s="910"/>
      <c r="L41" s="911"/>
      <c r="M41" s="909" t="s">
        <v>36</v>
      </c>
      <c r="N41" s="911"/>
      <c r="P41" s="132"/>
      <c r="Q41" s="134"/>
      <c r="R41" s="134"/>
      <c r="S41" s="433"/>
      <c r="T41" t="s">
        <v>198</v>
      </c>
    </row>
    <row r="42" spans="1:20" ht="26.25" customHeight="1" x14ac:dyDescent="0.3">
      <c r="A42" s="2"/>
      <c r="B42" s="649" t="s">
        <v>125</v>
      </c>
      <c r="C42" s="650" t="s">
        <v>0</v>
      </c>
      <c r="D42" s="650" t="s">
        <v>31</v>
      </c>
      <c r="E42" s="651" t="s">
        <v>33</v>
      </c>
      <c r="F42" s="652" t="s">
        <v>126</v>
      </c>
      <c r="G42" s="650" t="s">
        <v>31</v>
      </c>
      <c r="H42" s="651" t="s">
        <v>33</v>
      </c>
      <c r="I42" s="647"/>
      <c r="J42" s="649" t="s">
        <v>126</v>
      </c>
      <c r="K42" s="653" t="s">
        <v>33</v>
      </c>
      <c r="L42" s="653" t="s">
        <v>88</v>
      </c>
      <c r="M42" s="649" t="s">
        <v>126</v>
      </c>
      <c r="N42" s="651" t="s">
        <v>33</v>
      </c>
      <c r="P42" s="132"/>
      <c r="Q42" s="134"/>
      <c r="R42" s="134"/>
      <c r="S42" s="433"/>
      <c r="T42" t="s">
        <v>199</v>
      </c>
    </row>
    <row r="43" spans="1:20" ht="24" customHeight="1" x14ac:dyDescent="0.3">
      <c r="A43" s="2"/>
      <c r="B43" s="670">
        <f>'طلب التصنيع'!AS14</f>
        <v>16.5</v>
      </c>
      <c r="C43" s="680">
        <f>IF(B43=0,0,'طلب التصنيع'!U14)</f>
        <v>0</v>
      </c>
      <c r="D43" s="690">
        <f>'طلب التصنيع'!AT14</f>
        <v>116</v>
      </c>
      <c r="E43" s="693">
        <f>IF('طلب التصنيع'!X14="حصيرة فقط","",'طلب التصنيع'!AA14)</f>
        <v>1</v>
      </c>
      <c r="F43" s="694">
        <f>IF('طلب التصنيع'!AV14&gt;0,'طلب التصنيع'!AV14,"")</f>
        <v>6</v>
      </c>
      <c r="G43" s="695">
        <f>IF('طلب التصنيع'!AT14&gt;0,'طلب التصنيع'!AT14,"")</f>
        <v>116</v>
      </c>
      <c r="H43" s="696">
        <f>IF('طلب التصنيع'!X14="حصيرة فقط","",'طلب التصنيع'!AA14)</f>
        <v>1</v>
      </c>
      <c r="I43" s="677"/>
      <c r="J43" s="697" t="str">
        <f>IF('طلب التصنيع'!BL14&gt;0,F43,"")</f>
        <v/>
      </c>
      <c r="K43" s="698" t="str">
        <f>IF('طلب التصنيع'!BL14&gt;0,'طلب التصنيع'!AA14,"")</f>
        <v/>
      </c>
      <c r="L43" s="724"/>
      <c r="M43" s="682" t="str">
        <f>IF(J43=10.2,"بدون",'طلب التصنيع'!AZ14)</f>
        <v>نابضية ص</v>
      </c>
      <c r="N43" s="693">
        <f>IF(M43="بدون","بدون",'طلب التصنيع'!BB14)</f>
        <v>3</v>
      </c>
      <c r="P43" s="132"/>
      <c r="Q43" s="134">
        <f>IFERROR(D43*E43,0)</f>
        <v>116</v>
      </c>
      <c r="R43" s="134">
        <f>IFERROR(H43*G43,0)</f>
        <v>116</v>
      </c>
      <c r="S43" s="433"/>
      <c r="T43" t="s">
        <v>200</v>
      </c>
    </row>
    <row r="44" spans="1:20" ht="24" customHeight="1" x14ac:dyDescent="0.3">
      <c r="A44" s="2"/>
      <c r="B44" s="670">
        <f>'طلب التصنيع'!AS15</f>
        <v>20</v>
      </c>
      <c r="C44" s="680">
        <f>IF(B44=0,0,'طلب التصنيع'!U15)</f>
        <v>0</v>
      </c>
      <c r="D44" s="690">
        <f>'طلب التصنيع'!AT15</f>
        <v>116</v>
      </c>
      <c r="E44" s="693">
        <f>IF('طلب التصنيع'!X15="حصيرة فقط","",'طلب التصنيع'!AA15)</f>
        <v>1</v>
      </c>
      <c r="F44" s="694">
        <f>IF('طلب التصنيع'!AV15&gt;0,'طلب التصنيع'!AV15,"")</f>
        <v>6</v>
      </c>
      <c r="G44" s="695">
        <f>IF('طلب التصنيع'!AT15&gt;0,'طلب التصنيع'!AT15,"")</f>
        <v>116</v>
      </c>
      <c r="H44" s="696">
        <f>IF('طلب التصنيع'!X15="حصيرة فقط","",'طلب التصنيع'!AA15)</f>
        <v>1</v>
      </c>
      <c r="I44" s="677"/>
      <c r="J44" s="697" t="str">
        <f>IF('طلب التصنيع'!BL15&gt;0,F44,"")</f>
        <v/>
      </c>
      <c r="K44" s="698" t="str">
        <f>IF('طلب التصنيع'!BL15&gt;0,'طلب التصنيع'!AA15,"")</f>
        <v/>
      </c>
      <c r="L44" s="724"/>
      <c r="M44" s="682" t="str">
        <f>IF(J44=10.2,"بدون",'طلب التصنيع'!AZ15)</f>
        <v>نابضية ك</v>
      </c>
      <c r="N44" s="693">
        <f>IF(M44="بدون","بدون",'طلب التصنيع'!BB15)</f>
        <v>3</v>
      </c>
      <c r="P44" s="132"/>
      <c r="Q44" s="134">
        <f t="shared" ref="Q44:Q67" si="2">IFERROR(D44*E44,0)</f>
        <v>116</v>
      </c>
      <c r="R44" s="134">
        <f>IFERROR(H44*G44,0)</f>
        <v>116</v>
      </c>
      <c r="S44" s="433"/>
      <c r="T44" t="s">
        <v>201</v>
      </c>
    </row>
    <row r="45" spans="1:20" ht="24" customHeight="1" x14ac:dyDescent="0.3">
      <c r="A45" s="2"/>
      <c r="B45" s="670">
        <f>'طلب التصنيع'!AS16</f>
        <v>22.5</v>
      </c>
      <c r="C45" s="680">
        <f>IF(B45=0,0,'طلب التصنيع'!U16)</f>
        <v>0</v>
      </c>
      <c r="D45" s="690">
        <f>'طلب التصنيع'!AT16</f>
        <v>116</v>
      </c>
      <c r="E45" s="693">
        <f>IF('طلب التصنيع'!X16="حصيرة فقط","",'طلب التصنيع'!AA16)</f>
        <v>1</v>
      </c>
      <c r="F45" s="694">
        <f>IF('طلب التصنيع'!AV16&gt;0,'طلب التصنيع'!AV16,"")</f>
        <v>6</v>
      </c>
      <c r="G45" s="695">
        <f>IF('طلب التصنيع'!AT16&gt;0,'طلب التصنيع'!AT16,"")</f>
        <v>116</v>
      </c>
      <c r="H45" s="696">
        <f>IF('طلب التصنيع'!X16="حصيرة فقط","",'طلب التصنيع'!AA16)</f>
        <v>1</v>
      </c>
      <c r="I45" s="677"/>
      <c r="J45" s="697" t="str">
        <f>IF('طلب التصنيع'!BL16&gt;0,F45,"")</f>
        <v/>
      </c>
      <c r="K45" s="698" t="str">
        <f>IF('طلب التصنيع'!BL16&gt;0,'طلب التصنيع'!AA16,"")</f>
        <v/>
      </c>
      <c r="L45" s="724"/>
      <c r="M45" s="682">
        <f>IF(J45=10.2,"بدون",'طلب التصنيع'!AZ16)</f>
        <v>6</v>
      </c>
      <c r="N45" s="693">
        <f>IF(M45="بدون","بدون",'طلب التصنيع'!BB16)</f>
        <v>2</v>
      </c>
      <c r="P45" s="132"/>
      <c r="Q45" s="134">
        <f t="shared" si="2"/>
        <v>116</v>
      </c>
      <c r="R45" s="134">
        <f>IFERROR(H45*G45,0)</f>
        <v>116</v>
      </c>
      <c r="S45" s="433"/>
    </row>
    <row r="46" spans="1:20" ht="24" customHeight="1" x14ac:dyDescent="0.3">
      <c r="A46" s="2"/>
      <c r="B46" s="670">
        <f>'طلب التصنيع'!AS17</f>
        <v>20</v>
      </c>
      <c r="C46" s="680">
        <f>IF(B46=0,0,'طلب التصنيع'!U17)</f>
        <v>0</v>
      </c>
      <c r="D46" s="690">
        <f>'طلب التصنيع'!AT17</f>
        <v>116</v>
      </c>
      <c r="E46" s="693">
        <f>IF('طلب التصنيع'!X17="حصيرة فقط","",'طلب التصنيع'!AA17)</f>
        <v>1</v>
      </c>
      <c r="F46" s="694">
        <f>IF('طلب التصنيع'!AV17&gt;0,'طلب التصنيع'!AV17,"")</f>
        <v>6</v>
      </c>
      <c r="G46" s="695">
        <f>IF('طلب التصنيع'!AT17&gt;0,'طلب التصنيع'!AT17,"")</f>
        <v>116</v>
      </c>
      <c r="H46" s="696">
        <f>IF('طلب التصنيع'!X17="حصيرة فقط","",'طلب التصنيع'!AA17)</f>
        <v>1</v>
      </c>
      <c r="I46" s="677"/>
      <c r="J46" s="697" t="str">
        <f>IF('طلب التصنيع'!BL17&gt;0,F46,"")</f>
        <v/>
      </c>
      <c r="K46" s="698" t="str">
        <f>IF('طلب التصنيع'!BL17&gt;0,'طلب التصنيع'!AA17,"")</f>
        <v/>
      </c>
      <c r="L46" s="724"/>
      <c r="M46" s="682">
        <f>IF(J46=10.2,"بدون",'طلب التصنيع'!AZ17)</f>
        <v>6</v>
      </c>
      <c r="N46" s="693">
        <f>IF(M46="بدون","بدون",'طلب التصنيع'!BB17)</f>
        <v>2</v>
      </c>
      <c r="P46" s="132"/>
      <c r="Q46" s="134">
        <f t="shared" si="2"/>
        <v>116</v>
      </c>
      <c r="R46" s="134">
        <f t="shared" ref="R46:R67" si="3">IFERROR(H46*G46,0)</f>
        <v>116</v>
      </c>
      <c r="S46" s="433"/>
    </row>
    <row r="47" spans="1:20" ht="24" customHeight="1" x14ac:dyDescent="0.3">
      <c r="A47" s="2"/>
      <c r="B47" s="670">
        <f>'طلب التصنيع'!AS18</f>
        <v>20</v>
      </c>
      <c r="C47" s="680">
        <f>IF(B47=0,0,'طلب التصنيع'!U18)</f>
        <v>0</v>
      </c>
      <c r="D47" s="690">
        <f>'طلب التصنيع'!AT18</f>
        <v>116</v>
      </c>
      <c r="E47" s="693">
        <f>IF('طلب التصنيع'!X18="حصيرة فقط","",'طلب التصنيع'!AA18)</f>
        <v>1</v>
      </c>
      <c r="F47" s="694">
        <f>IF('طلب التصنيع'!AV18&gt;0,'طلب التصنيع'!AV18,"")</f>
        <v>6</v>
      </c>
      <c r="G47" s="695">
        <f>IF('طلب التصنيع'!AT18&gt;0,'طلب التصنيع'!AT18,"")</f>
        <v>116</v>
      </c>
      <c r="H47" s="696">
        <f>IF('طلب التصنيع'!X18="حصيرة فقط","",'طلب التصنيع'!AA18)</f>
        <v>1</v>
      </c>
      <c r="I47" s="677"/>
      <c r="J47" s="697" t="str">
        <f>IF('طلب التصنيع'!BL18&gt;0,F47,"")</f>
        <v/>
      </c>
      <c r="K47" s="698" t="str">
        <f>IF('طلب التصنيع'!BL18&gt;0,'طلب التصنيع'!AA18,"")</f>
        <v/>
      </c>
      <c r="L47" s="724"/>
      <c r="M47" s="682" t="str">
        <f>IF(J47=10.2,"بدون",'طلب التصنيع'!AZ18)</f>
        <v>نابضية ك</v>
      </c>
      <c r="N47" s="693">
        <f>IF(M47="بدون","بدون",'طلب التصنيع'!BB18)</f>
        <v>3</v>
      </c>
      <c r="P47" s="132"/>
      <c r="Q47" s="134">
        <f t="shared" si="2"/>
        <v>116</v>
      </c>
      <c r="R47" s="134">
        <f t="shared" si="3"/>
        <v>116</v>
      </c>
      <c r="S47" s="433"/>
    </row>
    <row r="48" spans="1:20" ht="24" customHeight="1" x14ac:dyDescent="0.3">
      <c r="A48" s="2"/>
      <c r="B48" s="670">
        <f>'طلب التصنيع'!AS19</f>
        <v>18</v>
      </c>
      <c r="C48" s="680">
        <f>IF(B48=0,0,'طلب التصنيع'!U19)</f>
        <v>0</v>
      </c>
      <c r="D48" s="690">
        <f>'طلب التصنيع'!AT19</f>
        <v>116</v>
      </c>
      <c r="E48" s="693">
        <f>IF('طلب التصنيع'!X19="حصيرة فقط","",'طلب التصنيع'!AA19)</f>
        <v>1</v>
      </c>
      <c r="F48" s="694">
        <f>IF('طلب التصنيع'!AV19&gt;0,'طلب التصنيع'!AV19,"")</f>
        <v>6</v>
      </c>
      <c r="G48" s="695">
        <f>IF('طلب التصنيع'!AT19&gt;0,'طلب التصنيع'!AT19,"")</f>
        <v>116</v>
      </c>
      <c r="H48" s="696">
        <f>IF('طلب التصنيع'!X19="حصيرة فقط","",'طلب التصنيع'!AA19)</f>
        <v>1</v>
      </c>
      <c r="I48" s="677"/>
      <c r="J48" s="697" t="str">
        <f>IF('طلب التصنيع'!BL19&gt;0,F48,"")</f>
        <v/>
      </c>
      <c r="K48" s="698" t="str">
        <f>IF('طلب التصنيع'!BL19&gt;0,'طلب التصنيع'!AA19,"")</f>
        <v/>
      </c>
      <c r="L48" s="724"/>
      <c r="M48" s="682" t="str">
        <f>IF(J48=10.2,"بدون",'طلب التصنيع'!AZ19)</f>
        <v>نابضية ص</v>
      </c>
      <c r="N48" s="693">
        <f>IF(M48="بدون","بدون",'طلب التصنيع'!BB19)</f>
        <v>3</v>
      </c>
      <c r="P48" s="132"/>
      <c r="Q48" s="134">
        <f t="shared" si="2"/>
        <v>116</v>
      </c>
      <c r="R48" s="134">
        <f t="shared" si="3"/>
        <v>116</v>
      </c>
      <c r="S48" s="433"/>
    </row>
    <row r="49" spans="1:19" ht="24" customHeight="1" x14ac:dyDescent="0.3">
      <c r="A49" s="2"/>
      <c r="B49" s="670">
        <f>'طلب التصنيع'!AS20</f>
        <v>22.5</v>
      </c>
      <c r="C49" s="680">
        <f>IF(B49=0,0,'طلب التصنيع'!U20)</f>
        <v>0</v>
      </c>
      <c r="D49" s="690">
        <f>'طلب التصنيع'!AT20</f>
        <v>116</v>
      </c>
      <c r="E49" s="693">
        <f>IF('طلب التصنيع'!X20="حصيرة فقط","",'طلب التصنيع'!AA20)</f>
        <v>1</v>
      </c>
      <c r="F49" s="694">
        <f>IF('طلب التصنيع'!AV20&gt;0,'طلب التصنيع'!AV20,"")</f>
        <v>6</v>
      </c>
      <c r="G49" s="695">
        <f>IF('طلب التصنيع'!AT20&gt;0,'طلب التصنيع'!AT20,"")</f>
        <v>116</v>
      </c>
      <c r="H49" s="696">
        <f>IF('طلب التصنيع'!X20="حصيرة فقط","",'طلب التصنيع'!AA20)</f>
        <v>1</v>
      </c>
      <c r="I49" s="677"/>
      <c r="J49" s="697" t="str">
        <f>IF('طلب التصنيع'!BL20&gt;0,F49,"")</f>
        <v/>
      </c>
      <c r="K49" s="698" t="str">
        <f>IF('طلب التصنيع'!BL20&gt;0,'طلب التصنيع'!AA20,"")</f>
        <v/>
      </c>
      <c r="L49" s="724"/>
      <c r="M49" s="682" t="str">
        <f>IF(J49=10.2,"بدون",'طلب التصنيع'!AZ20)</f>
        <v>نابضية ك</v>
      </c>
      <c r="N49" s="693">
        <f>IF(M49="بدون","بدون",'طلب التصنيع'!BB20)</f>
        <v>3</v>
      </c>
      <c r="P49" s="132"/>
      <c r="Q49" s="134">
        <f t="shared" si="2"/>
        <v>116</v>
      </c>
      <c r="R49" s="134">
        <f t="shared" si="3"/>
        <v>116</v>
      </c>
      <c r="S49" s="433"/>
    </row>
    <row r="50" spans="1:19" ht="24" customHeight="1" x14ac:dyDescent="0.3">
      <c r="A50" s="2"/>
      <c r="B50" s="670">
        <f>'طلب التصنيع'!AS21</f>
        <v>18</v>
      </c>
      <c r="C50" s="680">
        <f>IF(B50=0,0,'طلب التصنيع'!U21)</f>
        <v>0</v>
      </c>
      <c r="D50" s="690">
        <f>'طلب التصنيع'!AT21</f>
        <v>116</v>
      </c>
      <c r="E50" s="693">
        <f>IF('طلب التصنيع'!X21="حصيرة فقط","",'طلب التصنيع'!AA21)</f>
        <v>1</v>
      </c>
      <c r="F50" s="694">
        <f>IF('طلب التصنيع'!AV21&gt;0,'طلب التصنيع'!AV21,"")</f>
        <v>6</v>
      </c>
      <c r="G50" s="695">
        <f>IF('طلب التصنيع'!AT21&gt;0,'طلب التصنيع'!AT21,"")</f>
        <v>116</v>
      </c>
      <c r="H50" s="696">
        <f>IF('طلب التصنيع'!X21="حصيرة فقط","",'طلب التصنيع'!AA21)</f>
        <v>1</v>
      </c>
      <c r="I50" s="677"/>
      <c r="J50" s="697" t="str">
        <f>IF('طلب التصنيع'!BL21&gt;0,F50,"")</f>
        <v/>
      </c>
      <c r="K50" s="698" t="str">
        <f>IF('طلب التصنيع'!BL21&gt;0,'طلب التصنيع'!AA21,"")</f>
        <v/>
      </c>
      <c r="L50" s="724"/>
      <c r="M50" s="682" t="str">
        <f>IF(J50=10.2,"بدون",'طلب التصنيع'!AZ21)</f>
        <v>نابضية ص</v>
      </c>
      <c r="N50" s="693">
        <f>IF(M50="بدون","بدون",'طلب التصنيع'!BB21)</f>
        <v>3</v>
      </c>
      <c r="P50" s="132"/>
      <c r="Q50" s="134">
        <f t="shared" si="2"/>
        <v>116</v>
      </c>
      <c r="R50" s="134">
        <f t="shared" si="3"/>
        <v>116</v>
      </c>
      <c r="S50" s="433"/>
    </row>
    <row r="51" spans="1:19" ht="24" customHeight="1" x14ac:dyDescent="0.3">
      <c r="A51" s="2"/>
      <c r="B51" s="671">
        <f>'طلب التصنيع'!AS22</f>
        <v>18</v>
      </c>
      <c r="C51" s="681">
        <f>IF(B51=0,0,'طلب التصنيع'!U22)</f>
        <v>0</v>
      </c>
      <c r="D51" s="695">
        <f>'طلب التصنيع'!AT22</f>
        <v>116</v>
      </c>
      <c r="E51" s="696">
        <f>IF('طلب التصنيع'!X22="حصيرة فقط","",'طلب التصنيع'!AA22)</f>
        <v>1</v>
      </c>
      <c r="F51" s="694">
        <f>IF('طلب التصنيع'!AV22&gt;0,'طلب التصنيع'!AV22,"")</f>
        <v>6</v>
      </c>
      <c r="G51" s="695">
        <f>IF('طلب التصنيع'!AT22&gt;0,'طلب التصنيع'!AT22,"")</f>
        <v>116</v>
      </c>
      <c r="H51" s="696">
        <f>IF('طلب التصنيع'!X22="حصيرة فقط","",'طلب التصنيع'!AA22)</f>
        <v>1</v>
      </c>
      <c r="I51" s="677"/>
      <c r="J51" s="697" t="str">
        <f>IF('طلب التصنيع'!BL22&gt;0,F51,"")</f>
        <v/>
      </c>
      <c r="K51" s="698" t="str">
        <f>IF('طلب التصنيع'!BL22&gt;0,'طلب التصنيع'!AA22,"")</f>
        <v/>
      </c>
      <c r="L51" s="724"/>
      <c r="M51" s="682" t="str">
        <f>IF(J51=10.2,"بدون",'طلب التصنيع'!AZ22)</f>
        <v>نابضية ك</v>
      </c>
      <c r="N51" s="693">
        <f>IF(M51="بدون","بدون",'طلب التصنيع'!BB22)</f>
        <v>3</v>
      </c>
      <c r="P51" s="132"/>
      <c r="Q51" s="134">
        <f t="shared" si="2"/>
        <v>116</v>
      </c>
      <c r="R51" s="134">
        <f t="shared" si="3"/>
        <v>116</v>
      </c>
      <c r="S51" s="433"/>
    </row>
    <row r="52" spans="1:19" ht="24" customHeight="1" x14ac:dyDescent="0.3">
      <c r="A52" s="2"/>
      <c r="B52" s="671">
        <f>'طلب التصنيع'!AS23</f>
        <v>20</v>
      </c>
      <c r="C52" s="681">
        <f>IF(B52=0,0,'طلب التصنيع'!U23)</f>
        <v>0</v>
      </c>
      <c r="D52" s="695">
        <f>'طلب التصنيع'!AT23</f>
        <v>116</v>
      </c>
      <c r="E52" s="696">
        <f>IF('طلب التصنيع'!X23="حصيرة فقط","",'طلب التصنيع'!AA23)</f>
        <v>1</v>
      </c>
      <c r="F52" s="694">
        <f>IF('طلب التصنيع'!AV23&gt;0,'طلب التصنيع'!AV23,"")</f>
        <v>6</v>
      </c>
      <c r="G52" s="695">
        <f>IF('طلب التصنيع'!AT23&gt;0,'طلب التصنيع'!AT23,"")</f>
        <v>116</v>
      </c>
      <c r="H52" s="696">
        <f>IF('طلب التصنيع'!X23="حصيرة فقط","",'طلب التصنيع'!AA23)</f>
        <v>1</v>
      </c>
      <c r="I52" s="677"/>
      <c r="J52" s="697" t="str">
        <f>IF('طلب التصنيع'!BL23&gt;0,F52,"")</f>
        <v/>
      </c>
      <c r="K52" s="698" t="str">
        <f>IF('طلب التصنيع'!BL23&gt;0,'طلب التصنيع'!AA23,"")</f>
        <v/>
      </c>
      <c r="L52" s="724"/>
      <c r="M52" s="682" t="str">
        <f>IF(J52=10.2,"بدون",'طلب التصنيع'!AZ23)</f>
        <v>نابضية ك</v>
      </c>
      <c r="N52" s="693">
        <f>IF(M52="بدون","بدون",'طلب التصنيع'!BB23)</f>
        <v>3</v>
      </c>
      <c r="P52" s="132"/>
      <c r="Q52" s="134">
        <f t="shared" si="2"/>
        <v>116</v>
      </c>
      <c r="R52" s="134">
        <f t="shared" si="3"/>
        <v>116</v>
      </c>
      <c r="S52" s="433"/>
    </row>
    <row r="53" spans="1:19" ht="24" customHeight="1" x14ac:dyDescent="0.3">
      <c r="A53" s="2"/>
      <c r="B53" s="671">
        <f>'طلب التصنيع'!AS24</f>
        <v>20</v>
      </c>
      <c r="C53" s="681">
        <f>IF(B53=0,0,'طلب التصنيع'!U24)</f>
        <v>0</v>
      </c>
      <c r="D53" s="695">
        <f>'طلب التصنيع'!AT24</f>
        <v>116</v>
      </c>
      <c r="E53" s="696">
        <f>IF('طلب التصنيع'!X24="حصيرة فقط","",'طلب التصنيع'!AA24)</f>
        <v>1</v>
      </c>
      <c r="F53" s="694">
        <f>IF('طلب التصنيع'!AV24&gt;0,'طلب التصنيع'!AV24,"")</f>
        <v>6</v>
      </c>
      <c r="G53" s="695">
        <f>IF('طلب التصنيع'!AT24&gt;0,'طلب التصنيع'!AT24,"")</f>
        <v>116</v>
      </c>
      <c r="H53" s="696">
        <f>IF('طلب التصنيع'!X24="حصيرة فقط","",'طلب التصنيع'!AA24)</f>
        <v>1</v>
      </c>
      <c r="I53" s="677"/>
      <c r="J53" s="697" t="str">
        <f>IF('طلب التصنيع'!BL24&gt;0,F53,"")</f>
        <v/>
      </c>
      <c r="K53" s="698" t="str">
        <f>IF('طلب التصنيع'!BL24&gt;0,'طلب التصنيع'!AA24,"")</f>
        <v/>
      </c>
      <c r="L53" s="724"/>
      <c r="M53" s="682">
        <f>IF(J53=10.2,"بدون",'طلب التصنيع'!AZ24)</f>
        <v>6</v>
      </c>
      <c r="N53" s="693">
        <f>IF(M53="بدون","بدون",'طلب التصنيع'!BB24)</f>
        <v>2</v>
      </c>
      <c r="P53" s="132"/>
      <c r="Q53" s="134">
        <f t="shared" si="2"/>
        <v>116</v>
      </c>
      <c r="R53" s="134">
        <f t="shared" si="3"/>
        <v>116</v>
      </c>
      <c r="S53" s="433"/>
    </row>
    <row r="54" spans="1:19" ht="24" customHeight="1" x14ac:dyDescent="0.3">
      <c r="A54" s="2"/>
      <c r="B54" s="671">
        <f>'طلب التصنيع'!AS25</f>
        <v>18</v>
      </c>
      <c r="C54" s="681">
        <f>IF(B54=0,0,'طلب التصنيع'!U25)</f>
        <v>0</v>
      </c>
      <c r="D54" s="695">
        <f>'طلب التصنيع'!AT25</f>
        <v>116</v>
      </c>
      <c r="E54" s="696">
        <f>IF('طلب التصنيع'!X25="حصيرة فقط","",'طلب التصنيع'!AA25)</f>
        <v>1</v>
      </c>
      <c r="F54" s="694">
        <f>IF('طلب التصنيع'!AV25&gt;0,'طلب التصنيع'!AV25,"")</f>
        <v>6</v>
      </c>
      <c r="G54" s="695">
        <f>IF('طلب التصنيع'!AT25&gt;0,'طلب التصنيع'!AT25,"")</f>
        <v>116</v>
      </c>
      <c r="H54" s="696">
        <f>IF('طلب التصنيع'!X25="حصيرة فقط","",'طلب التصنيع'!AA25)</f>
        <v>1</v>
      </c>
      <c r="I54" s="677"/>
      <c r="J54" s="697" t="str">
        <f>IF('طلب التصنيع'!BL25&gt;0,F54,"")</f>
        <v/>
      </c>
      <c r="K54" s="698" t="str">
        <f>IF('طلب التصنيع'!BL25&gt;0,'طلب التصنيع'!AA25,"")</f>
        <v/>
      </c>
      <c r="L54" s="724"/>
      <c r="M54" s="682" t="str">
        <f>IF(J54=10.2,"بدون",'طلب التصنيع'!AZ25)</f>
        <v>نابضية ك</v>
      </c>
      <c r="N54" s="693">
        <f>IF(M54="بدون","بدون",'طلب التصنيع'!BB25)</f>
        <v>3</v>
      </c>
      <c r="P54" s="132"/>
      <c r="Q54" s="134">
        <f t="shared" si="2"/>
        <v>116</v>
      </c>
      <c r="R54" s="134">
        <f t="shared" si="3"/>
        <v>116</v>
      </c>
      <c r="S54" s="433"/>
    </row>
    <row r="55" spans="1:19" ht="24" customHeight="1" x14ac:dyDescent="0.3">
      <c r="A55" s="2"/>
      <c r="B55" s="671">
        <f>'طلب التصنيع'!AS26</f>
        <v>18</v>
      </c>
      <c r="C55" s="681">
        <f>IF(B55=0,0,'طلب التصنيع'!U26)</f>
        <v>0</v>
      </c>
      <c r="D55" s="695">
        <f>'طلب التصنيع'!AT26</f>
        <v>116</v>
      </c>
      <c r="E55" s="696">
        <f>IF('طلب التصنيع'!X26="حصيرة فقط","",'طلب التصنيع'!AA26)</f>
        <v>1</v>
      </c>
      <c r="F55" s="694">
        <f>IF('طلب التصنيع'!AV26&gt;0,'طلب التصنيع'!AV26,"")</f>
        <v>6</v>
      </c>
      <c r="G55" s="695">
        <f>IF('طلب التصنيع'!AT26&gt;0,'طلب التصنيع'!AT26,"")</f>
        <v>116</v>
      </c>
      <c r="H55" s="696">
        <f>IF('طلب التصنيع'!X26="حصيرة فقط","",'طلب التصنيع'!AA26)</f>
        <v>1</v>
      </c>
      <c r="I55" s="677"/>
      <c r="J55" s="697" t="str">
        <f>IF('طلب التصنيع'!BL26&gt;0,F55,"")</f>
        <v/>
      </c>
      <c r="K55" s="698" t="str">
        <f>IF('طلب التصنيع'!BL26&gt;0,'طلب التصنيع'!AA26,"")</f>
        <v/>
      </c>
      <c r="L55" s="724"/>
      <c r="M55" s="682" t="str">
        <f>IF(J55=10.2,"بدون",'طلب التصنيع'!AZ26)</f>
        <v>نابضية ك</v>
      </c>
      <c r="N55" s="693">
        <f>IF(M55="بدون","بدون",'طلب التصنيع'!BB26)</f>
        <v>3</v>
      </c>
      <c r="P55" s="132"/>
      <c r="Q55" s="134">
        <f t="shared" si="2"/>
        <v>116</v>
      </c>
      <c r="R55" s="134">
        <f t="shared" si="3"/>
        <v>116</v>
      </c>
      <c r="S55" s="433"/>
    </row>
    <row r="56" spans="1:19" ht="24" customHeight="1" x14ac:dyDescent="0.3">
      <c r="A56" s="2"/>
      <c r="B56" s="671">
        <f>'طلب التصنيع'!AS27</f>
        <v>0</v>
      </c>
      <c r="C56" s="681">
        <f>IF(B56=0,0,'طلب التصنيع'!U27)</f>
        <v>0</v>
      </c>
      <c r="D56" s="695">
        <f>'طلب التصنيع'!AT27</f>
        <v>0</v>
      </c>
      <c r="E56" s="696">
        <f>IF('طلب التصنيع'!X27="حصيرة فقط","",'طلب التصنيع'!AA27)</f>
        <v>0</v>
      </c>
      <c r="F56" s="694" t="str">
        <f>IF('طلب التصنيع'!AV27&gt;0,'طلب التصنيع'!AV27,"")</f>
        <v/>
      </c>
      <c r="G56" s="695" t="str">
        <f>IF('طلب التصنيع'!AT27&gt;0,'طلب التصنيع'!AT27,"")</f>
        <v/>
      </c>
      <c r="H56" s="696">
        <f>IF('طلب التصنيع'!X27="حصيرة فقط","",'طلب التصنيع'!AA27)</f>
        <v>0</v>
      </c>
      <c r="I56" s="677"/>
      <c r="J56" s="697" t="str">
        <f>IF('طلب التصنيع'!BL27&gt;0,F56,"")</f>
        <v/>
      </c>
      <c r="K56" s="698" t="str">
        <f>IF('طلب التصنيع'!BL27&gt;0,'طلب التصنيع'!AA27,"")</f>
        <v/>
      </c>
      <c r="L56" s="724"/>
      <c r="M56" s="682">
        <f>IF(J56=10.2,"بدون",'طلب التصنيع'!AZ27)</f>
        <v>0</v>
      </c>
      <c r="N56" s="693">
        <f>IF(M56="بدون","بدون",'طلب التصنيع'!BB27)</f>
        <v>0</v>
      </c>
      <c r="P56" s="132"/>
      <c r="Q56" s="134">
        <f t="shared" si="2"/>
        <v>0</v>
      </c>
      <c r="R56" s="134">
        <f t="shared" si="3"/>
        <v>0</v>
      </c>
      <c r="S56" s="433"/>
    </row>
    <row r="57" spans="1:19" ht="24" customHeight="1" x14ac:dyDescent="0.3">
      <c r="A57" s="2"/>
      <c r="B57" s="671">
        <f>'طلب التصنيع'!AS28</f>
        <v>0</v>
      </c>
      <c r="C57" s="681">
        <f>IF(B57=0,0,'طلب التصنيع'!U28)</f>
        <v>0</v>
      </c>
      <c r="D57" s="695">
        <f>'طلب التصنيع'!AT28</f>
        <v>0</v>
      </c>
      <c r="E57" s="696">
        <f>IF('طلب التصنيع'!X28="حصيرة فقط","",'طلب التصنيع'!AA28)</f>
        <v>0</v>
      </c>
      <c r="F57" s="694" t="str">
        <f>IF('طلب التصنيع'!AV28&gt;0,'طلب التصنيع'!AV28,"")</f>
        <v/>
      </c>
      <c r="G57" s="695" t="str">
        <f>IF('طلب التصنيع'!AT28&gt;0,'طلب التصنيع'!AT28,"")</f>
        <v/>
      </c>
      <c r="H57" s="696">
        <f>IF('طلب التصنيع'!X28="حصيرة فقط","",'طلب التصنيع'!AA28)</f>
        <v>0</v>
      </c>
      <c r="I57" s="677"/>
      <c r="J57" s="697" t="str">
        <f>IF('طلب التصنيع'!BL28&gt;0,F57,"")</f>
        <v/>
      </c>
      <c r="K57" s="698" t="str">
        <f>IF('طلب التصنيع'!BL28&gt;0,'طلب التصنيع'!AA28,"")</f>
        <v/>
      </c>
      <c r="L57" s="724"/>
      <c r="M57" s="682">
        <f>IF(J57=10.2,"بدون",'طلب التصنيع'!AZ28)</f>
        <v>0</v>
      </c>
      <c r="N57" s="693">
        <f>IF(M57="بدون","بدون",'طلب التصنيع'!BB28)</f>
        <v>0</v>
      </c>
      <c r="P57" s="132"/>
      <c r="Q57" s="134">
        <f t="shared" si="2"/>
        <v>0</v>
      </c>
      <c r="R57" s="134">
        <f t="shared" si="3"/>
        <v>0</v>
      </c>
      <c r="S57" s="433"/>
    </row>
    <row r="58" spans="1:19" ht="17.100000000000001" hidden="1" customHeight="1" x14ac:dyDescent="0.3">
      <c r="A58" s="2"/>
      <c r="B58" s="435">
        <f>'طلب التصنيع'!AS29</f>
        <v>0</v>
      </c>
      <c r="C58" s="436">
        <f>IF(B58=0,0,'طلب التصنيع'!U29)</f>
        <v>0</v>
      </c>
      <c r="D58" s="637">
        <f>'طلب التصنيع'!AT29</f>
        <v>0</v>
      </c>
      <c r="E58" s="638">
        <f>IF('طلب التصنيع'!X29="حصيرة فقط","",'طلب التصنيع'!AA29)</f>
        <v>0</v>
      </c>
      <c r="F58" s="636" t="str">
        <f>IF('طلب التصنيع'!AV29&gt;0,'طلب التصنيع'!AV29,"")</f>
        <v/>
      </c>
      <c r="G58" s="637" t="str">
        <f>IF('طلب التصنيع'!AT29&gt;0,'طلب التصنيع'!AT29,"")</f>
        <v/>
      </c>
      <c r="H58" s="638">
        <f>IF('طلب التصنيع'!X29="حصيرة فقط","",'طلب التصنيع'!AA29)</f>
        <v>0</v>
      </c>
      <c r="I58" s="431"/>
      <c r="J58" s="435" t="str">
        <f>IF('طلب التصنيع'!BL29&gt;0,F58,"")</f>
        <v/>
      </c>
      <c r="K58" s="639" t="str">
        <f>IF('طلب التصنيع'!BL29&gt;0,'طلب التصنيع'!AA29,"")</f>
        <v/>
      </c>
      <c r="L58" s="640"/>
      <c r="M58" s="634">
        <f>IF(J58=10.2,"بدون",'طلب التصنيع'!AZ29)</f>
        <v>0</v>
      </c>
      <c r="N58" s="635">
        <f>IF(M58="بدون","بدون",'طلب التصنيع'!BB29)</f>
        <v>0</v>
      </c>
      <c r="P58" s="132"/>
      <c r="Q58" s="134">
        <f t="shared" si="2"/>
        <v>0</v>
      </c>
      <c r="R58" s="134">
        <f t="shared" si="3"/>
        <v>0</v>
      </c>
      <c r="S58" s="433"/>
    </row>
    <row r="59" spans="1:19" ht="17.100000000000001" hidden="1" customHeight="1" x14ac:dyDescent="0.3">
      <c r="A59" s="2"/>
      <c r="B59" s="435">
        <f>'طلب التصنيع'!AS30</f>
        <v>0</v>
      </c>
      <c r="C59" s="436">
        <f>IF(B59=0,0,'طلب التصنيع'!U30)</f>
        <v>0</v>
      </c>
      <c r="D59" s="637">
        <f>'طلب التصنيع'!AT30</f>
        <v>0</v>
      </c>
      <c r="E59" s="638">
        <f>IF('طلب التصنيع'!X30="حصيرة فقط","",'طلب التصنيع'!AA30)</f>
        <v>0</v>
      </c>
      <c r="F59" s="636" t="str">
        <f>IF('طلب التصنيع'!AV30&gt;0,'طلب التصنيع'!AV30,"")</f>
        <v/>
      </c>
      <c r="G59" s="637" t="str">
        <f>IF('طلب التصنيع'!AT30&gt;0,'طلب التصنيع'!AT30,"")</f>
        <v/>
      </c>
      <c r="H59" s="638">
        <f>IF('طلب التصنيع'!X30="حصيرة فقط","",'طلب التصنيع'!AA30)</f>
        <v>0</v>
      </c>
      <c r="I59" s="431"/>
      <c r="J59" s="435" t="str">
        <f>IF('طلب التصنيع'!BL30&gt;0,F59,"")</f>
        <v/>
      </c>
      <c r="K59" s="639" t="str">
        <f>IF('طلب التصنيع'!BL30&gt;0,'طلب التصنيع'!AA30,"")</f>
        <v/>
      </c>
      <c r="L59" s="640"/>
      <c r="M59" s="634">
        <f>IF(J59=10.2,"بدون",'طلب التصنيع'!AZ30)</f>
        <v>0</v>
      </c>
      <c r="N59" s="635">
        <f>IF(M59="بدون","بدون",'طلب التصنيع'!BB30)</f>
        <v>0</v>
      </c>
      <c r="P59" s="132"/>
      <c r="Q59" s="134">
        <f t="shared" si="2"/>
        <v>0</v>
      </c>
      <c r="R59" s="134">
        <f t="shared" si="3"/>
        <v>0</v>
      </c>
      <c r="S59" s="433"/>
    </row>
    <row r="60" spans="1:19" ht="17.100000000000001" hidden="1" customHeight="1" x14ac:dyDescent="0.3">
      <c r="A60" s="2"/>
      <c r="B60" s="435">
        <f>'طلب التصنيع'!AS31</f>
        <v>0</v>
      </c>
      <c r="C60" s="436">
        <f>IF(B60=0,0,'طلب التصنيع'!U31)</f>
        <v>0</v>
      </c>
      <c r="D60" s="637">
        <f>'طلب التصنيع'!AT31</f>
        <v>0</v>
      </c>
      <c r="E60" s="638">
        <f>IF('طلب التصنيع'!X31="حصيرة فقط","",'طلب التصنيع'!AA31)</f>
        <v>0</v>
      </c>
      <c r="F60" s="636" t="str">
        <f>IF('طلب التصنيع'!AV31&gt;0,'طلب التصنيع'!AV31,"")</f>
        <v/>
      </c>
      <c r="G60" s="637" t="str">
        <f>IF('طلب التصنيع'!AT31&gt;0,'طلب التصنيع'!AT31,"")</f>
        <v/>
      </c>
      <c r="H60" s="638">
        <f>IF('طلب التصنيع'!X31="حصيرة فقط","",'طلب التصنيع'!AA31)</f>
        <v>0</v>
      </c>
      <c r="I60" s="431"/>
      <c r="J60" s="435" t="str">
        <f>IF('طلب التصنيع'!BL31&gt;0,F60,"")</f>
        <v/>
      </c>
      <c r="K60" s="639" t="str">
        <f>IF('طلب التصنيع'!BL31&gt;0,'طلب التصنيع'!AA31,"")</f>
        <v/>
      </c>
      <c r="L60" s="640"/>
      <c r="M60" s="634">
        <f>IF(J60=10.2,"بدون",'طلب التصنيع'!AZ31)</f>
        <v>0</v>
      </c>
      <c r="N60" s="635">
        <f>IF(M60="بدون","بدون",'طلب التصنيع'!BB31)</f>
        <v>0</v>
      </c>
      <c r="P60" s="132"/>
      <c r="Q60" s="134">
        <f t="shared" si="2"/>
        <v>0</v>
      </c>
      <c r="R60" s="134">
        <f t="shared" si="3"/>
        <v>0</v>
      </c>
      <c r="S60" s="433"/>
    </row>
    <row r="61" spans="1:19" ht="17.100000000000001" hidden="1" customHeight="1" x14ac:dyDescent="0.3">
      <c r="A61" s="2"/>
      <c r="B61" s="435">
        <f>'طلب التصنيع'!AS32</f>
        <v>0</v>
      </c>
      <c r="C61" s="436">
        <f>IF(B61=0,0,'طلب التصنيع'!U32)</f>
        <v>0</v>
      </c>
      <c r="D61" s="637">
        <f>'طلب التصنيع'!AT32</f>
        <v>0</v>
      </c>
      <c r="E61" s="638">
        <f>IF('طلب التصنيع'!X32="حصيرة فقط","",'طلب التصنيع'!AA32)</f>
        <v>0</v>
      </c>
      <c r="F61" s="636" t="str">
        <f>IF('طلب التصنيع'!AV32&gt;0,'طلب التصنيع'!AV32,"")</f>
        <v/>
      </c>
      <c r="G61" s="637" t="str">
        <f>IF('طلب التصنيع'!AT32&gt;0,'طلب التصنيع'!AT32,"")</f>
        <v/>
      </c>
      <c r="H61" s="638">
        <f>IF('طلب التصنيع'!X32="حصيرة فقط","",'طلب التصنيع'!AA32)</f>
        <v>0</v>
      </c>
      <c r="I61" s="431"/>
      <c r="J61" s="435" t="str">
        <f>IF('طلب التصنيع'!BL32&gt;0,F61,"")</f>
        <v/>
      </c>
      <c r="K61" s="639" t="str">
        <f>IF('طلب التصنيع'!BL32&gt;0,'طلب التصنيع'!AA32,"")</f>
        <v/>
      </c>
      <c r="L61" s="640"/>
      <c r="M61" s="634">
        <f>IF(J61=10.2,"بدون",'طلب التصنيع'!AZ32)</f>
        <v>0</v>
      </c>
      <c r="N61" s="635">
        <f>IF(M61="بدون","بدون",'طلب التصنيع'!BB32)</f>
        <v>0</v>
      </c>
      <c r="P61" s="132"/>
      <c r="Q61" s="134">
        <f t="shared" si="2"/>
        <v>0</v>
      </c>
      <c r="R61" s="134">
        <f t="shared" si="3"/>
        <v>0</v>
      </c>
      <c r="S61" s="433"/>
    </row>
    <row r="62" spans="1:19" ht="17.100000000000001" hidden="1" customHeight="1" x14ac:dyDescent="0.3">
      <c r="A62" s="2"/>
      <c r="B62" s="435">
        <f>'طلب التصنيع'!AS33</f>
        <v>0</v>
      </c>
      <c r="C62" s="436">
        <f>IF(B62=0,0,'طلب التصنيع'!U33)</f>
        <v>0</v>
      </c>
      <c r="D62" s="637">
        <f>'طلب التصنيع'!AT33</f>
        <v>0</v>
      </c>
      <c r="E62" s="638">
        <f>IF('طلب التصنيع'!X33="حصيرة فقط","",'طلب التصنيع'!AA33)</f>
        <v>0</v>
      </c>
      <c r="F62" s="636" t="str">
        <f>IF('طلب التصنيع'!AV33&gt;0,'طلب التصنيع'!AV33,"")</f>
        <v/>
      </c>
      <c r="G62" s="637" t="str">
        <f>IF('طلب التصنيع'!AT33&gt;0,'طلب التصنيع'!AT33,"")</f>
        <v/>
      </c>
      <c r="H62" s="638">
        <f>IF('طلب التصنيع'!X33="حصيرة فقط","",'طلب التصنيع'!AA33)</f>
        <v>0</v>
      </c>
      <c r="I62" s="431"/>
      <c r="J62" s="435" t="str">
        <f>IF('طلب التصنيع'!BL33&gt;0,F62,"")</f>
        <v/>
      </c>
      <c r="K62" s="639" t="str">
        <f>IF('طلب التصنيع'!BL33&gt;0,'طلب التصنيع'!AA33,"")</f>
        <v/>
      </c>
      <c r="L62" s="640"/>
      <c r="M62" s="634">
        <f>IF(J62=10.2,"بدون",'طلب التصنيع'!AZ33)</f>
        <v>0</v>
      </c>
      <c r="N62" s="635">
        <f>IF(M62="بدون","بدون",'طلب التصنيع'!BB33)</f>
        <v>0</v>
      </c>
      <c r="P62" s="132"/>
      <c r="Q62" s="134">
        <f t="shared" si="2"/>
        <v>0</v>
      </c>
      <c r="R62" s="134">
        <f t="shared" si="3"/>
        <v>0</v>
      </c>
      <c r="S62" s="433"/>
    </row>
    <row r="63" spans="1:19" ht="17.100000000000001" hidden="1" customHeight="1" x14ac:dyDescent="0.3">
      <c r="A63" s="2"/>
      <c r="B63" s="435">
        <f>'طلب التصنيع'!AS34</f>
        <v>0</v>
      </c>
      <c r="C63" s="436">
        <f>IF(B63=0,0,'طلب التصنيع'!U34)</f>
        <v>0</v>
      </c>
      <c r="D63" s="637">
        <f>'طلب التصنيع'!AT34</f>
        <v>0</v>
      </c>
      <c r="E63" s="638">
        <f>IF('طلب التصنيع'!X34="حصيرة فقط","",'طلب التصنيع'!AA34)</f>
        <v>0</v>
      </c>
      <c r="F63" s="636" t="str">
        <f>IF('طلب التصنيع'!AV34&gt;0,'طلب التصنيع'!AV34,"")</f>
        <v/>
      </c>
      <c r="G63" s="637" t="str">
        <f>IF('طلب التصنيع'!AT34&gt;0,'طلب التصنيع'!AT34,"")</f>
        <v/>
      </c>
      <c r="H63" s="638">
        <f>IF('طلب التصنيع'!X34="حصيرة فقط","",'طلب التصنيع'!AA34)</f>
        <v>0</v>
      </c>
      <c r="I63" s="431"/>
      <c r="J63" s="435" t="str">
        <f>IF('طلب التصنيع'!BL34&gt;0,F63,"")</f>
        <v/>
      </c>
      <c r="K63" s="639" t="str">
        <f>IF('طلب التصنيع'!BL34&gt;0,'طلب التصنيع'!AA34,"")</f>
        <v/>
      </c>
      <c r="L63" s="640"/>
      <c r="M63" s="435">
        <f>IF(J63=10.2,"بدون",'طلب التصنيع'!AZ34)</f>
        <v>0</v>
      </c>
      <c r="N63" s="638">
        <f>IF(M63="بدون","بدون",'طلب التصنيع'!BB34)</f>
        <v>0</v>
      </c>
      <c r="P63" s="132"/>
      <c r="Q63" s="134">
        <f t="shared" si="2"/>
        <v>0</v>
      </c>
      <c r="R63" s="134">
        <f t="shared" si="3"/>
        <v>0</v>
      </c>
      <c r="S63" s="433"/>
    </row>
    <row r="64" spans="1:19" ht="17.100000000000001" hidden="1" customHeight="1" x14ac:dyDescent="0.3">
      <c r="A64" s="2"/>
      <c r="B64" s="435">
        <f>'طلب التصنيع'!AS35</f>
        <v>0</v>
      </c>
      <c r="C64" s="436">
        <f>IF(B64=0,0,'طلب التصنيع'!U35)</f>
        <v>0</v>
      </c>
      <c r="D64" s="637">
        <f>'طلب التصنيع'!AT35</f>
        <v>0</v>
      </c>
      <c r="E64" s="638">
        <f>IF('طلب التصنيع'!X35="حصيرة فقط","",'طلب التصنيع'!AA35)</f>
        <v>0</v>
      </c>
      <c r="F64" s="636" t="str">
        <f>IF('طلب التصنيع'!AV35&gt;0,'طلب التصنيع'!AV35,"")</f>
        <v/>
      </c>
      <c r="G64" s="637" t="str">
        <f>IF('طلب التصنيع'!AT35&gt;0,'طلب التصنيع'!AT35,"")</f>
        <v/>
      </c>
      <c r="H64" s="638">
        <f>IF('طلب التصنيع'!X35="حصيرة فقط","",'طلب التصنيع'!AA35)</f>
        <v>0</v>
      </c>
      <c r="I64" s="431"/>
      <c r="J64" s="435" t="str">
        <f>IF('طلب التصنيع'!BL35&gt;0,F64,"")</f>
        <v/>
      </c>
      <c r="K64" s="639" t="str">
        <f>IF('طلب التصنيع'!BL35&gt;0,'طلب التصنيع'!AA35,"")</f>
        <v/>
      </c>
      <c r="L64" s="640"/>
      <c r="M64" s="435">
        <f>IF(J64=10.2,"بدون",'طلب التصنيع'!AZ35)</f>
        <v>0</v>
      </c>
      <c r="N64" s="638">
        <f>IF(M64="بدون","بدون",'طلب التصنيع'!BB35)</f>
        <v>0</v>
      </c>
      <c r="P64" s="132"/>
      <c r="Q64" s="134">
        <f t="shared" si="2"/>
        <v>0</v>
      </c>
      <c r="R64" s="134">
        <f t="shared" si="3"/>
        <v>0</v>
      </c>
      <c r="S64" s="433"/>
    </row>
    <row r="65" spans="1:19" ht="17.100000000000001" hidden="1" customHeight="1" x14ac:dyDescent="0.3">
      <c r="A65" s="2"/>
      <c r="B65" s="435">
        <f>'طلب التصنيع'!AS36</f>
        <v>0</v>
      </c>
      <c r="C65" s="436">
        <f>IF(B65=0,0,'طلب التصنيع'!U36)</f>
        <v>0</v>
      </c>
      <c r="D65" s="637">
        <f>'طلب التصنيع'!AT36</f>
        <v>0</v>
      </c>
      <c r="E65" s="638">
        <f>IF('طلب التصنيع'!X36="حصيرة فقط","",'طلب التصنيع'!AA36)</f>
        <v>0</v>
      </c>
      <c r="F65" s="636" t="str">
        <f>IF('طلب التصنيع'!AV36&gt;0,'طلب التصنيع'!AV36,"")</f>
        <v/>
      </c>
      <c r="G65" s="637" t="str">
        <f>IF('طلب التصنيع'!AT36&gt;0,'طلب التصنيع'!AT36,"")</f>
        <v/>
      </c>
      <c r="H65" s="638">
        <f>IF('طلب التصنيع'!X36="حصيرة فقط","",'طلب التصنيع'!AA36)</f>
        <v>0</v>
      </c>
      <c r="I65" s="431"/>
      <c r="J65" s="435" t="str">
        <f>IF('طلب التصنيع'!BL36&gt;0,F65,"")</f>
        <v/>
      </c>
      <c r="K65" s="639" t="str">
        <f>IF('طلب التصنيع'!BL36&gt;0,'طلب التصنيع'!AA36,"")</f>
        <v/>
      </c>
      <c r="L65" s="640"/>
      <c r="M65" s="435">
        <f>IF(J65=10.2,"بدون",'طلب التصنيع'!AZ36)</f>
        <v>0</v>
      </c>
      <c r="N65" s="638">
        <f>IF(M65="بدون","بدون",'طلب التصنيع'!BB36)</f>
        <v>0</v>
      </c>
      <c r="P65" s="132"/>
      <c r="Q65" s="134">
        <f t="shared" si="2"/>
        <v>0</v>
      </c>
      <c r="R65" s="134">
        <f t="shared" si="3"/>
        <v>0</v>
      </c>
      <c r="S65" s="433"/>
    </row>
    <row r="66" spans="1:19" ht="17.100000000000001" hidden="1" customHeight="1" x14ac:dyDescent="0.3">
      <c r="A66" s="2"/>
      <c r="B66" s="435">
        <f>'طلب التصنيع'!AS37</f>
        <v>0</v>
      </c>
      <c r="C66" s="436">
        <f>IF(B66=0,0,'طلب التصنيع'!U37)</f>
        <v>0</v>
      </c>
      <c r="D66" s="637">
        <f>'طلب التصنيع'!AT37</f>
        <v>0</v>
      </c>
      <c r="E66" s="638">
        <f>IF('طلب التصنيع'!X37="حصيرة فقط","",'طلب التصنيع'!AA37)</f>
        <v>0</v>
      </c>
      <c r="F66" s="636" t="str">
        <f>IF('طلب التصنيع'!AV37&gt;0,'طلب التصنيع'!AV37,"")</f>
        <v/>
      </c>
      <c r="G66" s="637" t="str">
        <f>IF('طلب التصنيع'!AT37&gt;0,'طلب التصنيع'!AT37,"")</f>
        <v/>
      </c>
      <c r="H66" s="638">
        <f>IF('طلب التصنيع'!X37="حصيرة فقط","",'طلب التصنيع'!AA37)</f>
        <v>0</v>
      </c>
      <c r="I66" s="431"/>
      <c r="J66" s="435" t="str">
        <f>IF('طلب التصنيع'!BL37&gt;0,F66,"")</f>
        <v/>
      </c>
      <c r="K66" s="639" t="str">
        <f>IF('طلب التصنيع'!BL37&gt;0,'طلب التصنيع'!AA37,"")</f>
        <v/>
      </c>
      <c r="L66" s="640"/>
      <c r="M66" s="435">
        <f>IF(J66=10.2,"بدون",'طلب التصنيع'!AZ37)</f>
        <v>0</v>
      </c>
      <c r="N66" s="638">
        <f>IF(M66="بدون","بدون",'طلب التصنيع'!BB37)</f>
        <v>0</v>
      </c>
      <c r="P66" s="132"/>
      <c r="Q66" s="134">
        <f t="shared" si="2"/>
        <v>0</v>
      </c>
      <c r="R66" s="134">
        <f t="shared" si="3"/>
        <v>0</v>
      </c>
      <c r="S66" s="433"/>
    </row>
    <row r="67" spans="1:19" ht="17.100000000000001" hidden="1" customHeight="1" x14ac:dyDescent="0.3">
      <c r="A67" s="2"/>
      <c r="B67" s="435">
        <f>'طلب التصنيع'!AS38</f>
        <v>0</v>
      </c>
      <c r="C67" s="436">
        <f>IF(B67=0,0,'طلب التصنيع'!U38)</f>
        <v>0</v>
      </c>
      <c r="D67" s="637">
        <f>'طلب التصنيع'!AT38</f>
        <v>0</v>
      </c>
      <c r="E67" s="638">
        <f>IF('طلب التصنيع'!X38="حصيرة فقط","",'طلب التصنيع'!AA38)</f>
        <v>0</v>
      </c>
      <c r="F67" s="636" t="str">
        <f>IF('طلب التصنيع'!AV38&gt;0,'طلب التصنيع'!AV38,"")</f>
        <v/>
      </c>
      <c r="G67" s="637" t="str">
        <f>IF('طلب التصنيع'!AT38&gt;0,'طلب التصنيع'!AT38,"")</f>
        <v/>
      </c>
      <c r="H67" s="638">
        <f>IF('طلب التصنيع'!X38="حصيرة فقط","",'طلب التصنيع'!AA38)</f>
        <v>0</v>
      </c>
      <c r="I67" s="431"/>
      <c r="J67" s="435" t="str">
        <f>IF('طلب التصنيع'!BL38&gt;0,F67,"")</f>
        <v/>
      </c>
      <c r="K67" s="639" t="str">
        <f>IF('طلب التصنيع'!BL38&gt;0,'طلب التصنيع'!AA38,"")</f>
        <v/>
      </c>
      <c r="L67" s="640"/>
      <c r="M67" s="435">
        <f>IF(J67=10.2,"بدون",'طلب التصنيع'!AZ38)</f>
        <v>0</v>
      </c>
      <c r="N67" s="638">
        <f>IF(M67="بدون","بدون",'طلب التصنيع'!BB38)</f>
        <v>0</v>
      </c>
      <c r="P67" s="132"/>
      <c r="Q67" s="134">
        <f t="shared" si="2"/>
        <v>0</v>
      </c>
      <c r="R67" s="134">
        <f t="shared" si="3"/>
        <v>0</v>
      </c>
      <c r="S67" s="433"/>
    </row>
    <row r="68" spans="1:19" s="102" customFormat="1" ht="24" customHeight="1" thickBot="1" x14ac:dyDescent="0.35">
      <c r="A68" s="100"/>
      <c r="B68" s="916" t="s">
        <v>175</v>
      </c>
      <c r="C68" s="917"/>
      <c r="D68" s="656">
        <f>Q68</f>
        <v>15.08</v>
      </c>
      <c r="E68" s="657">
        <f>SUM(E43:E67)</f>
        <v>13</v>
      </c>
      <c r="F68" s="655" t="s">
        <v>175</v>
      </c>
      <c r="G68" s="658">
        <f>R68</f>
        <v>15.08</v>
      </c>
      <c r="H68" s="657">
        <f>SUM(H43:H67)</f>
        <v>13</v>
      </c>
      <c r="I68" s="654"/>
      <c r="J68" s="655" t="str">
        <f>IF('طلب التصنيع'!BL39&gt;0,G68,"")</f>
        <v/>
      </c>
      <c r="K68" s="659">
        <f>SUM(K43:K67)</f>
        <v>0</v>
      </c>
      <c r="L68" s="660"/>
      <c r="M68" s="655"/>
      <c r="N68" s="657">
        <f>IF(M68="بدون","بدون",'طلب التصنيع'!BB39)</f>
        <v>36</v>
      </c>
      <c r="O68"/>
      <c r="P68" s="133"/>
      <c r="Q68" s="131">
        <f>SUM(Q43:Q67)/100</f>
        <v>15.08</v>
      </c>
      <c r="R68" s="131">
        <f>SUM(R43:R67)/100</f>
        <v>15.08</v>
      </c>
    </row>
    <row r="69" spans="1:19" ht="6.75" customHeight="1" thickBot="1" x14ac:dyDescent="0.35">
      <c r="A69" s="2"/>
      <c r="B69" s="437"/>
      <c r="C69" s="437"/>
      <c r="D69" s="431"/>
      <c r="E69" s="431"/>
      <c r="F69" s="431"/>
      <c r="G69" s="431"/>
      <c r="H69" s="431"/>
      <c r="I69" s="431"/>
      <c r="J69" s="437"/>
      <c r="K69" s="431"/>
      <c r="L69" s="431"/>
      <c r="M69" s="431"/>
      <c r="N69" s="431"/>
      <c r="P69" s="132"/>
      <c r="Q69" s="134"/>
      <c r="R69" s="134"/>
      <c r="S69" s="433"/>
    </row>
    <row r="70" spans="1:19" ht="26.25" customHeight="1" thickBot="1" x14ac:dyDescent="0.35">
      <c r="A70" s="2"/>
      <c r="B70" s="915" t="s">
        <v>150</v>
      </c>
      <c r="C70" s="913"/>
      <c r="D70" s="913"/>
      <c r="E70" s="914"/>
      <c r="F70" s="912" t="s">
        <v>151</v>
      </c>
      <c r="G70" s="913"/>
      <c r="H70" s="914"/>
      <c r="I70" s="648"/>
      <c r="J70" s="909" t="s">
        <v>539</v>
      </c>
      <c r="K70" s="910"/>
      <c r="L70" s="910"/>
      <c r="M70" s="910"/>
      <c r="N70" s="911"/>
      <c r="P70" s="132"/>
      <c r="Q70" s="134"/>
      <c r="R70" s="134"/>
      <c r="S70" s="433"/>
    </row>
    <row r="71" spans="1:19" ht="26.25" customHeight="1" x14ac:dyDescent="0.3">
      <c r="A71" s="2"/>
      <c r="B71" s="649" t="s">
        <v>28</v>
      </c>
      <c r="C71" s="650" t="s">
        <v>88</v>
      </c>
      <c r="D71" s="650" t="s">
        <v>141</v>
      </c>
      <c r="E71" s="651" t="s">
        <v>33</v>
      </c>
      <c r="F71" s="960" t="s">
        <v>88</v>
      </c>
      <c r="G71" s="955"/>
      <c r="H71" s="651" t="s">
        <v>33</v>
      </c>
      <c r="I71" s="647"/>
      <c r="J71" s="954" t="s">
        <v>127</v>
      </c>
      <c r="K71" s="955"/>
      <c r="L71" s="650" t="s">
        <v>556</v>
      </c>
      <c r="M71" s="650" t="s">
        <v>33</v>
      </c>
      <c r="N71" s="651" t="s">
        <v>88</v>
      </c>
      <c r="P71" s="132"/>
      <c r="Q71" s="134"/>
      <c r="R71" s="134"/>
      <c r="S71" s="433"/>
    </row>
    <row r="72" spans="1:19" ht="38.25" customHeight="1" x14ac:dyDescent="0.3">
      <c r="A72" s="2"/>
      <c r="B72" s="672">
        <v>1</v>
      </c>
      <c r="C72" s="706" t="str">
        <f>IFERROR(VLOOKUP(B72,'طلب التصنيع'!$A$138:$J$368,4,0),"")</f>
        <v/>
      </c>
      <c r="D72" s="707"/>
      <c r="E72" s="696" t="str">
        <f>IFERROR(VLOOKUP(B72,'طلب التصنيع'!$A$138:$J$368,10,0),"")</f>
        <v/>
      </c>
      <c r="F72" s="958" t="str">
        <f>IFERROR(VLOOKUP(B72,'طلب التصنيع'!$A$135:$J$137,4,0),"")</f>
        <v/>
      </c>
      <c r="G72" s="959"/>
      <c r="H72" s="696" t="str">
        <f>IFERROR(VLOOKUP(B72,'طلب التصنيع'!$A$135:$J$137,10,0),"")</f>
        <v/>
      </c>
      <c r="I72" s="677"/>
      <c r="J72" s="880"/>
      <c r="K72" s="881"/>
      <c r="L72" s="710"/>
      <c r="M72" s="711"/>
      <c r="N72" s="712"/>
      <c r="P72" s="132"/>
      <c r="Q72" s="134"/>
      <c r="R72" s="134"/>
      <c r="S72" s="433"/>
    </row>
    <row r="73" spans="1:19" ht="38.25" customHeight="1" x14ac:dyDescent="0.3">
      <c r="A73" s="2"/>
      <c r="B73" s="672">
        <v>2</v>
      </c>
      <c r="C73" s="706" t="str">
        <f>IFERROR(VLOOKUP(B73,'طلب التصنيع'!$A$138:$J$368,4,0),"")</f>
        <v/>
      </c>
      <c r="D73" s="707"/>
      <c r="E73" s="696" t="str">
        <f>IFERROR(VLOOKUP(B73,'طلب التصنيع'!$A$138:$J$368,10,0),"")</f>
        <v/>
      </c>
      <c r="F73" s="958" t="str">
        <f>IFERROR(VLOOKUP(B73,'طلب التصنيع'!$A$135:$J$137,4,0),"")</f>
        <v/>
      </c>
      <c r="G73" s="959"/>
      <c r="H73" s="696" t="str">
        <f>IFERROR(VLOOKUP(B73,'طلب التصنيع'!$A$135:$J$137,10,0),"")</f>
        <v/>
      </c>
      <c r="I73" s="677"/>
      <c r="J73" s="880"/>
      <c r="K73" s="881"/>
      <c r="L73" s="710"/>
      <c r="M73" s="711"/>
      <c r="N73" s="712"/>
      <c r="P73" s="132"/>
      <c r="Q73" s="134"/>
      <c r="R73" s="134"/>
      <c r="S73" s="433"/>
    </row>
    <row r="74" spans="1:19" ht="38.25" customHeight="1" x14ac:dyDescent="0.4">
      <c r="A74" s="2"/>
      <c r="B74" s="672">
        <v>3</v>
      </c>
      <c r="C74" s="706" t="str">
        <f>IFERROR(VLOOKUP(B74,'طلب التصنيع'!$A$138:$J$368,4,0),"")</f>
        <v/>
      </c>
      <c r="D74" s="707"/>
      <c r="E74" s="696" t="str">
        <f>IFERROR(VLOOKUP(B74,'طلب التصنيع'!$A$138:$J$368,10,0),"")</f>
        <v/>
      </c>
      <c r="F74" s="958" t="str">
        <f>IFERROR(VLOOKUP(B74,'طلب التصنيع'!$A$135:$J$137,4,0),"")</f>
        <v/>
      </c>
      <c r="G74" s="959"/>
      <c r="H74" s="696" t="str">
        <f>IFERROR(VLOOKUP(B74,'طلب التصنيع'!$A$135:$J$137,10,0),"")</f>
        <v/>
      </c>
      <c r="I74" s="677"/>
      <c r="J74" s="880"/>
      <c r="K74" s="881"/>
      <c r="L74" s="710"/>
      <c r="M74" s="713"/>
      <c r="N74" s="712"/>
      <c r="P74" s="132"/>
      <c r="Q74" s="134"/>
      <c r="R74" s="134"/>
      <c r="S74" s="433"/>
    </row>
    <row r="75" spans="1:19" ht="38.25" customHeight="1" x14ac:dyDescent="0.3">
      <c r="A75" s="2"/>
      <c r="B75" s="672">
        <v>4</v>
      </c>
      <c r="C75" s="706" t="str">
        <f>IFERROR(VLOOKUP(B75,'طلب التصنيع'!$A$138:$J$368,4,0),"")</f>
        <v/>
      </c>
      <c r="D75" s="707"/>
      <c r="E75" s="696" t="str">
        <f>IFERROR(VLOOKUP(B75,'طلب التصنيع'!$A$138:$J$368,10,0),"")</f>
        <v/>
      </c>
      <c r="F75" s="958" t="str">
        <f>IFERROR(VLOOKUP(B75,'طلب التصنيع'!$A$135:$J$137,4,0),"")</f>
        <v/>
      </c>
      <c r="G75" s="959"/>
      <c r="H75" s="696" t="str">
        <f>IFERROR(VLOOKUP(B75,'طلب التصنيع'!$A$135:$J$137,10,0),"")</f>
        <v/>
      </c>
      <c r="I75" s="677"/>
      <c r="J75" s="880"/>
      <c r="K75" s="881"/>
      <c r="L75" s="706"/>
      <c r="M75" s="711"/>
      <c r="N75" s="712"/>
      <c r="P75" s="132"/>
      <c r="Q75" s="134"/>
      <c r="R75" s="134"/>
      <c r="S75" s="433"/>
    </row>
    <row r="76" spans="1:19" ht="38.25" customHeight="1" thickBot="1" x14ac:dyDescent="0.35">
      <c r="A76" s="2"/>
      <c r="B76" s="673">
        <v>5</v>
      </c>
      <c r="C76" s="708" t="str">
        <f>IFERROR(VLOOKUP(B76,'طلب التصنيع'!$A$138:$J$368,4,0),"")</f>
        <v/>
      </c>
      <c r="D76" s="709"/>
      <c r="E76" s="699" t="str">
        <f>IFERROR(VLOOKUP(B76,'طلب التصنيع'!$A$138:$J$368,10,0),"")</f>
        <v/>
      </c>
      <c r="F76" s="956" t="str">
        <f>IFERROR(VLOOKUP(B76,'طلب التصنيع'!$A$135:$J$137,4,0),"")</f>
        <v/>
      </c>
      <c r="G76" s="957"/>
      <c r="H76" s="699" t="str">
        <f>IFERROR(VLOOKUP(B76,'طلب التصنيع'!$A$135:$J$137,10,0),"")</f>
        <v/>
      </c>
      <c r="I76" s="677"/>
      <c r="J76" s="882"/>
      <c r="K76" s="883"/>
      <c r="L76" s="708"/>
      <c r="M76" s="714"/>
      <c r="N76" s="715"/>
      <c r="P76" s="132"/>
      <c r="Q76" s="134"/>
      <c r="R76" s="134"/>
      <c r="S76" s="433"/>
    </row>
    <row r="77" spans="1:19" ht="6.75" customHeight="1" thickBot="1" x14ac:dyDescent="0.35">
      <c r="I77" s="433"/>
      <c r="J77" s="933"/>
      <c r="K77" s="933"/>
      <c r="L77" s="933"/>
      <c r="M77" s="622"/>
      <c r="N77" s="622"/>
      <c r="P77" s="134"/>
      <c r="Q77" s="134"/>
      <c r="R77" s="134"/>
      <c r="S77" s="433"/>
    </row>
    <row r="78" spans="1:19" ht="26.25" customHeight="1" thickBot="1" x14ac:dyDescent="0.35">
      <c r="B78" s="947" t="s">
        <v>497</v>
      </c>
      <c r="C78" s="948"/>
      <c r="D78" s="948"/>
      <c r="E78" s="948"/>
      <c r="F78" s="948"/>
      <c r="G78" s="948"/>
      <c r="H78" s="949"/>
      <c r="I78" s="433"/>
      <c r="J78" s="925" t="s">
        <v>140</v>
      </c>
      <c r="K78" s="926"/>
      <c r="L78" s="926"/>
      <c r="M78" s="926"/>
      <c r="N78" s="927"/>
      <c r="P78" s="134"/>
      <c r="Q78" s="134"/>
      <c r="R78" s="134"/>
      <c r="S78" s="433"/>
    </row>
    <row r="79" spans="1:19" ht="26.25" customHeight="1" x14ac:dyDescent="0.3">
      <c r="B79" s="661" t="s">
        <v>28</v>
      </c>
      <c r="C79" s="662" t="s">
        <v>88</v>
      </c>
      <c r="D79" s="663" t="s">
        <v>33</v>
      </c>
      <c r="E79" s="945" t="s">
        <v>536</v>
      </c>
      <c r="F79" s="946"/>
      <c r="G79" s="946"/>
      <c r="H79" s="663" t="s">
        <v>33</v>
      </c>
      <c r="I79" s="433"/>
      <c r="J79" s="934" t="s">
        <v>127</v>
      </c>
      <c r="K79" s="935"/>
      <c r="L79" s="935"/>
      <c r="M79" s="664" t="s">
        <v>33</v>
      </c>
      <c r="N79" s="665" t="s">
        <v>496</v>
      </c>
      <c r="P79" s="134"/>
      <c r="Q79" s="134"/>
      <c r="R79" s="134"/>
      <c r="S79" s="433"/>
    </row>
    <row r="80" spans="1:19" ht="24" customHeight="1" x14ac:dyDescent="0.35">
      <c r="B80" s="674">
        <v>1</v>
      </c>
      <c r="C80" s="716"/>
      <c r="D80" s="717"/>
      <c r="E80" s="943"/>
      <c r="F80" s="944"/>
      <c r="G80" s="944"/>
      <c r="H80" s="717"/>
      <c r="I80" s="683"/>
      <c r="J80" s="936"/>
      <c r="K80" s="937"/>
      <c r="L80" s="938"/>
      <c r="M80" s="711"/>
      <c r="N80" s="712"/>
      <c r="P80" s="134"/>
      <c r="Q80" s="134"/>
      <c r="R80" s="134"/>
      <c r="S80" s="433"/>
    </row>
    <row r="81" spans="2:19" ht="24" customHeight="1" x14ac:dyDescent="0.35">
      <c r="B81" s="674">
        <v>2</v>
      </c>
      <c r="C81" s="716"/>
      <c r="D81" s="717"/>
      <c r="E81" s="943"/>
      <c r="F81" s="944"/>
      <c r="G81" s="944"/>
      <c r="H81" s="717"/>
      <c r="I81" s="683"/>
      <c r="J81" s="939"/>
      <c r="K81" s="940"/>
      <c r="L81" s="940"/>
      <c r="M81" s="711"/>
      <c r="N81" s="712"/>
      <c r="P81" s="134"/>
      <c r="Q81" s="134"/>
      <c r="R81" s="134"/>
      <c r="S81" s="433"/>
    </row>
    <row r="82" spans="2:19" ht="24" customHeight="1" x14ac:dyDescent="0.35">
      <c r="B82" s="674">
        <v>3</v>
      </c>
      <c r="C82" s="716"/>
      <c r="D82" s="717"/>
      <c r="E82" s="943"/>
      <c r="F82" s="944"/>
      <c r="G82" s="944"/>
      <c r="H82" s="717"/>
      <c r="I82" s="683"/>
      <c r="J82" s="939"/>
      <c r="K82" s="940"/>
      <c r="L82" s="940"/>
      <c r="M82" s="711"/>
      <c r="N82" s="712"/>
      <c r="P82" s="134"/>
      <c r="Q82" s="134"/>
      <c r="R82" s="134"/>
      <c r="S82" s="433"/>
    </row>
    <row r="83" spans="2:19" ht="24" customHeight="1" x14ac:dyDescent="0.35">
      <c r="B83" s="675">
        <v>4</v>
      </c>
      <c r="C83" s="718"/>
      <c r="D83" s="719"/>
      <c r="E83" s="943"/>
      <c r="F83" s="944"/>
      <c r="G83" s="944"/>
      <c r="H83" s="719"/>
      <c r="I83" s="683"/>
      <c r="J83" s="939"/>
      <c r="K83" s="940"/>
      <c r="L83" s="940"/>
      <c r="M83" s="722"/>
      <c r="N83" s="723"/>
      <c r="P83" s="134"/>
      <c r="Q83" s="134"/>
      <c r="R83" s="134"/>
      <c r="S83" s="433"/>
    </row>
    <row r="84" spans="2:19" ht="24" customHeight="1" x14ac:dyDescent="0.35">
      <c r="B84" s="675">
        <v>5</v>
      </c>
      <c r="C84" s="718"/>
      <c r="D84" s="719"/>
      <c r="E84" s="943"/>
      <c r="F84" s="944"/>
      <c r="G84" s="944"/>
      <c r="H84" s="719"/>
      <c r="I84" s="683"/>
      <c r="J84" s="939"/>
      <c r="K84" s="940"/>
      <c r="L84" s="940"/>
      <c r="M84" s="722"/>
      <c r="N84" s="723"/>
      <c r="P84" s="134"/>
      <c r="Q84" s="134"/>
      <c r="R84" s="134"/>
      <c r="S84" s="433"/>
    </row>
    <row r="85" spans="2:19" ht="24" customHeight="1" thickBot="1" x14ac:dyDescent="0.4">
      <c r="B85" s="676">
        <v>6</v>
      </c>
      <c r="C85" s="720"/>
      <c r="D85" s="721"/>
      <c r="E85" s="931"/>
      <c r="F85" s="932"/>
      <c r="G85" s="932"/>
      <c r="H85" s="721"/>
      <c r="I85" s="683"/>
      <c r="J85" s="941"/>
      <c r="K85" s="942"/>
      <c r="L85" s="942"/>
      <c r="M85" s="714"/>
      <c r="N85" s="715"/>
      <c r="P85" s="134"/>
      <c r="Q85" s="134"/>
      <c r="R85" s="134"/>
      <c r="S85" s="433"/>
    </row>
    <row r="86" spans="2:19" x14ac:dyDescent="0.3">
      <c r="B86" s="433"/>
      <c r="C86" s="433"/>
      <c r="D86" s="433"/>
      <c r="E86" s="433"/>
      <c r="F86" s="433"/>
      <c r="G86" s="433"/>
      <c r="H86" s="433"/>
      <c r="I86" s="433"/>
      <c r="J86" s="433"/>
      <c r="K86" s="433"/>
      <c r="L86" s="433"/>
      <c r="M86" s="433"/>
      <c r="N86" s="433"/>
      <c r="O86" s="433"/>
      <c r="P86" s="134"/>
      <c r="Q86" s="134"/>
      <c r="R86" s="134"/>
      <c r="S86" s="433"/>
    </row>
    <row r="87" spans="2:19" ht="85.5" customHeight="1" x14ac:dyDescent="0.3"/>
    <row r="91" spans="2:19" ht="93.75" customHeight="1" x14ac:dyDescent="0.3"/>
    <row r="93" spans="2:19" x14ac:dyDescent="0.3">
      <c r="C93" s="624" t="s">
        <v>550</v>
      </c>
      <c r="D93" s="624" t="s">
        <v>551</v>
      </c>
      <c r="F93" s="624" t="s">
        <v>557</v>
      </c>
    </row>
    <row r="94" spans="2:19" x14ac:dyDescent="0.3">
      <c r="C94" t="s">
        <v>302</v>
      </c>
      <c r="D94" s="623" t="s">
        <v>540</v>
      </c>
      <c r="F94" s="623" t="s">
        <v>552</v>
      </c>
    </row>
    <row r="95" spans="2:19" x14ac:dyDescent="0.3">
      <c r="C95" t="s">
        <v>437</v>
      </c>
      <c r="D95" s="623" t="s">
        <v>538</v>
      </c>
      <c r="F95" s="623" t="s">
        <v>553</v>
      </c>
    </row>
    <row r="96" spans="2:19" x14ac:dyDescent="0.3">
      <c r="C96" t="s">
        <v>438</v>
      </c>
      <c r="D96" s="623" t="s">
        <v>548</v>
      </c>
      <c r="F96" s="623" t="s">
        <v>254</v>
      </c>
    </row>
    <row r="97" spans="3:6" ht="15" customHeight="1" x14ac:dyDescent="0.3">
      <c r="C97" t="s">
        <v>439</v>
      </c>
      <c r="D97" s="623" t="s">
        <v>549</v>
      </c>
      <c r="F97" s="623" t="s">
        <v>304</v>
      </c>
    </row>
    <row r="98" spans="3:6" x14ac:dyDescent="0.3">
      <c r="C98" t="s">
        <v>440</v>
      </c>
      <c r="D98" s="623" t="s">
        <v>541</v>
      </c>
      <c r="F98" s="623" t="s">
        <v>471</v>
      </c>
    </row>
    <row r="99" spans="3:6" x14ac:dyDescent="0.3">
      <c r="C99" t="s">
        <v>441</v>
      </c>
      <c r="D99" s="623" t="s">
        <v>542</v>
      </c>
      <c r="F99" s="623" t="s">
        <v>554</v>
      </c>
    </row>
    <row r="100" spans="3:6" ht="15" customHeight="1" x14ac:dyDescent="0.3">
      <c r="C100" t="s">
        <v>498</v>
      </c>
      <c r="D100" s="623" t="s">
        <v>543</v>
      </c>
      <c r="F100" s="623" t="s">
        <v>555</v>
      </c>
    </row>
    <row r="101" spans="3:6" ht="15" customHeight="1" x14ac:dyDescent="0.3">
      <c r="C101" t="s">
        <v>499</v>
      </c>
      <c r="D101" s="623" t="s">
        <v>537</v>
      </c>
      <c r="F101" s="623" t="s">
        <v>476</v>
      </c>
    </row>
    <row r="102" spans="3:6" ht="15" customHeight="1" x14ac:dyDescent="0.3">
      <c r="C102" t="s">
        <v>500</v>
      </c>
      <c r="D102" s="623" t="s">
        <v>544</v>
      </c>
      <c r="F102" s="623" t="s">
        <v>477</v>
      </c>
    </row>
    <row r="103" spans="3:6" ht="15" customHeight="1" x14ac:dyDescent="0.3">
      <c r="D103" s="623"/>
      <c r="F103" s="623" t="s">
        <v>479</v>
      </c>
    </row>
    <row r="104" spans="3:6" ht="15" customHeight="1" x14ac:dyDescent="0.3">
      <c r="C104" t="s">
        <v>502</v>
      </c>
      <c r="F104" s="623"/>
    </row>
    <row r="105" spans="3:6" ht="15" customHeight="1" x14ac:dyDescent="0.3">
      <c r="C105" t="s">
        <v>501</v>
      </c>
      <c r="F105" s="623"/>
    </row>
    <row r="106" spans="3:6" ht="15" customHeight="1" x14ac:dyDescent="0.3">
      <c r="C106" t="s">
        <v>503</v>
      </c>
      <c r="F106" s="623"/>
    </row>
    <row r="107" spans="3:6" ht="15" customHeight="1" x14ac:dyDescent="0.3">
      <c r="C107" t="s">
        <v>504</v>
      </c>
      <c r="F107" s="623"/>
    </row>
    <row r="108" spans="3:6" ht="15" customHeight="1" x14ac:dyDescent="0.3">
      <c r="C108" t="s">
        <v>505</v>
      </c>
      <c r="F108" s="623"/>
    </row>
    <row r="109" spans="3:6" ht="15" customHeight="1" x14ac:dyDescent="0.3">
      <c r="C109" t="s">
        <v>506</v>
      </c>
    </row>
    <row r="110" spans="3:6" ht="15" customHeight="1" x14ac:dyDescent="0.3">
      <c r="C110" t="s">
        <v>507</v>
      </c>
    </row>
    <row r="111" spans="3:6" ht="15" customHeight="1" x14ac:dyDescent="0.3">
      <c r="C111" t="s">
        <v>508</v>
      </c>
    </row>
    <row r="112" spans="3:6" ht="15" customHeight="1" x14ac:dyDescent="0.3">
      <c r="C112" t="s">
        <v>509</v>
      </c>
    </row>
    <row r="113" spans="3:3" ht="15" customHeight="1" x14ac:dyDescent="0.3">
      <c r="C113" t="s">
        <v>510</v>
      </c>
    </row>
    <row r="114" spans="3:3" ht="15" customHeight="1" x14ac:dyDescent="0.3">
      <c r="C114" t="s">
        <v>511</v>
      </c>
    </row>
    <row r="115" spans="3:3" ht="15" customHeight="1" x14ac:dyDescent="0.3">
      <c r="C115" t="s">
        <v>512</v>
      </c>
    </row>
    <row r="116" spans="3:3" ht="15" customHeight="1" x14ac:dyDescent="0.3">
      <c r="C116" t="s">
        <v>513</v>
      </c>
    </row>
    <row r="117" spans="3:3" ht="15" customHeight="1" x14ac:dyDescent="0.3">
      <c r="C117" t="s">
        <v>514</v>
      </c>
    </row>
    <row r="118" spans="3:3" ht="15.75" customHeight="1" x14ac:dyDescent="0.3">
      <c r="C118" t="s">
        <v>515</v>
      </c>
    </row>
    <row r="119" spans="3:3" ht="15.75" customHeight="1" x14ac:dyDescent="0.3">
      <c r="C119" t="s">
        <v>516</v>
      </c>
    </row>
    <row r="120" spans="3:3" x14ac:dyDescent="0.3">
      <c r="C120" t="s">
        <v>517</v>
      </c>
    </row>
    <row r="121" spans="3:3" ht="15.75" customHeight="1" x14ac:dyDescent="0.3">
      <c r="C121" t="s">
        <v>518</v>
      </c>
    </row>
    <row r="122" spans="3:3" x14ac:dyDescent="0.3">
      <c r="C122" t="s">
        <v>519</v>
      </c>
    </row>
    <row r="123" spans="3:3" x14ac:dyDescent="0.3">
      <c r="C123" t="s">
        <v>520</v>
      </c>
    </row>
    <row r="124" spans="3:3" x14ac:dyDescent="0.3">
      <c r="C124" t="s">
        <v>521</v>
      </c>
    </row>
    <row r="125" spans="3:3" x14ac:dyDescent="0.3">
      <c r="C125" t="s">
        <v>522</v>
      </c>
    </row>
    <row r="126" spans="3:3" x14ac:dyDescent="0.3">
      <c r="C126" t="s">
        <v>523</v>
      </c>
    </row>
    <row r="127" spans="3:3" x14ac:dyDescent="0.3">
      <c r="C127" t="s">
        <v>524</v>
      </c>
    </row>
    <row r="128" spans="3:3" x14ac:dyDescent="0.3">
      <c r="C128" t="s">
        <v>525</v>
      </c>
    </row>
    <row r="129" spans="3:3" x14ac:dyDescent="0.3">
      <c r="C129" t="s">
        <v>526</v>
      </c>
    </row>
    <row r="130" spans="3:3" x14ac:dyDescent="0.3">
      <c r="C130" t="s">
        <v>527</v>
      </c>
    </row>
    <row r="131" spans="3:3" x14ac:dyDescent="0.3">
      <c r="C131" t="s">
        <v>528</v>
      </c>
    </row>
    <row r="132" spans="3:3" x14ac:dyDescent="0.3">
      <c r="C132" t="s">
        <v>529</v>
      </c>
    </row>
    <row r="133" spans="3:3" x14ac:dyDescent="0.3">
      <c r="C133" t="s">
        <v>530</v>
      </c>
    </row>
    <row r="134" spans="3:3" x14ac:dyDescent="0.3">
      <c r="C134" t="s">
        <v>531</v>
      </c>
    </row>
    <row r="135" spans="3:3" x14ac:dyDescent="0.3">
      <c r="C135" t="s">
        <v>532</v>
      </c>
    </row>
    <row r="136" spans="3:3" x14ac:dyDescent="0.3">
      <c r="C136" t="s">
        <v>533</v>
      </c>
    </row>
    <row r="137" spans="3:3" x14ac:dyDescent="0.3">
      <c r="C137" t="s">
        <v>534</v>
      </c>
    </row>
    <row r="138" spans="3:3" x14ac:dyDescent="0.3">
      <c r="C138" t="s">
        <v>535</v>
      </c>
    </row>
  </sheetData>
  <mergeCells count="58">
    <mergeCell ref="E81:G81"/>
    <mergeCell ref="E82:G82"/>
    <mergeCell ref="E80:G80"/>
    <mergeCell ref="J10:K10"/>
    <mergeCell ref="K39:L39"/>
    <mergeCell ref="J41:L41"/>
    <mergeCell ref="J71:K71"/>
    <mergeCell ref="J72:K72"/>
    <mergeCell ref="F76:G76"/>
    <mergeCell ref="F72:G72"/>
    <mergeCell ref="F71:G71"/>
    <mergeCell ref="F73:G73"/>
    <mergeCell ref="F75:G75"/>
    <mergeCell ref="F74:G74"/>
    <mergeCell ref="J73:K73"/>
    <mergeCell ref="L10:N10"/>
    <mergeCell ref="M41:N41"/>
    <mergeCell ref="E85:G85"/>
    <mergeCell ref="J77:L77"/>
    <mergeCell ref="J79:L79"/>
    <mergeCell ref="J80:L80"/>
    <mergeCell ref="J81:L81"/>
    <mergeCell ref="J82:L82"/>
    <mergeCell ref="J85:L85"/>
    <mergeCell ref="E83:G83"/>
    <mergeCell ref="E84:G84"/>
    <mergeCell ref="E79:G79"/>
    <mergeCell ref="B78:H78"/>
    <mergeCell ref="J83:L83"/>
    <mergeCell ref="J78:N78"/>
    <mergeCell ref="J84:L84"/>
    <mergeCell ref="E12:H12"/>
    <mergeCell ref="B41:E41"/>
    <mergeCell ref="B12:B13"/>
    <mergeCell ref="C12:D12"/>
    <mergeCell ref="K12:N12"/>
    <mergeCell ref="E39:F39"/>
    <mergeCell ref="F70:H70"/>
    <mergeCell ref="F41:H41"/>
    <mergeCell ref="B70:E70"/>
    <mergeCell ref="B68:C68"/>
    <mergeCell ref="B39:C39"/>
    <mergeCell ref="J74:K74"/>
    <mergeCell ref="J75:K75"/>
    <mergeCell ref="J76:K76"/>
    <mergeCell ref="B5:N5"/>
    <mergeCell ref="B6:N6"/>
    <mergeCell ref="D8:H8"/>
    <mergeCell ref="B8:C8"/>
    <mergeCell ref="B9:C9"/>
    <mergeCell ref="D9:H9"/>
    <mergeCell ref="J8:K8"/>
    <mergeCell ref="J9:K9"/>
    <mergeCell ref="L8:N8"/>
    <mergeCell ref="L9:N9"/>
    <mergeCell ref="B10:C10"/>
    <mergeCell ref="D10:H10"/>
    <mergeCell ref="J70:N70"/>
  </mergeCells>
  <conditionalFormatting sqref="A5:B6 I70:J76 H71:H76">
    <cfRule type="cellIs" dxfId="92" priority="55" stopIfTrue="1" operator="equal">
      <formula>0</formula>
    </cfRule>
  </conditionalFormatting>
  <conditionalFormatting sqref="A41:B68">
    <cfRule type="cellIs" dxfId="91" priority="47" stopIfTrue="1" operator="equal">
      <formula>0</formula>
    </cfRule>
  </conditionalFormatting>
  <conditionalFormatting sqref="A70:B76">
    <cfRule type="cellIs" dxfId="90" priority="87" stopIfTrue="1" operator="equal">
      <formula>0</formula>
    </cfRule>
  </conditionalFormatting>
  <conditionalFormatting sqref="A1:P4 I7:I10 L10 A11:C14 K12 D13:H13 K13:L14 M13:N40 D14:J14 B15:N38 A15:A39 A40:L40 C42:C67 A69:N69">
    <cfRule type="cellIs" dxfId="89" priority="154" stopIfTrue="1" operator="equal">
      <formula>0</formula>
    </cfRule>
  </conditionalFormatting>
  <conditionalFormatting sqref="B8:B10">
    <cfRule type="cellIs" dxfId="88" priority="25" stopIfTrue="1" operator="equal">
      <formula>0</formula>
    </cfRule>
  </conditionalFormatting>
  <conditionalFormatting sqref="B39 H39:K39">
    <cfRule type="cellIs" dxfId="87" priority="139" stopIfTrue="1" operator="equal">
      <formula>0</formula>
    </cfRule>
  </conditionalFormatting>
  <conditionalFormatting sqref="B7:C7">
    <cfRule type="cellIs" dxfId="86" priority="35" stopIfTrue="1" operator="equal">
      <formula>0</formula>
    </cfRule>
  </conditionalFormatting>
  <conditionalFormatting sqref="C71:F76">
    <cfRule type="cellIs" dxfId="85" priority="61" stopIfTrue="1" operator="equal">
      <formula>0</formula>
    </cfRule>
  </conditionalFormatting>
  <conditionalFormatting sqref="D7:D11">
    <cfRule type="cellIs" dxfId="84" priority="23" stopIfTrue="1" operator="equal">
      <formula>0</formula>
    </cfRule>
  </conditionalFormatting>
  <conditionalFormatting sqref="D42:D68">
    <cfRule type="cellIs" dxfId="83" priority="50" stopIfTrue="1" operator="equal">
      <formula>0</formula>
    </cfRule>
  </conditionalFormatting>
  <conditionalFormatting sqref="E39">
    <cfRule type="cellIs" dxfId="82" priority="15" stopIfTrue="1" operator="equal">
      <formula>0</formula>
    </cfRule>
  </conditionalFormatting>
  <conditionalFormatting sqref="E68:F68">
    <cfRule type="cellIs" dxfId="81" priority="41" stopIfTrue="1" operator="equal">
      <formula>0</formula>
    </cfRule>
  </conditionalFormatting>
  <conditionalFormatting sqref="E42:G67">
    <cfRule type="cellIs" dxfId="80" priority="44" stopIfTrue="1" operator="equal">
      <formula>0</formula>
    </cfRule>
  </conditionalFormatting>
  <conditionalFormatting sqref="E7:K7">
    <cfRule type="cellIs" dxfId="79" priority="34" stopIfTrue="1" operator="equal">
      <formula>0</formula>
    </cfRule>
  </conditionalFormatting>
  <conditionalFormatting sqref="E11:P11">
    <cfRule type="cellIs" dxfId="78" priority="130" stopIfTrue="1" operator="equal">
      <formula>0</formula>
    </cfRule>
  </conditionalFormatting>
  <conditionalFormatting sqref="F41">
    <cfRule type="cellIs" dxfId="77" priority="92" stopIfTrue="1" operator="equal">
      <formula>0</formula>
    </cfRule>
  </conditionalFormatting>
  <conditionalFormatting sqref="H42:N68">
    <cfRule type="cellIs" dxfId="76" priority="4" stopIfTrue="1" operator="equal">
      <formula>0</formula>
    </cfRule>
  </conditionalFormatting>
  <conditionalFormatting sqref="I12:J13">
    <cfRule type="cellIs" dxfId="75" priority="106" stopIfTrue="1" operator="equal">
      <formula>0</formula>
    </cfRule>
  </conditionalFormatting>
  <conditionalFormatting sqref="I41:J41">
    <cfRule type="cellIs" dxfId="74" priority="91" stopIfTrue="1" operator="equal">
      <formula>0</formula>
    </cfRule>
  </conditionalFormatting>
  <conditionalFormatting sqref="J8:J10">
    <cfRule type="cellIs" dxfId="73" priority="28" stopIfTrue="1" operator="equal">
      <formula>0</formula>
    </cfRule>
  </conditionalFormatting>
  <conditionalFormatting sqref="J77:J85">
    <cfRule type="cellIs" dxfId="72" priority="2" stopIfTrue="1" operator="equal">
      <formula>0</formula>
    </cfRule>
  </conditionalFormatting>
  <conditionalFormatting sqref="M71:N73 N74">
    <cfRule type="cellIs" dxfId="71" priority="8" stopIfTrue="1" operator="equal">
      <formula>0</formula>
    </cfRule>
  </conditionalFormatting>
  <conditionalFormatting sqref="M75:N85">
    <cfRule type="cellIs" dxfId="70" priority="1" stopIfTrue="1" operator="equal">
      <formula>0</formula>
    </cfRule>
  </conditionalFormatting>
  <conditionalFormatting sqref="P5:P10 A7:A10">
    <cfRule type="cellIs" dxfId="69" priority="39" stopIfTrue="1" operator="equal">
      <formula>0</formula>
    </cfRule>
  </conditionalFormatting>
  <conditionalFormatting sqref="P12:P76">
    <cfRule type="cellIs" dxfId="68" priority="51" stopIfTrue="1" operator="equal">
      <formula>0</formula>
    </cfRule>
  </conditionalFormatting>
  <dataValidations disablePrompts="1" count="8">
    <dataValidation type="list" allowBlank="1" showInputMessage="1" showErrorMessage="1" sqref="B41:E41" xr:uid="{00000000-0002-0000-0200-000000000000}">
      <formula1>$T$41:$T$44</formula1>
    </dataValidation>
    <dataValidation type="list" allowBlank="1" showInputMessage="1" showErrorMessage="1" sqref="L43:L68" xr:uid="{F7B51169-EAC6-489A-8552-5DFDD775349C}">
      <formula1>"شفط بلاستك,بنز بلاستك,صاج 6سم عادي,صاج 6سم أحمال,ألمنيوم 7سم"</formula1>
    </dataValidation>
    <dataValidation type="list" allowBlank="1" showInputMessage="1" showErrorMessage="1" sqref="D72:D76" xr:uid="{BEFEFBFE-97B1-4277-8804-78BAF5B27671}">
      <formula1>"6 N,8 N,10 N,15 N,20 N,30 N,40 N,50 N,60 N,65 N,80 N,85 N,100 N,120 N,150 N,200 N,250 N"</formula1>
    </dataValidation>
    <dataValidation type="list" allowBlank="1" showInputMessage="1" showErrorMessage="1" sqref="C80:C85" xr:uid="{4FA98389-1927-4D31-909A-ABBE0F5F99AB}">
      <formula1>$C$94:$C$102</formula1>
    </dataValidation>
    <dataValidation type="list" allowBlank="1" showInputMessage="1" showErrorMessage="1" sqref="E80:G85" xr:uid="{0AA7F10F-1978-4254-B033-8E0D539AADC6}">
      <formula1>$C$104:$C$138</formula1>
    </dataValidation>
    <dataValidation type="list" allowBlank="1" showInputMessage="1" showErrorMessage="1" sqref="J80:L85" xr:uid="{F6E66CEF-788B-4B4F-BDF0-3678045631C2}">
      <formula1>OFFSET($D$94,,,COUNTIF($D$94:$D$103,"&lt;&gt;"))</formula1>
    </dataValidation>
    <dataValidation type="list" allowBlank="1" showInputMessage="1" showErrorMessage="1" sqref="L72:L74" xr:uid="{808DD1EE-8C35-4B6D-A2CC-64C8CB03189E}">
      <formula1>"IO,RTS"</formula1>
    </dataValidation>
    <dataValidation type="list" allowBlank="1" showInputMessage="1" showErrorMessage="1" sqref="N72:N74" xr:uid="{18C79FA0-0514-46FC-A903-A2609FF0F907}">
      <formula1>OFFSET($F$94,,,COUNTIF($F$94:$F$108,"&lt;&gt;"))</formula1>
    </dataValidation>
  </dataValidations>
  <printOptions horizontalCentered="1"/>
  <pageMargins left="0.1" right="0.1" top="0.1" bottom="0" header="0" footer="0"/>
  <pageSetup paperSize="9" scale="49" orientation="portrait" r:id="rId1"/>
  <headerFooter>
    <oddHeader>&amp;C
       &amp;G</oddHeader>
  </headerFooter>
  <colBreaks count="1" manualBreakCount="1">
    <brk id="14" max="1048575" man="1"/>
  </col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D7CD-2E73-45FB-B04C-6AAB150A9603}">
  <sheetPr>
    <tabColor rgb="FF2D8B6E"/>
    <pageSetUpPr fitToPage="1"/>
  </sheetPr>
  <dimension ref="A1:AB140"/>
  <sheetViews>
    <sheetView showGridLines="0" rightToLeft="1" view="pageBreakPreview" topLeftCell="A9" zoomScale="70" zoomScaleNormal="100" zoomScaleSheetLayoutView="70" zoomScalePageLayoutView="90" workbookViewId="0">
      <selection activeCell="F14" sqref="F14"/>
    </sheetView>
  </sheetViews>
  <sheetFormatPr defaultColWidth="9" defaultRowHeight="14.4" x14ac:dyDescent="0.3"/>
  <cols>
    <col min="1" max="1" width="5.5546875" customWidth="1"/>
    <col min="2" max="2" width="8" customWidth="1"/>
    <col min="3" max="3" width="30.33203125" bestFit="1" customWidth="1"/>
    <col min="4" max="4" width="17.33203125" customWidth="1"/>
    <col min="5" max="7" width="21" customWidth="1"/>
    <col min="8" max="8" width="10.33203125" customWidth="1"/>
    <col min="9" max="9" width="1" customWidth="1"/>
    <col min="10" max="11" width="17.33203125" customWidth="1"/>
    <col min="12" max="12" width="14.5546875" customWidth="1"/>
    <col min="13" max="13" width="8.33203125" customWidth="1"/>
    <col min="14" max="14" width="13.88671875" customWidth="1"/>
    <col min="15" max="15" width="6.44140625" customWidth="1"/>
    <col min="16" max="16" width="7" style="121" customWidth="1"/>
    <col min="17" max="17" width="8.33203125" style="121" hidden="1" customWidth="1"/>
    <col min="18" max="18" width="9.33203125" style="121" hidden="1" customWidth="1"/>
    <col min="19" max="20" width="9" hidden="1" customWidth="1"/>
    <col min="21" max="21" width="6.44140625" hidden="1" customWidth="1"/>
    <col min="22" max="23" width="9" customWidth="1"/>
    <col min="28" max="28" width="39.77734375" customWidth="1"/>
  </cols>
  <sheetData>
    <row r="1" spans="1:28" ht="2.25" customHeight="1" x14ac:dyDescent="0.3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0"/>
    </row>
    <row r="2" spans="1:28" ht="18" hidden="1" customHeight="1" x14ac:dyDescent="0.3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0"/>
    </row>
    <row r="3" spans="1:28" ht="18" hidden="1" customHeight="1" x14ac:dyDescent="0.3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0"/>
    </row>
    <row r="4" spans="1:28" ht="3.75" customHeight="1" x14ac:dyDescent="0.3">
      <c r="A4" s="122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0"/>
    </row>
    <row r="5" spans="1:28" ht="33" customHeight="1" x14ac:dyDescent="0.3">
      <c r="A5" s="122"/>
      <c r="B5" s="884" t="s">
        <v>117</v>
      </c>
      <c r="C5" s="884"/>
      <c r="D5" s="884"/>
      <c r="E5" s="884"/>
      <c r="F5" s="884"/>
      <c r="G5" s="884"/>
      <c r="H5" s="884"/>
      <c r="I5" s="884"/>
      <c r="J5" s="884"/>
      <c r="K5" s="884"/>
      <c r="L5" s="884"/>
      <c r="M5" s="884"/>
      <c r="N5" s="884"/>
      <c r="O5" s="613"/>
      <c r="P5" s="120"/>
    </row>
    <row r="6" spans="1:28" ht="23.25" customHeight="1" x14ac:dyDescent="0.3">
      <c r="A6" s="122"/>
      <c r="B6" s="885" t="s">
        <v>154</v>
      </c>
      <c r="C6" s="885"/>
      <c r="D6" s="885"/>
      <c r="E6" s="885"/>
      <c r="F6" s="885"/>
      <c r="G6" s="885"/>
      <c r="H6" s="885"/>
      <c r="I6" s="885"/>
      <c r="J6" s="885"/>
      <c r="K6" s="885"/>
      <c r="L6" s="885"/>
      <c r="M6" s="885"/>
      <c r="N6" s="885"/>
      <c r="O6" s="614"/>
      <c r="P6" s="120"/>
    </row>
    <row r="7" spans="1:28" ht="11.25" customHeight="1" thickBot="1" x14ac:dyDescent="0.35">
      <c r="A7" s="123"/>
      <c r="B7" s="124"/>
      <c r="C7" s="124"/>
      <c r="D7" s="124"/>
      <c r="E7" s="124"/>
      <c r="F7" s="124"/>
      <c r="G7" s="124"/>
      <c r="H7" s="124"/>
      <c r="I7" s="124"/>
      <c r="J7" s="124"/>
      <c r="K7" s="124"/>
      <c r="M7" s="125"/>
      <c r="N7" s="125"/>
      <c r="O7" s="125"/>
      <c r="P7" s="126"/>
    </row>
    <row r="8" spans="1:28" ht="24.75" customHeight="1" x14ac:dyDescent="0.3">
      <c r="A8" s="122"/>
      <c r="B8" s="888" t="s">
        <v>118</v>
      </c>
      <c r="C8" s="889"/>
      <c r="D8" s="886"/>
      <c r="E8" s="886"/>
      <c r="F8" s="886"/>
      <c r="G8" s="886"/>
      <c r="H8" s="887"/>
      <c r="I8" s="643"/>
      <c r="J8" s="894" t="s">
        <v>185</v>
      </c>
      <c r="K8" s="895"/>
      <c r="L8" s="898"/>
      <c r="M8" s="899"/>
      <c r="N8" s="900"/>
      <c r="O8" s="133"/>
      <c r="P8" s="120"/>
    </row>
    <row r="9" spans="1:28" ht="24.75" customHeight="1" x14ac:dyDescent="0.3">
      <c r="A9" s="123"/>
      <c r="B9" s="890" t="s">
        <v>152</v>
      </c>
      <c r="C9" s="891"/>
      <c r="D9" s="892"/>
      <c r="E9" s="892"/>
      <c r="F9" s="892"/>
      <c r="G9" s="892"/>
      <c r="H9" s="893"/>
      <c r="I9" s="643"/>
      <c r="J9" s="896" t="s">
        <v>547</v>
      </c>
      <c r="K9" s="897"/>
      <c r="L9" s="901"/>
      <c r="M9" s="902"/>
      <c r="N9" s="903"/>
      <c r="O9" s="133"/>
      <c r="P9" s="126"/>
    </row>
    <row r="10" spans="1:28" ht="24.75" customHeight="1" thickBot="1" x14ac:dyDescent="0.35">
      <c r="A10" s="123"/>
      <c r="B10" s="904" t="s">
        <v>184</v>
      </c>
      <c r="C10" s="905"/>
      <c r="D10" s="906"/>
      <c r="E10" s="907"/>
      <c r="F10" s="907"/>
      <c r="G10" s="907"/>
      <c r="H10" s="908"/>
      <c r="I10" s="643"/>
      <c r="J10" s="950" t="s">
        <v>61</v>
      </c>
      <c r="K10" s="951"/>
      <c r="L10" s="928">
        <f ca="1">NOW()</f>
        <v>45773.642606250003</v>
      </c>
      <c r="M10" s="929"/>
      <c r="N10" s="930"/>
      <c r="O10" s="615"/>
      <c r="P10" s="126"/>
    </row>
    <row r="11" spans="1:28" ht="9" customHeight="1" x14ac:dyDescent="0.3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26"/>
      <c r="AA11" s="1135"/>
      <c r="AB11" s="1135"/>
    </row>
    <row r="12" spans="1:28" ht="24" customHeight="1" thickBot="1" x14ac:dyDescent="0.35">
      <c r="P12" s="127"/>
      <c r="Q12" s="121" t="s">
        <v>156</v>
      </c>
      <c r="R12" s="121" t="s">
        <v>157</v>
      </c>
      <c r="AA12" s="1135"/>
      <c r="AB12" s="1135"/>
    </row>
    <row r="13" spans="1:28" ht="39" customHeight="1" thickBot="1" x14ac:dyDescent="0.35">
      <c r="B13" s="1151" t="s">
        <v>28</v>
      </c>
      <c r="C13" s="1152" t="s">
        <v>567</v>
      </c>
      <c r="D13" s="1152"/>
      <c r="E13" s="1152"/>
      <c r="F13" s="1153" t="s">
        <v>0</v>
      </c>
      <c r="G13" s="1154" t="s">
        <v>566</v>
      </c>
      <c r="H13" s="1155" t="s">
        <v>33</v>
      </c>
      <c r="I13" s="1156" t="s">
        <v>496</v>
      </c>
      <c r="J13" s="1152"/>
      <c r="K13" s="1152"/>
      <c r="L13" s="1152"/>
      <c r="M13" s="1152"/>
      <c r="N13" s="1157"/>
      <c r="P13" s="127"/>
      <c r="AA13" s="1135"/>
      <c r="AB13" s="1135"/>
    </row>
    <row r="14" spans="1:28" ht="24" customHeight="1" x14ac:dyDescent="0.3">
      <c r="B14" s="1148">
        <v>1</v>
      </c>
      <c r="C14" s="1158"/>
      <c r="D14" s="1158"/>
      <c r="E14" s="1158"/>
      <c r="F14" s="1159"/>
      <c r="G14" s="1160"/>
      <c r="H14" s="1161"/>
      <c r="I14" s="1162"/>
      <c r="J14" s="1158"/>
      <c r="K14" s="1158"/>
      <c r="L14" s="1158"/>
      <c r="M14" s="1158"/>
      <c r="N14" s="1163"/>
      <c r="P14" s="432"/>
      <c r="Q14" s="134">
        <f>IFERROR(G14*F14,0)</f>
        <v>0</v>
      </c>
      <c r="R14" s="134">
        <f>IFERROR(M14*L14,0)</f>
        <v>0</v>
      </c>
      <c r="S14" s="433"/>
      <c r="AA14" s="1135"/>
      <c r="AB14" s="1135"/>
    </row>
    <row r="15" spans="1:28" ht="24" customHeight="1" x14ac:dyDescent="0.3">
      <c r="B15" s="1145">
        <v>2</v>
      </c>
      <c r="C15" s="1141"/>
      <c r="D15" s="1141"/>
      <c r="E15" s="1141"/>
      <c r="F15" s="1142"/>
      <c r="G15" s="1164"/>
      <c r="H15" s="1165"/>
      <c r="I15" s="1166"/>
      <c r="J15" s="1141"/>
      <c r="K15" s="1141"/>
      <c r="L15" s="1141"/>
      <c r="M15" s="1141"/>
      <c r="N15" s="1167"/>
      <c r="P15" s="434"/>
      <c r="Q15" s="134">
        <f t="shared" ref="Q15:Q38" si="0">IFERROR(G15*F15,0)</f>
        <v>0</v>
      </c>
      <c r="R15" s="134">
        <f>IFERROR(M15*L15,0)</f>
        <v>0</v>
      </c>
      <c r="S15" s="433"/>
      <c r="AA15" s="1135"/>
      <c r="AB15" s="1135"/>
    </row>
    <row r="16" spans="1:28" ht="24" customHeight="1" x14ac:dyDescent="0.3">
      <c r="B16" s="1145">
        <v>3</v>
      </c>
      <c r="C16" s="1141"/>
      <c r="D16" s="1141"/>
      <c r="E16" s="1141"/>
      <c r="F16" s="1142"/>
      <c r="G16" s="1164"/>
      <c r="H16" s="1165"/>
      <c r="I16" s="1166"/>
      <c r="J16" s="1141"/>
      <c r="K16" s="1141"/>
      <c r="L16" s="1141"/>
      <c r="M16" s="1141"/>
      <c r="N16" s="1167"/>
      <c r="P16" s="434"/>
      <c r="Q16" s="134">
        <f t="shared" si="0"/>
        <v>0</v>
      </c>
      <c r="R16" s="134">
        <f>IFERROR(M16*L16,0)</f>
        <v>0</v>
      </c>
      <c r="S16" s="433"/>
      <c r="AA16" s="1135"/>
      <c r="AB16" s="1135"/>
    </row>
    <row r="17" spans="2:28" ht="24" customHeight="1" x14ac:dyDescent="0.3">
      <c r="B17" s="1145">
        <v>4</v>
      </c>
      <c r="C17" s="1141"/>
      <c r="D17" s="1141"/>
      <c r="E17" s="1141"/>
      <c r="F17" s="1142"/>
      <c r="G17" s="1164"/>
      <c r="H17" s="1165"/>
      <c r="I17" s="1166"/>
      <c r="J17" s="1141"/>
      <c r="K17" s="1141"/>
      <c r="L17" s="1141"/>
      <c r="M17" s="1141"/>
      <c r="N17" s="1167"/>
      <c r="P17" s="434"/>
      <c r="Q17" s="134">
        <f t="shared" si="0"/>
        <v>0</v>
      </c>
      <c r="R17" s="134">
        <f t="shared" ref="R17:R38" si="1">IFERROR(M17*L17,0)</f>
        <v>0</v>
      </c>
      <c r="S17" s="433"/>
      <c r="AA17" s="1135"/>
      <c r="AB17" s="1135"/>
    </row>
    <row r="18" spans="2:28" ht="24" customHeight="1" x14ac:dyDescent="0.3">
      <c r="B18" s="1145">
        <v>5</v>
      </c>
      <c r="C18" s="1141"/>
      <c r="D18" s="1141"/>
      <c r="E18" s="1141"/>
      <c r="F18" s="1142"/>
      <c r="G18" s="1164"/>
      <c r="H18" s="1165"/>
      <c r="I18" s="1166"/>
      <c r="J18" s="1141"/>
      <c r="K18" s="1141"/>
      <c r="L18" s="1141"/>
      <c r="M18" s="1141"/>
      <c r="N18" s="1167"/>
      <c r="P18" s="434"/>
      <c r="Q18" s="134">
        <f t="shared" si="0"/>
        <v>0</v>
      </c>
      <c r="R18" s="134">
        <f t="shared" si="1"/>
        <v>0</v>
      </c>
      <c r="S18" s="433"/>
      <c r="AA18" s="1135"/>
      <c r="AB18" s="1135"/>
    </row>
    <row r="19" spans="2:28" ht="24" customHeight="1" x14ac:dyDescent="0.3">
      <c r="B19" s="1145">
        <v>6</v>
      </c>
      <c r="C19" s="1141"/>
      <c r="D19" s="1141"/>
      <c r="E19" s="1141"/>
      <c r="F19" s="1142"/>
      <c r="G19" s="1164"/>
      <c r="H19" s="1165"/>
      <c r="I19" s="1166"/>
      <c r="J19" s="1141"/>
      <c r="K19" s="1141"/>
      <c r="L19" s="1141"/>
      <c r="M19" s="1141"/>
      <c r="N19" s="1167"/>
      <c r="P19" s="434"/>
      <c r="Q19" s="134">
        <f t="shared" si="0"/>
        <v>0</v>
      </c>
      <c r="R19" s="134">
        <f t="shared" si="1"/>
        <v>0</v>
      </c>
      <c r="S19" s="433"/>
      <c r="AA19" s="1135"/>
      <c r="AB19" s="1135"/>
    </row>
    <row r="20" spans="2:28" ht="24" customHeight="1" x14ac:dyDescent="0.3">
      <c r="B20" s="1145">
        <v>7</v>
      </c>
      <c r="C20" s="1141"/>
      <c r="D20" s="1141"/>
      <c r="E20" s="1141"/>
      <c r="F20" s="1142"/>
      <c r="G20" s="1164"/>
      <c r="H20" s="1165"/>
      <c r="I20" s="1166"/>
      <c r="J20" s="1141"/>
      <c r="K20" s="1141"/>
      <c r="L20" s="1141"/>
      <c r="M20" s="1141"/>
      <c r="N20" s="1167"/>
      <c r="P20" s="434"/>
      <c r="Q20" s="134">
        <f t="shared" si="0"/>
        <v>0</v>
      </c>
      <c r="R20" s="134">
        <f t="shared" si="1"/>
        <v>0</v>
      </c>
      <c r="S20" s="433"/>
      <c r="AA20" s="1135"/>
      <c r="AB20" s="1135"/>
    </row>
    <row r="21" spans="2:28" ht="24" customHeight="1" x14ac:dyDescent="0.3">
      <c r="B21" s="1145">
        <v>8</v>
      </c>
      <c r="C21" s="1141"/>
      <c r="D21" s="1141"/>
      <c r="E21" s="1141"/>
      <c r="F21" s="1142"/>
      <c r="G21" s="1164"/>
      <c r="H21" s="1165"/>
      <c r="I21" s="1166"/>
      <c r="J21" s="1141"/>
      <c r="K21" s="1141"/>
      <c r="L21" s="1141"/>
      <c r="M21" s="1141"/>
      <c r="N21" s="1167"/>
      <c r="P21" s="434"/>
      <c r="Q21" s="134">
        <f t="shared" si="0"/>
        <v>0</v>
      </c>
      <c r="R21" s="134">
        <f t="shared" si="1"/>
        <v>0</v>
      </c>
      <c r="S21" s="433"/>
      <c r="AA21" s="1135"/>
      <c r="AB21" s="1135"/>
    </row>
    <row r="22" spans="2:28" ht="24" customHeight="1" x14ac:dyDescent="0.3">
      <c r="B22" s="1145">
        <v>9</v>
      </c>
      <c r="C22" s="1141"/>
      <c r="D22" s="1141"/>
      <c r="E22" s="1141"/>
      <c r="F22" s="1142"/>
      <c r="G22" s="1164"/>
      <c r="H22" s="1165"/>
      <c r="I22" s="1166"/>
      <c r="J22" s="1141"/>
      <c r="K22" s="1141"/>
      <c r="L22" s="1141"/>
      <c r="M22" s="1141"/>
      <c r="N22" s="1167"/>
      <c r="P22" s="434"/>
      <c r="Q22" s="134">
        <f t="shared" si="0"/>
        <v>0</v>
      </c>
      <c r="R22" s="134">
        <f t="shared" si="1"/>
        <v>0</v>
      </c>
      <c r="S22" s="433"/>
      <c r="AA22" s="1135"/>
      <c r="AB22" s="1135"/>
    </row>
    <row r="23" spans="2:28" ht="24" customHeight="1" x14ac:dyDescent="0.3">
      <c r="B23" s="1145">
        <v>10</v>
      </c>
      <c r="C23" s="1141"/>
      <c r="D23" s="1141"/>
      <c r="E23" s="1141"/>
      <c r="F23" s="1142"/>
      <c r="G23" s="1164"/>
      <c r="H23" s="1165"/>
      <c r="I23" s="1166"/>
      <c r="J23" s="1141"/>
      <c r="K23" s="1141"/>
      <c r="L23" s="1141"/>
      <c r="M23" s="1141"/>
      <c r="N23" s="1167"/>
      <c r="P23" s="434"/>
      <c r="Q23" s="134">
        <f t="shared" si="0"/>
        <v>0</v>
      </c>
      <c r="R23" s="134">
        <f t="shared" si="1"/>
        <v>0</v>
      </c>
      <c r="S23" s="433"/>
      <c r="AA23" s="1135"/>
      <c r="AB23" s="1135"/>
    </row>
    <row r="24" spans="2:28" ht="24" customHeight="1" x14ac:dyDescent="0.3">
      <c r="B24" s="1145">
        <v>11</v>
      </c>
      <c r="C24" s="1141"/>
      <c r="D24" s="1141"/>
      <c r="E24" s="1141"/>
      <c r="F24" s="1142"/>
      <c r="G24" s="1164"/>
      <c r="H24" s="1165"/>
      <c r="I24" s="1166"/>
      <c r="J24" s="1141"/>
      <c r="K24" s="1141"/>
      <c r="L24" s="1141"/>
      <c r="M24" s="1141"/>
      <c r="N24" s="1167"/>
      <c r="P24" s="434"/>
      <c r="Q24" s="134">
        <f t="shared" si="0"/>
        <v>0</v>
      </c>
      <c r="R24" s="134">
        <f t="shared" si="1"/>
        <v>0</v>
      </c>
      <c r="S24" s="433"/>
      <c r="AA24" s="1135"/>
      <c r="AB24" s="1135"/>
    </row>
    <row r="25" spans="2:28" ht="24" customHeight="1" x14ac:dyDescent="0.3">
      <c r="B25" s="1145">
        <v>12</v>
      </c>
      <c r="C25" s="1141"/>
      <c r="D25" s="1141"/>
      <c r="E25" s="1141"/>
      <c r="F25" s="1142"/>
      <c r="G25" s="1164"/>
      <c r="H25" s="1165"/>
      <c r="I25" s="1166"/>
      <c r="J25" s="1141"/>
      <c r="K25" s="1141"/>
      <c r="L25" s="1141"/>
      <c r="M25" s="1141"/>
      <c r="N25" s="1167"/>
      <c r="P25" s="434"/>
      <c r="Q25" s="134">
        <f t="shared" si="0"/>
        <v>0</v>
      </c>
      <c r="R25" s="134">
        <f t="shared" si="1"/>
        <v>0</v>
      </c>
      <c r="S25" s="433"/>
    </row>
    <row r="26" spans="2:28" ht="24" customHeight="1" x14ac:dyDescent="0.3">
      <c r="B26" s="1145">
        <v>13</v>
      </c>
      <c r="C26" s="1141"/>
      <c r="D26" s="1141"/>
      <c r="E26" s="1141"/>
      <c r="F26" s="1142"/>
      <c r="G26" s="1164"/>
      <c r="H26" s="1165"/>
      <c r="I26" s="1166"/>
      <c r="J26" s="1141"/>
      <c r="K26" s="1141"/>
      <c r="L26" s="1141"/>
      <c r="M26" s="1141"/>
      <c r="N26" s="1167"/>
      <c r="P26" s="434"/>
      <c r="Q26" s="134">
        <f t="shared" si="0"/>
        <v>0</v>
      </c>
      <c r="R26" s="134">
        <f t="shared" si="1"/>
        <v>0</v>
      </c>
      <c r="S26" s="433"/>
    </row>
    <row r="27" spans="2:28" ht="24" customHeight="1" x14ac:dyDescent="0.3">
      <c r="B27" s="1145">
        <v>14</v>
      </c>
      <c r="C27" s="1141"/>
      <c r="D27" s="1141"/>
      <c r="E27" s="1141"/>
      <c r="F27" s="1142"/>
      <c r="G27" s="1164"/>
      <c r="H27" s="1165"/>
      <c r="I27" s="1166"/>
      <c r="J27" s="1141"/>
      <c r="K27" s="1141"/>
      <c r="L27" s="1141"/>
      <c r="M27" s="1141"/>
      <c r="N27" s="1167"/>
      <c r="P27" s="434"/>
      <c r="Q27" s="134">
        <f t="shared" si="0"/>
        <v>0</v>
      </c>
      <c r="R27" s="134">
        <f t="shared" si="1"/>
        <v>0</v>
      </c>
      <c r="S27" s="433"/>
    </row>
    <row r="28" spans="2:28" ht="24" customHeight="1" thickBot="1" x14ac:dyDescent="0.35">
      <c r="B28" s="1147">
        <v>15</v>
      </c>
      <c r="C28" s="1168"/>
      <c r="D28" s="1168"/>
      <c r="E28" s="1168"/>
      <c r="F28" s="1169"/>
      <c r="G28" s="1170"/>
      <c r="H28" s="1171"/>
      <c r="I28" s="1172"/>
      <c r="J28" s="1168"/>
      <c r="K28" s="1168"/>
      <c r="L28" s="1168"/>
      <c r="M28" s="1168"/>
      <c r="N28" s="1173"/>
      <c r="P28" s="434"/>
      <c r="Q28" s="134">
        <f t="shared" si="0"/>
        <v>0</v>
      </c>
      <c r="R28" s="134">
        <f t="shared" si="1"/>
        <v>0</v>
      </c>
      <c r="S28" s="433"/>
    </row>
    <row r="29" spans="2:28" ht="19.5" hidden="1" customHeight="1" x14ac:dyDescent="0.3">
      <c r="B29" s="1148">
        <v>16</v>
      </c>
      <c r="C29" s="1149"/>
      <c r="D29" s="1149"/>
      <c r="E29" s="1149"/>
      <c r="F29" s="1149"/>
      <c r="G29" s="1149"/>
      <c r="H29" s="1149"/>
      <c r="I29" s="1149"/>
      <c r="J29" s="1149"/>
      <c r="K29" s="1149"/>
      <c r="L29" s="1149"/>
      <c r="M29" s="1149"/>
      <c r="N29" s="1150"/>
      <c r="P29" s="434"/>
      <c r="Q29" s="134">
        <f t="shared" si="0"/>
        <v>0</v>
      </c>
      <c r="R29" s="134">
        <f t="shared" si="1"/>
        <v>0</v>
      </c>
      <c r="S29" s="433"/>
    </row>
    <row r="30" spans="2:28" ht="19.5" hidden="1" customHeight="1" x14ac:dyDescent="0.3">
      <c r="B30" s="1145">
        <v>17</v>
      </c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146"/>
      <c r="P30" s="434"/>
      <c r="Q30" s="134">
        <f t="shared" si="0"/>
        <v>0</v>
      </c>
      <c r="R30" s="134">
        <f t="shared" si="1"/>
        <v>0</v>
      </c>
      <c r="S30" s="433"/>
    </row>
    <row r="31" spans="2:28" ht="19.5" hidden="1" customHeight="1" x14ac:dyDescent="0.3">
      <c r="B31" s="1145">
        <v>18</v>
      </c>
      <c r="C31" s="177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146"/>
      <c r="P31" s="434"/>
      <c r="Q31" s="134">
        <f t="shared" si="0"/>
        <v>0</v>
      </c>
      <c r="R31" s="134">
        <f t="shared" si="1"/>
        <v>0</v>
      </c>
      <c r="S31" s="433"/>
    </row>
    <row r="32" spans="2:28" ht="19.5" hidden="1" customHeight="1" x14ac:dyDescent="0.3">
      <c r="B32" s="1145">
        <v>19</v>
      </c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146"/>
      <c r="P32" s="434"/>
      <c r="Q32" s="134">
        <f t="shared" si="0"/>
        <v>0</v>
      </c>
      <c r="R32" s="134">
        <f t="shared" si="1"/>
        <v>0</v>
      </c>
      <c r="S32" s="433"/>
    </row>
    <row r="33" spans="1:20" ht="19.5" hidden="1" customHeight="1" x14ac:dyDescent="0.3">
      <c r="B33" s="1145">
        <v>20</v>
      </c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146"/>
      <c r="P33" s="434"/>
      <c r="Q33" s="134">
        <f t="shared" si="0"/>
        <v>0</v>
      </c>
      <c r="R33" s="134">
        <f t="shared" si="1"/>
        <v>0</v>
      </c>
      <c r="S33" s="433"/>
    </row>
    <row r="34" spans="1:20" ht="19.5" hidden="1" customHeight="1" x14ac:dyDescent="0.3">
      <c r="B34" s="1145">
        <v>21</v>
      </c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146"/>
      <c r="P34" s="434"/>
      <c r="Q34" s="134">
        <f t="shared" si="0"/>
        <v>0</v>
      </c>
      <c r="R34" s="134">
        <f t="shared" si="1"/>
        <v>0</v>
      </c>
      <c r="S34" s="433"/>
    </row>
    <row r="35" spans="1:20" ht="19.5" hidden="1" customHeight="1" x14ac:dyDescent="0.3">
      <c r="B35" s="1145">
        <v>22</v>
      </c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146"/>
      <c r="P35" s="434"/>
      <c r="Q35" s="134">
        <f t="shared" si="0"/>
        <v>0</v>
      </c>
      <c r="R35" s="134">
        <f t="shared" si="1"/>
        <v>0</v>
      </c>
      <c r="S35" s="433"/>
    </row>
    <row r="36" spans="1:20" ht="19.5" hidden="1" customHeight="1" x14ac:dyDescent="0.3">
      <c r="B36" s="1145">
        <v>23</v>
      </c>
      <c r="C36" s="177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146"/>
      <c r="P36" s="434"/>
      <c r="Q36" s="134">
        <f t="shared" si="0"/>
        <v>0</v>
      </c>
      <c r="R36" s="134">
        <f t="shared" si="1"/>
        <v>0</v>
      </c>
      <c r="S36" s="433"/>
    </row>
    <row r="37" spans="1:20" ht="19.5" hidden="1" customHeight="1" x14ac:dyDescent="0.3">
      <c r="B37" s="1145">
        <v>24</v>
      </c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146"/>
      <c r="P37" s="434"/>
      <c r="Q37" s="134">
        <f t="shared" si="0"/>
        <v>0</v>
      </c>
      <c r="R37" s="134">
        <f t="shared" si="1"/>
        <v>0</v>
      </c>
      <c r="S37" s="433"/>
    </row>
    <row r="38" spans="1:20" ht="19.5" hidden="1" customHeight="1" x14ac:dyDescent="0.3">
      <c r="B38" s="1145">
        <v>25</v>
      </c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7"/>
      <c r="N38" s="1146"/>
      <c r="P38" s="434"/>
      <c r="Q38" s="134">
        <f t="shared" si="0"/>
        <v>0</v>
      </c>
      <c r="R38" s="134">
        <f t="shared" si="1"/>
        <v>0</v>
      </c>
      <c r="S38" s="433"/>
    </row>
    <row r="39" spans="1:20" s="102" customFormat="1" ht="21.75" customHeigh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130"/>
      <c r="Q39" s="131">
        <f>SUM(Q14:Q38)</f>
        <v>0</v>
      </c>
      <c r="R39" s="134">
        <f>SUM(R14:R38)</f>
        <v>0</v>
      </c>
    </row>
    <row r="40" spans="1:20" ht="8.25" customHeight="1" thickBot="1" x14ac:dyDescent="0.35">
      <c r="B40" s="700"/>
      <c r="C40" s="7"/>
      <c r="D40" s="7"/>
      <c r="E40" s="7"/>
      <c r="F40" s="7"/>
      <c r="G40" s="7"/>
      <c r="H40" s="7"/>
      <c r="I40" s="7"/>
      <c r="J40" s="7"/>
      <c r="K40" s="7"/>
      <c r="L40" s="7"/>
      <c r="M40" s="1143"/>
      <c r="N40" s="1144"/>
      <c r="P40" s="132"/>
      <c r="Q40" s="134"/>
      <c r="R40" s="134"/>
      <c r="S40" s="433"/>
    </row>
    <row r="41" spans="1:20" ht="26.25" customHeight="1" thickBot="1" x14ac:dyDescent="0.35">
      <c r="B41" s="915"/>
      <c r="C41" s="913"/>
      <c r="D41" s="913"/>
      <c r="E41" s="914"/>
      <c r="F41" s="912"/>
      <c r="G41" s="913"/>
      <c r="H41" s="914"/>
      <c r="I41" s="648"/>
      <c r="J41" s="909"/>
      <c r="K41" s="910"/>
      <c r="L41" s="911"/>
      <c r="M41" s="909"/>
      <c r="N41" s="911"/>
      <c r="P41" s="132"/>
      <c r="Q41" s="134"/>
      <c r="R41" s="134"/>
      <c r="S41" s="433"/>
      <c r="T41" t="s">
        <v>198</v>
      </c>
    </row>
    <row r="42" spans="1:20" ht="26.25" customHeight="1" x14ac:dyDescent="0.3">
      <c r="B42" s="649"/>
      <c r="C42" s="650"/>
      <c r="D42" s="650"/>
      <c r="E42" s="651"/>
      <c r="F42" s="652"/>
      <c r="G42" s="650"/>
      <c r="H42" s="651"/>
      <c r="I42" s="647"/>
      <c r="J42" s="649"/>
      <c r="K42" s="653"/>
      <c r="L42" s="653"/>
      <c r="M42" s="649"/>
      <c r="N42" s="651"/>
      <c r="P42" s="132"/>
      <c r="Q42" s="134"/>
      <c r="R42" s="134"/>
      <c r="S42" s="433"/>
      <c r="T42" t="s">
        <v>199</v>
      </c>
    </row>
    <row r="43" spans="1:20" ht="24" customHeight="1" x14ac:dyDescent="0.3">
      <c r="B43" s="670"/>
      <c r="C43" s="680"/>
      <c r="D43" s="690"/>
      <c r="E43" s="693"/>
      <c r="F43" s="694"/>
      <c r="G43" s="695"/>
      <c r="H43" s="696"/>
      <c r="I43" s="677"/>
      <c r="J43" s="697"/>
      <c r="K43" s="698"/>
      <c r="L43" s="724"/>
      <c r="M43" s="682"/>
      <c r="N43" s="693"/>
      <c r="P43" s="132"/>
      <c r="Q43" s="134">
        <f>IFERROR(D43*E43,0)</f>
        <v>0</v>
      </c>
      <c r="R43" s="134">
        <f>IFERROR(H43*G43,0)</f>
        <v>0</v>
      </c>
      <c r="S43" s="433"/>
      <c r="T43" t="s">
        <v>200</v>
      </c>
    </row>
    <row r="44" spans="1:20" ht="24" customHeight="1" x14ac:dyDescent="0.3">
      <c r="B44" s="670"/>
      <c r="C44" s="680"/>
      <c r="D44" s="690"/>
      <c r="E44" s="693"/>
      <c r="F44" s="694"/>
      <c r="G44" s="695"/>
      <c r="H44" s="696"/>
      <c r="I44" s="677"/>
      <c r="J44" s="697"/>
      <c r="K44" s="698"/>
      <c r="L44" s="724"/>
      <c r="M44" s="682"/>
      <c r="N44" s="693"/>
      <c r="P44" s="132"/>
      <c r="Q44" s="134">
        <f t="shared" ref="Q44:Q67" si="2">IFERROR(D44*E44,0)</f>
        <v>0</v>
      </c>
      <c r="R44" s="134">
        <f>IFERROR(H44*G44,0)</f>
        <v>0</v>
      </c>
      <c r="S44" s="433"/>
      <c r="T44" t="s">
        <v>201</v>
      </c>
    </row>
    <row r="45" spans="1:20" ht="24" customHeight="1" x14ac:dyDescent="0.3">
      <c r="B45" s="670"/>
      <c r="C45" s="680"/>
      <c r="D45" s="690"/>
      <c r="E45" s="693"/>
      <c r="F45" s="694"/>
      <c r="G45" s="695"/>
      <c r="H45" s="696"/>
      <c r="I45" s="677"/>
      <c r="J45" s="697"/>
      <c r="K45" s="698"/>
      <c r="L45" s="724"/>
      <c r="M45" s="682"/>
      <c r="N45" s="693"/>
      <c r="P45" s="132"/>
      <c r="Q45" s="134">
        <f t="shared" si="2"/>
        <v>0</v>
      </c>
      <c r="R45" s="134">
        <f>IFERROR(H45*G45,0)</f>
        <v>0</v>
      </c>
      <c r="S45" s="433"/>
    </row>
    <row r="46" spans="1:20" ht="24" customHeight="1" x14ac:dyDescent="0.3">
      <c r="B46" s="670"/>
      <c r="C46" s="680"/>
      <c r="D46" s="690"/>
      <c r="E46" s="693"/>
      <c r="F46" s="694"/>
      <c r="G46" s="695"/>
      <c r="H46" s="696"/>
      <c r="I46" s="677"/>
      <c r="J46" s="697"/>
      <c r="K46" s="698"/>
      <c r="L46" s="724"/>
      <c r="M46" s="682"/>
      <c r="N46" s="693"/>
      <c r="P46" s="132"/>
      <c r="Q46" s="134">
        <f t="shared" si="2"/>
        <v>0</v>
      </c>
      <c r="R46" s="134">
        <f t="shared" ref="R46:R67" si="3">IFERROR(H46*G46,0)</f>
        <v>0</v>
      </c>
      <c r="S46" s="433"/>
    </row>
    <row r="47" spans="1:20" ht="24" customHeight="1" x14ac:dyDescent="0.3">
      <c r="B47" s="670"/>
      <c r="C47" s="680"/>
      <c r="D47" s="690"/>
      <c r="E47" s="693"/>
      <c r="F47" s="694"/>
      <c r="G47" s="695"/>
      <c r="H47" s="696"/>
      <c r="I47" s="677"/>
      <c r="J47" s="697"/>
      <c r="K47" s="698"/>
      <c r="L47" s="724"/>
      <c r="M47" s="682"/>
      <c r="N47" s="693"/>
      <c r="P47" s="132"/>
      <c r="Q47" s="134">
        <f t="shared" si="2"/>
        <v>0</v>
      </c>
      <c r="R47" s="134">
        <f t="shared" si="3"/>
        <v>0</v>
      </c>
      <c r="S47" s="433"/>
    </row>
    <row r="48" spans="1:20" ht="24" customHeight="1" x14ac:dyDescent="0.3">
      <c r="B48" s="670"/>
      <c r="C48" s="680"/>
      <c r="D48" s="690"/>
      <c r="E48" s="693"/>
      <c r="F48" s="694"/>
      <c r="G48" s="695"/>
      <c r="H48" s="696"/>
      <c r="I48" s="677"/>
      <c r="J48" s="697"/>
      <c r="K48" s="698"/>
      <c r="L48" s="724"/>
      <c r="M48" s="682"/>
      <c r="N48" s="693"/>
      <c r="P48" s="132"/>
      <c r="Q48" s="134">
        <f t="shared" si="2"/>
        <v>0</v>
      </c>
      <c r="R48" s="134">
        <f t="shared" si="3"/>
        <v>0</v>
      </c>
      <c r="S48" s="433"/>
    </row>
    <row r="49" spans="2:19" ht="24" customHeight="1" x14ac:dyDescent="0.3">
      <c r="B49" s="670"/>
      <c r="C49" s="680"/>
      <c r="D49" s="690"/>
      <c r="E49" s="693"/>
      <c r="F49" s="694"/>
      <c r="G49" s="695"/>
      <c r="H49" s="696"/>
      <c r="I49" s="677"/>
      <c r="J49" s="697"/>
      <c r="K49" s="698"/>
      <c r="L49" s="724"/>
      <c r="M49" s="682"/>
      <c r="N49" s="693"/>
      <c r="P49" s="132"/>
      <c r="Q49" s="134">
        <f t="shared" si="2"/>
        <v>0</v>
      </c>
      <c r="R49" s="134">
        <f t="shared" si="3"/>
        <v>0</v>
      </c>
      <c r="S49" s="433"/>
    </row>
    <row r="50" spans="2:19" ht="24" customHeight="1" x14ac:dyDescent="0.3">
      <c r="B50" s="670"/>
      <c r="C50" s="680"/>
      <c r="D50" s="690"/>
      <c r="E50" s="693"/>
      <c r="F50" s="694"/>
      <c r="G50" s="695"/>
      <c r="H50" s="696"/>
      <c r="I50" s="677"/>
      <c r="J50" s="697"/>
      <c r="K50" s="698"/>
      <c r="L50" s="724"/>
      <c r="M50" s="682"/>
      <c r="N50" s="693"/>
      <c r="P50" s="132"/>
      <c r="Q50" s="134">
        <f t="shared" si="2"/>
        <v>0</v>
      </c>
      <c r="R50" s="134">
        <f t="shared" si="3"/>
        <v>0</v>
      </c>
      <c r="S50" s="433"/>
    </row>
    <row r="51" spans="2:19" ht="24" customHeight="1" x14ac:dyDescent="0.3">
      <c r="B51" s="671"/>
      <c r="C51" s="681"/>
      <c r="D51" s="695"/>
      <c r="E51" s="696"/>
      <c r="F51" s="694"/>
      <c r="G51" s="695"/>
      <c r="H51" s="696"/>
      <c r="I51" s="677"/>
      <c r="J51" s="697"/>
      <c r="K51" s="698"/>
      <c r="L51" s="724"/>
      <c r="M51" s="682"/>
      <c r="N51" s="693"/>
      <c r="P51" s="132"/>
      <c r="Q51" s="134">
        <f t="shared" si="2"/>
        <v>0</v>
      </c>
      <c r="R51" s="134">
        <f t="shared" si="3"/>
        <v>0</v>
      </c>
      <c r="S51" s="433"/>
    </row>
    <row r="52" spans="2:19" ht="24" customHeight="1" x14ac:dyDescent="0.3">
      <c r="B52" s="671"/>
      <c r="C52" s="681"/>
      <c r="D52" s="695"/>
      <c r="E52" s="696"/>
      <c r="F52" s="694"/>
      <c r="G52" s="695"/>
      <c r="H52" s="696"/>
      <c r="I52" s="677"/>
      <c r="J52" s="697"/>
      <c r="K52" s="698"/>
      <c r="L52" s="724"/>
      <c r="M52" s="682"/>
      <c r="N52" s="693"/>
      <c r="P52" s="132"/>
      <c r="Q52" s="134">
        <f t="shared" si="2"/>
        <v>0</v>
      </c>
      <c r="R52" s="134">
        <f t="shared" si="3"/>
        <v>0</v>
      </c>
      <c r="S52" s="433"/>
    </row>
    <row r="53" spans="2:19" ht="24" customHeight="1" x14ac:dyDescent="0.3">
      <c r="B53" s="671"/>
      <c r="C53" s="681"/>
      <c r="D53" s="695"/>
      <c r="E53" s="696"/>
      <c r="F53" s="694"/>
      <c r="G53" s="695"/>
      <c r="H53" s="696"/>
      <c r="I53" s="677"/>
      <c r="J53" s="697"/>
      <c r="K53" s="698"/>
      <c r="L53" s="724"/>
      <c r="M53" s="682"/>
      <c r="N53" s="693"/>
      <c r="P53" s="132"/>
      <c r="Q53" s="134">
        <f t="shared" si="2"/>
        <v>0</v>
      </c>
      <c r="R53" s="134">
        <f t="shared" si="3"/>
        <v>0</v>
      </c>
      <c r="S53" s="433"/>
    </row>
    <row r="54" spans="2:19" ht="24" customHeight="1" x14ac:dyDescent="0.3">
      <c r="B54" s="671"/>
      <c r="C54" s="681"/>
      <c r="D54" s="695"/>
      <c r="E54" s="696"/>
      <c r="F54" s="694"/>
      <c r="G54" s="695"/>
      <c r="H54" s="696"/>
      <c r="I54" s="677"/>
      <c r="J54" s="697"/>
      <c r="K54" s="698"/>
      <c r="L54" s="724"/>
      <c r="M54" s="682"/>
      <c r="N54" s="693"/>
      <c r="P54" s="132"/>
      <c r="Q54" s="134">
        <f t="shared" si="2"/>
        <v>0</v>
      </c>
      <c r="R54" s="134">
        <f t="shared" si="3"/>
        <v>0</v>
      </c>
      <c r="S54" s="433"/>
    </row>
    <row r="55" spans="2:19" ht="24" customHeight="1" x14ac:dyDescent="0.3">
      <c r="B55" s="671"/>
      <c r="C55" s="681"/>
      <c r="D55" s="695"/>
      <c r="E55" s="696"/>
      <c r="F55" s="694"/>
      <c r="G55" s="695"/>
      <c r="H55" s="696"/>
      <c r="I55" s="677"/>
      <c r="J55" s="697"/>
      <c r="K55" s="698"/>
      <c r="L55" s="724"/>
      <c r="M55" s="682"/>
      <c r="N55" s="693"/>
      <c r="P55" s="132"/>
      <c r="Q55" s="134">
        <f t="shared" si="2"/>
        <v>0</v>
      </c>
      <c r="R55" s="134">
        <f t="shared" si="3"/>
        <v>0</v>
      </c>
      <c r="S55" s="433"/>
    </row>
    <row r="56" spans="2:19" ht="24" customHeight="1" x14ac:dyDescent="0.3">
      <c r="B56" s="671"/>
      <c r="C56" s="681"/>
      <c r="D56" s="695"/>
      <c r="E56" s="696"/>
      <c r="F56" s="694"/>
      <c r="G56" s="695"/>
      <c r="H56" s="696"/>
      <c r="I56" s="677"/>
      <c r="J56" s="697"/>
      <c r="K56" s="698"/>
      <c r="L56" s="724"/>
      <c r="M56" s="682"/>
      <c r="N56" s="693"/>
      <c r="P56" s="132"/>
      <c r="Q56" s="134">
        <f t="shared" si="2"/>
        <v>0</v>
      </c>
      <c r="R56" s="134">
        <f t="shared" si="3"/>
        <v>0</v>
      </c>
      <c r="S56" s="433"/>
    </row>
    <row r="57" spans="2:19" ht="24" customHeight="1" x14ac:dyDescent="0.3">
      <c r="B57" s="671"/>
      <c r="C57" s="681"/>
      <c r="D57" s="695"/>
      <c r="E57" s="696"/>
      <c r="F57" s="694"/>
      <c r="G57" s="695"/>
      <c r="H57" s="696"/>
      <c r="I57" s="677"/>
      <c r="J57" s="697"/>
      <c r="K57" s="698"/>
      <c r="L57" s="724"/>
      <c r="M57" s="682"/>
      <c r="N57" s="693"/>
      <c r="P57" s="132"/>
      <c r="Q57" s="134">
        <f t="shared" si="2"/>
        <v>0</v>
      </c>
      <c r="R57" s="134">
        <f t="shared" si="3"/>
        <v>0</v>
      </c>
      <c r="S57" s="433"/>
    </row>
    <row r="58" spans="2:19" ht="17.100000000000001" hidden="1" customHeight="1" x14ac:dyDescent="0.3">
      <c r="B58" s="435"/>
      <c r="C58" s="436"/>
      <c r="D58" s="637"/>
      <c r="E58" s="638"/>
      <c r="F58" s="636"/>
      <c r="G58" s="637"/>
      <c r="H58" s="638"/>
      <c r="I58" s="431"/>
      <c r="J58" s="435"/>
      <c r="K58" s="639"/>
      <c r="L58" s="640"/>
      <c r="M58" s="634"/>
      <c r="N58" s="635"/>
      <c r="P58" s="132"/>
      <c r="Q58" s="134">
        <f t="shared" si="2"/>
        <v>0</v>
      </c>
      <c r="R58" s="134">
        <f t="shared" si="3"/>
        <v>0</v>
      </c>
      <c r="S58" s="433"/>
    </row>
    <row r="59" spans="2:19" ht="17.100000000000001" hidden="1" customHeight="1" x14ac:dyDescent="0.3">
      <c r="B59" s="435"/>
      <c r="C59" s="436"/>
      <c r="D59" s="637"/>
      <c r="E59" s="638"/>
      <c r="F59" s="636"/>
      <c r="G59" s="637"/>
      <c r="H59" s="638"/>
      <c r="I59" s="431"/>
      <c r="J59" s="435"/>
      <c r="K59" s="639"/>
      <c r="L59" s="640"/>
      <c r="M59" s="634"/>
      <c r="N59" s="635"/>
      <c r="P59" s="132"/>
      <c r="Q59" s="134">
        <f t="shared" si="2"/>
        <v>0</v>
      </c>
      <c r="R59" s="134">
        <f t="shared" si="3"/>
        <v>0</v>
      </c>
      <c r="S59" s="433"/>
    </row>
    <row r="60" spans="2:19" ht="17.100000000000001" hidden="1" customHeight="1" x14ac:dyDescent="0.3">
      <c r="B60" s="435"/>
      <c r="C60" s="436"/>
      <c r="D60" s="637"/>
      <c r="E60" s="638"/>
      <c r="F60" s="636"/>
      <c r="G60" s="637"/>
      <c r="H60" s="638"/>
      <c r="I60" s="431"/>
      <c r="J60" s="435"/>
      <c r="K60" s="639"/>
      <c r="L60" s="640"/>
      <c r="M60" s="634"/>
      <c r="N60" s="635"/>
      <c r="P60" s="132"/>
      <c r="Q60" s="134">
        <f t="shared" si="2"/>
        <v>0</v>
      </c>
      <c r="R60" s="134">
        <f t="shared" si="3"/>
        <v>0</v>
      </c>
      <c r="S60" s="433"/>
    </row>
    <row r="61" spans="2:19" ht="17.100000000000001" hidden="1" customHeight="1" x14ac:dyDescent="0.3">
      <c r="B61" s="435"/>
      <c r="C61" s="436"/>
      <c r="D61" s="637"/>
      <c r="E61" s="638"/>
      <c r="F61" s="636"/>
      <c r="G61" s="637"/>
      <c r="H61" s="638"/>
      <c r="I61" s="431"/>
      <c r="J61" s="435"/>
      <c r="K61" s="639"/>
      <c r="L61" s="640"/>
      <c r="M61" s="634"/>
      <c r="N61" s="635"/>
      <c r="P61" s="132"/>
      <c r="Q61" s="134">
        <f t="shared" si="2"/>
        <v>0</v>
      </c>
      <c r="R61" s="134">
        <f t="shared" si="3"/>
        <v>0</v>
      </c>
      <c r="S61" s="433"/>
    </row>
    <row r="62" spans="2:19" ht="17.100000000000001" hidden="1" customHeight="1" x14ac:dyDescent="0.3">
      <c r="B62" s="435"/>
      <c r="C62" s="436"/>
      <c r="D62" s="637"/>
      <c r="E62" s="638"/>
      <c r="F62" s="636"/>
      <c r="G62" s="637"/>
      <c r="H62" s="638"/>
      <c r="I62" s="431"/>
      <c r="J62" s="435"/>
      <c r="K62" s="639"/>
      <c r="L62" s="640"/>
      <c r="M62" s="634"/>
      <c r="N62" s="635"/>
      <c r="P62" s="132"/>
      <c r="Q62" s="134">
        <f t="shared" si="2"/>
        <v>0</v>
      </c>
      <c r="R62" s="134">
        <f t="shared" si="3"/>
        <v>0</v>
      </c>
      <c r="S62" s="433"/>
    </row>
    <row r="63" spans="2:19" ht="17.100000000000001" hidden="1" customHeight="1" x14ac:dyDescent="0.3">
      <c r="B63" s="435"/>
      <c r="C63" s="436"/>
      <c r="D63" s="637"/>
      <c r="E63" s="638"/>
      <c r="F63" s="636"/>
      <c r="G63" s="637"/>
      <c r="H63" s="638"/>
      <c r="I63" s="431"/>
      <c r="J63" s="435"/>
      <c r="K63" s="639"/>
      <c r="L63" s="640"/>
      <c r="M63" s="435"/>
      <c r="N63" s="638"/>
      <c r="P63" s="132"/>
      <c r="Q63" s="134">
        <f t="shared" si="2"/>
        <v>0</v>
      </c>
      <c r="R63" s="134">
        <f t="shared" si="3"/>
        <v>0</v>
      </c>
      <c r="S63" s="433"/>
    </row>
    <row r="64" spans="2:19" ht="17.100000000000001" hidden="1" customHeight="1" x14ac:dyDescent="0.3">
      <c r="B64" s="435"/>
      <c r="C64" s="436"/>
      <c r="D64" s="637"/>
      <c r="E64" s="638"/>
      <c r="F64" s="636"/>
      <c r="G64" s="637"/>
      <c r="H64" s="638"/>
      <c r="I64" s="431"/>
      <c r="J64" s="435"/>
      <c r="K64" s="639"/>
      <c r="L64" s="640"/>
      <c r="M64" s="435"/>
      <c r="N64" s="638"/>
      <c r="P64" s="132"/>
      <c r="Q64" s="134">
        <f t="shared" si="2"/>
        <v>0</v>
      </c>
      <c r="R64" s="134">
        <f t="shared" si="3"/>
        <v>0</v>
      </c>
      <c r="S64" s="433"/>
    </row>
    <row r="65" spans="1:19" ht="17.100000000000001" hidden="1" customHeight="1" x14ac:dyDescent="0.3">
      <c r="B65" s="435"/>
      <c r="C65" s="436"/>
      <c r="D65" s="637"/>
      <c r="E65" s="638"/>
      <c r="F65" s="636"/>
      <c r="G65" s="637"/>
      <c r="H65" s="638"/>
      <c r="I65" s="431"/>
      <c r="J65" s="435"/>
      <c r="K65" s="639"/>
      <c r="L65" s="640"/>
      <c r="M65" s="435"/>
      <c r="N65" s="638"/>
      <c r="P65" s="132"/>
      <c r="Q65" s="134">
        <f t="shared" si="2"/>
        <v>0</v>
      </c>
      <c r="R65" s="134">
        <f t="shared" si="3"/>
        <v>0</v>
      </c>
      <c r="S65" s="433"/>
    </row>
    <row r="66" spans="1:19" ht="17.100000000000001" hidden="1" customHeight="1" x14ac:dyDescent="0.3">
      <c r="B66" s="435"/>
      <c r="C66" s="436"/>
      <c r="D66" s="637"/>
      <c r="E66" s="638"/>
      <c r="F66" s="636"/>
      <c r="G66" s="637"/>
      <c r="H66" s="638"/>
      <c r="I66" s="431"/>
      <c r="J66" s="435"/>
      <c r="K66" s="639"/>
      <c r="L66" s="640"/>
      <c r="M66" s="435"/>
      <c r="N66" s="638"/>
      <c r="P66" s="132"/>
      <c r="Q66" s="134">
        <f t="shared" si="2"/>
        <v>0</v>
      </c>
      <c r="R66" s="134">
        <f t="shared" si="3"/>
        <v>0</v>
      </c>
      <c r="S66" s="433"/>
    </row>
    <row r="67" spans="1:19" ht="17.100000000000001" hidden="1" customHeight="1" x14ac:dyDescent="0.3">
      <c r="B67" s="435"/>
      <c r="C67" s="436"/>
      <c r="D67" s="637"/>
      <c r="E67" s="638"/>
      <c r="F67" s="636"/>
      <c r="G67" s="637"/>
      <c r="H67" s="638"/>
      <c r="I67" s="431"/>
      <c r="J67" s="435"/>
      <c r="K67" s="639"/>
      <c r="L67" s="640"/>
      <c r="M67" s="435"/>
      <c r="N67" s="638"/>
      <c r="P67" s="132"/>
      <c r="Q67" s="134">
        <f t="shared" si="2"/>
        <v>0</v>
      </c>
      <c r="R67" s="134">
        <f t="shared" si="3"/>
        <v>0</v>
      </c>
      <c r="S67" s="433"/>
    </row>
    <row r="68" spans="1:19" s="102" customFormat="1" ht="24" customHeight="1" thickBot="1" x14ac:dyDescent="0.35">
      <c r="A68"/>
      <c r="B68" s="916"/>
      <c r="C68" s="917"/>
      <c r="D68" s="656"/>
      <c r="E68" s="657"/>
      <c r="F68" s="655"/>
      <c r="G68" s="658"/>
      <c r="H68" s="657"/>
      <c r="I68" s="654"/>
      <c r="J68" s="655"/>
      <c r="K68" s="659"/>
      <c r="L68" s="660"/>
      <c r="M68" s="655"/>
      <c r="N68" s="657"/>
      <c r="O68"/>
      <c r="P68" s="133"/>
      <c r="Q68" s="131">
        <f>SUM(Q43:Q67)/100</f>
        <v>0</v>
      </c>
      <c r="R68" s="131">
        <f>SUM(R43:R67)/100</f>
        <v>0</v>
      </c>
    </row>
    <row r="69" spans="1:19" ht="6.75" customHeight="1" thickBot="1" x14ac:dyDescent="0.35">
      <c r="A69" s="2"/>
      <c r="B69" s="437"/>
      <c r="C69" s="437"/>
      <c r="D69" s="431"/>
      <c r="E69" s="431"/>
      <c r="F69" s="431"/>
      <c r="G69" s="431"/>
      <c r="H69" s="431"/>
      <c r="I69" s="431"/>
      <c r="J69" s="437"/>
      <c r="K69" s="431"/>
      <c r="L69" s="431"/>
      <c r="M69" s="431"/>
      <c r="N69" s="431"/>
      <c r="P69" s="132"/>
      <c r="Q69" s="134"/>
      <c r="R69" s="134"/>
      <c r="S69" s="433"/>
    </row>
    <row r="70" spans="1:19" ht="26.25" customHeight="1" thickBot="1" x14ac:dyDescent="0.35">
      <c r="A70" s="2"/>
      <c r="B70" s="915"/>
      <c r="C70" s="913"/>
      <c r="D70" s="913"/>
      <c r="E70" s="914"/>
      <c r="F70" s="912"/>
      <c r="G70" s="913"/>
      <c r="H70" s="914"/>
      <c r="I70" s="648"/>
      <c r="J70" s="909"/>
      <c r="K70" s="910"/>
      <c r="L70" s="910"/>
      <c r="M70" s="910"/>
      <c r="N70" s="911"/>
      <c r="P70" s="132"/>
      <c r="Q70" s="134"/>
      <c r="R70" s="134"/>
      <c r="S70" s="433"/>
    </row>
    <row r="71" spans="1:19" ht="26.25" customHeight="1" x14ac:dyDescent="0.3">
      <c r="A71" s="2"/>
      <c r="B71" s="649"/>
      <c r="C71" s="650"/>
      <c r="D71" s="650"/>
      <c r="E71" s="651"/>
      <c r="F71" s="960"/>
      <c r="G71" s="955"/>
      <c r="H71" s="651"/>
      <c r="I71" s="647"/>
      <c r="J71" s="954"/>
      <c r="K71" s="955"/>
      <c r="L71" s="650"/>
      <c r="M71" s="650"/>
      <c r="N71" s="651"/>
      <c r="P71" s="132"/>
      <c r="Q71" s="134"/>
      <c r="R71" s="134"/>
      <c r="S71" s="433"/>
    </row>
    <row r="72" spans="1:19" ht="38.25" customHeight="1" x14ac:dyDescent="0.3">
      <c r="A72" s="2"/>
      <c r="B72" s="672"/>
      <c r="C72" s="706"/>
      <c r="D72" s="707"/>
      <c r="E72" s="696"/>
      <c r="F72" s="958"/>
      <c r="G72" s="959"/>
      <c r="H72" s="696"/>
      <c r="I72" s="677"/>
      <c r="J72" s="880"/>
      <c r="K72" s="881"/>
      <c r="L72" s="710"/>
      <c r="M72" s="711"/>
      <c r="N72" s="712"/>
      <c r="P72" s="132"/>
      <c r="Q72" s="134"/>
      <c r="R72" s="134"/>
      <c r="S72" s="433"/>
    </row>
    <row r="73" spans="1:19" ht="38.25" customHeight="1" x14ac:dyDescent="0.3">
      <c r="A73" s="2"/>
      <c r="B73" s="672"/>
      <c r="C73" s="706"/>
      <c r="D73" s="707"/>
      <c r="E73" s="696"/>
      <c r="F73" s="958"/>
      <c r="G73" s="959"/>
      <c r="H73" s="696"/>
      <c r="I73" s="677"/>
      <c r="J73" s="880"/>
      <c r="K73" s="881"/>
      <c r="L73" s="710"/>
      <c r="M73" s="711"/>
      <c r="N73" s="712"/>
      <c r="P73" s="132"/>
      <c r="Q73" s="134"/>
      <c r="R73" s="134"/>
      <c r="S73" s="433"/>
    </row>
    <row r="74" spans="1:19" ht="38.25" customHeight="1" x14ac:dyDescent="0.4">
      <c r="A74" s="2"/>
      <c r="B74" s="672"/>
      <c r="C74" s="706"/>
      <c r="D74" s="707"/>
      <c r="E74" s="696"/>
      <c r="F74" s="958"/>
      <c r="G74" s="959"/>
      <c r="H74" s="696"/>
      <c r="I74" s="677"/>
      <c r="J74" s="880"/>
      <c r="K74" s="881"/>
      <c r="L74" s="710"/>
      <c r="M74" s="713"/>
      <c r="N74" s="712"/>
      <c r="P74" s="132"/>
      <c r="Q74" s="134"/>
      <c r="R74" s="134"/>
      <c r="S74" s="433"/>
    </row>
    <row r="75" spans="1:19" ht="38.25" customHeight="1" x14ac:dyDescent="0.3">
      <c r="A75" s="2"/>
      <c r="B75" s="672"/>
      <c r="C75" s="706"/>
      <c r="D75" s="707"/>
      <c r="E75" s="696"/>
      <c r="F75" s="958"/>
      <c r="G75" s="959"/>
      <c r="H75" s="696"/>
      <c r="I75" s="677"/>
      <c r="J75" s="880"/>
      <c r="K75" s="881"/>
      <c r="L75" s="706"/>
      <c r="M75" s="711"/>
      <c r="N75" s="712"/>
      <c r="P75" s="132"/>
      <c r="Q75" s="134"/>
      <c r="R75" s="134"/>
      <c r="S75" s="433"/>
    </row>
    <row r="76" spans="1:19" ht="38.25" customHeight="1" thickBot="1" x14ac:dyDescent="0.35">
      <c r="A76" s="2"/>
      <c r="B76" s="673"/>
      <c r="C76" s="708"/>
      <c r="D76" s="709"/>
      <c r="E76" s="699"/>
      <c r="F76" s="956"/>
      <c r="G76" s="957"/>
      <c r="H76" s="699"/>
      <c r="I76" s="677"/>
      <c r="J76" s="882"/>
      <c r="K76" s="883"/>
      <c r="L76" s="708"/>
      <c r="M76" s="714"/>
      <c r="N76" s="715"/>
      <c r="P76" s="132"/>
      <c r="Q76" s="134"/>
      <c r="R76" s="134"/>
      <c r="S76" s="433"/>
    </row>
    <row r="77" spans="1:19" ht="6.75" customHeight="1" thickBot="1" x14ac:dyDescent="0.35">
      <c r="I77" s="433"/>
      <c r="J77" s="933"/>
      <c r="K77" s="933"/>
      <c r="L77" s="933"/>
      <c r="M77" s="622"/>
      <c r="N77" s="622"/>
      <c r="P77" s="134"/>
      <c r="Q77" s="134"/>
      <c r="R77" s="134"/>
      <c r="S77" s="433"/>
    </row>
    <row r="78" spans="1:19" ht="26.25" customHeight="1" thickBot="1" x14ac:dyDescent="0.35">
      <c r="B78" s="947"/>
      <c r="C78" s="948"/>
      <c r="D78" s="948"/>
      <c r="E78" s="948"/>
      <c r="F78" s="948"/>
      <c r="G78" s="948"/>
      <c r="H78" s="949"/>
      <c r="I78" s="433"/>
      <c r="J78" s="925"/>
      <c r="K78" s="926"/>
      <c r="L78" s="926"/>
      <c r="M78" s="926"/>
      <c r="N78" s="927"/>
      <c r="P78" s="134"/>
      <c r="Q78" s="134"/>
      <c r="R78" s="134"/>
      <c r="S78" s="433"/>
    </row>
    <row r="79" spans="1:19" ht="26.25" customHeight="1" x14ac:dyDescent="0.3">
      <c r="B79" s="661"/>
      <c r="C79" s="662"/>
      <c r="D79" s="663"/>
      <c r="E79" s="945"/>
      <c r="F79" s="946"/>
      <c r="G79" s="946"/>
      <c r="H79" s="663"/>
      <c r="I79" s="433"/>
      <c r="J79" s="934"/>
      <c r="K79" s="935"/>
      <c r="L79" s="935"/>
      <c r="M79" s="664"/>
      <c r="N79" s="665"/>
      <c r="P79" s="134"/>
      <c r="Q79" s="134"/>
      <c r="R79" s="134"/>
      <c r="S79" s="433"/>
    </row>
    <row r="80" spans="1:19" ht="24" customHeight="1" x14ac:dyDescent="0.35">
      <c r="B80" s="674"/>
      <c r="C80" s="716"/>
      <c r="D80" s="717"/>
      <c r="E80" s="943"/>
      <c r="F80" s="944"/>
      <c r="G80" s="944"/>
      <c r="H80" s="717"/>
      <c r="I80" s="683"/>
      <c r="J80" s="936"/>
      <c r="K80" s="937"/>
      <c r="L80" s="938"/>
      <c r="M80" s="711"/>
      <c r="N80" s="712"/>
      <c r="P80" s="134"/>
      <c r="Q80" s="134"/>
      <c r="R80" s="134"/>
      <c r="S80" s="433"/>
    </row>
    <row r="81" spans="2:19" ht="24" customHeight="1" x14ac:dyDescent="0.35">
      <c r="B81" s="674"/>
      <c r="C81" s="716"/>
      <c r="D81" s="717"/>
      <c r="E81" s="943"/>
      <c r="F81" s="944"/>
      <c r="G81" s="944"/>
      <c r="H81" s="717"/>
      <c r="I81" s="683"/>
      <c r="J81" s="939"/>
      <c r="K81" s="940"/>
      <c r="L81" s="940"/>
      <c r="M81" s="711"/>
      <c r="N81" s="712"/>
      <c r="P81" s="134"/>
      <c r="Q81" s="134"/>
      <c r="R81" s="134"/>
      <c r="S81" s="433"/>
    </row>
    <row r="82" spans="2:19" ht="24" customHeight="1" x14ac:dyDescent="0.35">
      <c r="B82" s="674"/>
      <c r="C82" s="716"/>
      <c r="D82" s="717"/>
      <c r="E82" s="943"/>
      <c r="F82" s="944"/>
      <c r="G82" s="944"/>
      <c r="H82" s="717"/>
      <c r="I82" s="683"/>
      <c r="J82" s="939"/>
      <c r="K82" s="940"/>
      <c r="L82" s="940"/>
      <c r="M82" s="711"/>
      <c r="N82" s="712"/>
      <c r="P82" s="134"/>
      <c r="Q82" s="134"/>
      <c r="R82" s="134"/>
      <c r="S82" s="433"/>
    </row>
    <row r="83" spans="2:19" ht="24" customHeight="1" x14ac:dyDescent="0.35">
      <c r="B83" s="675"/>
      <c r="C83" s="718"/>
      <c r="D83" s="719"/>
      <c r="E83" s="943"/>
      <c r="F83" s="944"/>
      <c r="G83" s="944"/>
      <c r="H83" s="719"/>
      <c r="I83" s="683"/>
      <c r="J83" s="939"/>
      <c r="K83" s="940"/>
      <c r="L83" s="940"/>
      <c r="M83" s="722"/>
      <c r="N83" s="723"/>
      <c r="P83" s="134"/>
      <c r="Q83" s="134"/>
      <c r="R83" s="134"/>
      <c r="S83" s="433"/>
    </row>
    <row r="84" spans="2:19" ht="24" customHeight="1" x14ac:dyDescent="0.35">
      <c r="B84" s="675"/>
      <c r="C84" s="718"/>
      <c r="D84" s="719"/>
      <c r="E84" s="943"/>
      <c r="F84" s="944"/>
      <c r="G84" s="944"/>
      <c r="H84" s="719"/>
      <c r="I84" s="683"/>
      <c r="J84" s="939"/>
      <c r="K84" s="940"/>
      <c r="L84" s="940"/>
      <c r="M84" s="722"/>
      <c r="N84" s="723"/>
      <c r="P84" s="134"/>
      <c r="Q84" s="134"/>
      <c r="R84" s="134"/>
      <c r="S84" s="433"/>
    </row>
    <row r="85" spans="2:19" ht="24" customHeight="1" thickBot="1" x14ac:dyDescent="0.4">
      <c r="B85" s="676"/>
      <c r="C85" s="720"/>
      <c r="D85" s="721"/>
      <c r="E85" s="931"/>
      <c r="F85" s="932"/>
      <c r="G85" s="932"/>
      <c r="H85" s="721"/>
      <c r="I85" s="683"/>
      <c r="J85" s="941"/>
      <c r="K85" s="942"/>
      <c r="L85" s="942"/>
      <c r="M85" s="714"/>
      <c r="N85" s="715"/>
      <c r="P85" s="134"/>
      <c r="Q85" s="134"/>
      <c r="R85" s="134"/>
      <c r="S85" s="433"/>
    </row>
    <row r="86" spans="2:19" x14ac:dyDescent="0.3">
      <c r="B86" s="433"/>
      <c r="C86" s="433"/>
      <c r="D86" s="433"/>
      <c r="E86" s="433"/>
      <c r="F86" s="433"/>
      <c r="G86" s="433"/>
      <c r="H86" s="433"/>
      <c r="I86" s="433"/>
      <c r="J86" s="433"/>
      <c r="K86" s="433"/>
      <c r="L86" s="433"/>
      <c r="M86" s="433"/>
      <c r="N86" s="433"/>
      <c r="O86" s="433"/>
      <c r="P86" s="134"/>
      <c r="Q86" s="134"/>
      <c r="R86" s="134"/>
      <c r="S86" s="433"/>
    </row>
    <row r="87" spans="2:19" ht="85.5" customHeight="1" x14ac:dyDescent="0.3"/>
    <row r="91" spans="2:19" ht="93.75" customHeight="1" x14ac:dyDescent="0.3"/>
    <row r="93" spans="2:19" ht="31.2" x14ac:dyDescent="0.3">
      <c r="C93" s="1138" t="s">
        <v>564</v>
      </c>
      <c r="D93" s="1139"/>
      <c r="E93" s="1139"/>
      <c r="F93" s="1140"/>
      <c r="H93" s="1138" t="s">
        <v>564</v>
      </c>
      <c r="I93" s="1139"/>
      <c r="J93" s="1139"/>
      <c r="K93" s="1140"/>
    </row>
    <row r="94" spans="2:19" ht="32.4" customHeight="1" x14ac:dyDescent="0.3">
      <c r="C94" s="1136" t="s">
        <v>28</v>
      </c>
      <c r="D94" s="1137" t="s">
        <v>563</v>
      </c>
      <c r="E94" s="1137"/>
      <c r="F94" s="1137"/>
      <c r="H94" s="1136" t="s">
        <v>28</v>
      </c>
      <c r="I94" s="1137" t="s">
        <v>565</v>
      </c>
      <c r="J94" s="1137"/>
      <c r="K94" s="1137"/>
    </row>
    <row r="95" spans="2:19" ht="22.8" customHeight="1" x14ac:dyDescent="0.3">
      <c r="C95" s="1142">
        <v>1</v>
      </c>
      <c r="D95" s="1141"/>
      <c r="E95" s="1141"/>
      <c r="F95" s="1141"/>
      <c r="H95" s="1142">
        <v>1</v>
      </c>
      <c r="I95" s="1141"/>
      <c r="J95" s="1141"/>
      <c r="K95" s="1141"/>
    </row>
    <row r="96" spans="2:19" ht="22.8" customHeight="1" x14ac:dyDescent="0.3">
      <c r="C96" s="1142">
        <v>2</v>
      </c>
      <c r="D96" s="1141"/>
      <c r="E96" s="1141"/>
      <c r="F96" s="1141"/>
      <c r="H96" s="1142">
        <v>2</v>
      </c>
    </row>
    <row r="97" spans="3:11" ht="22.8" customHeight="1" x14ac:dyDescent="0.3">
      <c r="C97" s="1142">
        <v>3</v>
      </c>
      <c r="D97" s="1141"/>
      <c r="E97" s="1141"/>
      <c r="F97" s="1141"/>
      <c r="H97" s="1142">
        <v>3</v>
      </c>
      <c r="I97" s="1141"/>
      <c r="J97" s="1141"/>
      <c r="K97" s="1141"/>
    </row>
    <row r="98" spans="3:11" ht="22.8" customHeight="1" x14ac:dyDescent="0.3">
      <c r="C98" s="1142">
        <v>4</v>
      </c>
      <c r="D98" s="1141"/>
      <c r="E98" s="1141"/>
      <c r="F98" s="1141"/>
      <c r="H98" s="1142">
        <v>4</v>
      </c>
      <c r="I98" s="1141"/>
      <c r="J98" s="1141"/>
      <c r="K98" s="1141"/>
    </row>
    <row r="99" spans="3:11" ht="22.8" customHeight="1" x14ac:dyDescent="0.3">
      <c r="C99" s="1142"/>
      <c r="D99" s="1141"/>
      <c r="E99" s="1141"/>
      <c r="F99" s="1141"/>
      <c r="H99" s="1142"/>
      <c r="I99" s="1141"/>
      <c r="J99" s="1141"/>
      <c r="K99" s="1141"/>
    </row>
    <row r="100" spans="3:11" ht="22.8" customHeight="1" x14ac:dyDescent="0.3">
      <c r="C100" s="1142"/>
      <c r="D100" s="1141"/>
      <c r="E100" s="1141"/>
      <c r="F100" s="1141"/>
      <c r="H100" s="1142"/>
      <c r="I100" s="1141"/>
      <c r="J100" s="1141"/>
      <c r="K100" s="1141"/>
    </row>
    <row r="101" spans="3:11" ht="22.8" customHeight="1" x14ac:dyDescent="0.3">
      <c r="C101" s="1142"/>
      <c r="D101" s="1141"/>
      <c r="E101" s="1141"/>
      <c r="F101" s="1141"/>
      <c r="H101" s="1142"/>
      <c r="I101" s="1141"/>
      <c r="J101" s="1141"/>
      <c r="K101" s="1141"/>
    </row>
    <row r="102" spans="3:11" ht="22.8" customHeight="1" x14ac:dyDescent="0.3">
      <c r="C102" s="1142"/>
      <c r="D102" s="1141"/>
      <c r="E102" s="1141"/>
      <c r="F102" s="1141"/>
      <c r="H102" s="1142"/>
      <c r="I102" s="1141"/>
      <c r="J102" s="1141"/>
      <c r="K102" s="1141"/>
    </row>
    <row r="103" spans="3:11" ht="22.8" customHeight="1" x14ac:dyDescent="0.3">
      <c r="C103" s="1142"/>
      <c r="D103" s="1141"/>
      <c r="E103" s="1141"/>
      <c r="F103" s="1141"/>
      <c r="H103" s="1142"/>
      <c r="I103" s="1141"/>
      <c r="J103" s="1141"/>
      <c r="K103" s="1141"/>
    </row>
    <row r="104" spans="3:11" ht="22.8" customHeight="1" x14ac:dyDescent="0.3">
      <c r="C104" s="1142"/>
      <c r="D104" s="1141"/>
      <c r="E104" s="1141"/>
      <c r="F104" s="1141"/>
      <c r="H104" s="1142"/>
      <c r="I104" s="1141"/>
      <c r="J104" s="1141"/>
      <c r="K104" s="1141"/>
    </row>
    <row r="105" spans="3:11" ht="22.8" customHeight="1" x14ac:dyDescent="0.3">
      <c r="C105" s="1142"/>
      <c r="D105" s="1141"/>
      <c r="E105" s="1141"/>
      <c r="F105" s="1141"/>
      <c r="H105" s="1142"/>
      <c r="I105" s="1141"/>
      <c r="J105" s="1141"/>
      <c r="K105" s="1141"/>
    </row>
    <row r="106" spans="3:11" ht="22.8" customHeight="1" x14ac:dyDescent="0.3">
      <c r="C106" s="1142"/>
      <c r="D106" s="1141"/>
      <c r="E106" s="1141"/>
      <c r="F106" s="1141"/>
      <c r="H106" s="1142"/>
      <c r="I106" s="1141"/>
      <c r="J106" s="1141"/>
      <c r="K106" s="1141"/>
    </row>
    <row r="107" spans="3:11" ht="22.8" customHeight="1" x14ac:dyDescent="0.3">
      <c r="C107" s="1142"/>
      <c r="D107" s="1141"/>
      <c r="E107" s="1141"/>
      <c r="F107" s="1141"/>
      <c r="H107" s="1142"/>
      <c r="I107" s="1141"/>
      <c r="J107" s="1141"/>
      <c r="K107" s="1141"/>
    </row>
    <row r="108" spans="3:11" ht="22.8" customHeight="1" x14ac:dyDescent="0.3">
      <c r="C108" s="1142"/>
      <c r="D108" s="1141"/>
      <c r="E108" s="1141"/>
      <c r="F108" s="1141"/>
      <c r="H108" s="1142"/>
      <c r="I108" s="1141"/>
      <c r="J108" s="1141"/>
      <c r="K108" s="1141"/>
    </row>
    <row r="109" spans="3:11" ht="22.8" customHeight="1" x14ac:dyDescent="0.3">
      <c r="C109" s="1142"/>
      <c r="D109" s="1141"/>
      <c r="E109" s="1141"/>
      <c r="F109" s="1141"/>
      <c r="H109" s="1142"/>
      <c r="I109" s="1141"/>
      <c r="J109" s="1141"/>
      <c r="K109" s="1141"/>
    </row>
    <row r="110" spans="3:11" ht="22.8" customHeight="1" x14ac:dyDescent="0.3">
      <c r="C110" s="1142"/>
      <c r="D110" s="1141"/>
      <c r="E110" s="1141"/>
      <c r="F110" s="1141"/>
      <c r="H110" s="1142"/>
      <c r="I110" s="1141"/>
      <c r="J110" s="1141"/>
      <c r="K110" s="1141"/>
    </row>
    <row r="111" spans="3:11" ht="22.8" customHeight="1" x14ac:dyDescent="0.3">
      <c r="C111" s="1142"/>
      <c r="D111" s="1141"/>
      <c r="E111" s="1141"/>
      <c r="F111" s="1141"/>
      <c r="H111" s="1142"/>
      <c r="I111" s="1141"/>
      <c r="J111" s="1141"/>
      <c r="K111" s="1141"/>
    </row>
    <row r="112" spans="3:11" ht="22.8" customHeight="1" x14ac:dyDescent="0.3">
      <c r="C112" s="1142"/>
      <c r="D112" s="1141"/>
      <c r="E112" s="1141"/>
      <c r="F112" s="1141"/>
      <c r="H112" s="1142"/>
      <c r="I112" s="1141"/>
      <c r="J112" s="1141"/>
      <c r="K112" s="1141"/>
    </row>
    <row r="113" spans="3:11" ht="22.8" customHeight="1" x14ac:dyDescent="0.3">
      <c r="C113" s="1142"/>
      <c r="D113" s="1141"/>
      <c r="E113" s="1141"/>
      <c r="F113" s="1141"/>
      <c r="H113" s="1142"/>
      <c r="I113" s="1141"/>
      <c r="J113" s="1141"/>
      <c r="K113" s="1141"/>
    </row>
    <row r="114" spans="3:11" ht="22.8" customHeight="1" x14ac:dyDescent="0.3">
      <c r="C114" s="1142"/>
      <c r="D114" s="1141"/>
      <c r="E114" s="1141"/>
      <c r="F114" s="1141"/>
      <c r="H114" s="1142"/>
      <c r="I114" s="1141"/>
      <c r="J114" s="1141"/>
      <c r="K114" s="1141"/>
    </row>
    <row r="115" spans="3:11" ht="22.8" customHeight="1" x14ac:dyDescent="0.3">
      <c r="C115" s="1142"/>
      <c r="D115" s="1141"/>
      <c r="E115" s="1141"/>
      <c r="F115" s="1141"/>
      <c r="H115" s="1142"/>
      <c r="I115" s="1141"/>
      <c r="J115" s="1141"/>
      <c r="K115" s="1141"/>
    </row>
    <row r="116" spans="3:11" ht="22.8" customHeight="1" x14ac:dyDescent="0.3">
      <c r="C116" s="1142"/>
      <c r="D116" s="1141"/>
      <c r="E116" s="1141"/>
      <c r="F116" s="1141"/>
      <c r="H116" s="1142"/>
      <c r="I116" s="1141"/>
      <c r="J116" s="1141"/>
      <c r="K116" s="1141"/>
    </row>
    <row r="117" spans="3:11" ht="22.8" customHeight="1" x14ac:dyDescent="0.3">
      <c r="C117" s="1142"/>
      <c r="D117" s="1141"/>
      <c r="E117" s="1141"/>
      <c r="F117" s="1141"/>
      <c r="H117" s="1142"/>
      <c r="I117" s="1141"/>
      <c r="J117" s="1141"/>
      <c r="K117" s="1141"/>
    </row>
    <row r="118" spans="3:11" ht="22.8" customHeight="1" x14ac:dyDescent="0.3">
      <c r="C118" s="1142"/>
      <c r="D118" s="1141"/>
      <c r="E118" s="1141"/>
      <c r="F118" s="1141"/>
      <c r="H118" s="1142"/>
      <c r="I118" s="1141"/>
      <c r="J118" s="1141"/>
      <c r="K118" s="1141"/>
    </row>
    <row r="119" spans="3:11" ht="22.8" customHeight="1" x14ac:dyDescent="0.3">
      <c r="C119" s="1142"/>
      <c r="D119" s="1141"/>
      <c r="E119" s="1141"/>
      <c r="F119" s="1141"/>
      <c r="H119" s="1142"/>
      <c r="I119" s="1141"/>
      <c r="J119" s="1141"/>
      <c r="K119" s="1141"/>
    </row>
    <row r="120" spans="3:11" ht="22.8" customHeight="1" x14ac:dyDescent="0.3">
      <c r="C120" s="1142"/>
      <c r="D120" s="1141"/>
      <c r="E120" s="1141"/>
      <c r="F120" s="1141"/>
      <c r="H120" s="1142"/>
      <c r="I120" s="1141"/>
      <c r="J120" s="1141"/>
      <c r="K120" s="1141"/>
    </row>
    <row r="121" spans="3:11" ht="22.8" customHeight="1" x14ac:dyDescent="0.3">
      <c r="C121" s="1142"/>
      <c r="D121" s="1141"/>
      <c r="E121" s="1141"/>
      <c r="F121" s="1141"/>
      <c r="H121" s="1142"/>
      <c r="I121" s="1141"/>
      <c r="J121" s="1141"/>
      <c r="K121" s="1141"/>
    </row>
    <row r="122" spans="3:11" ht="22.8" customHeight="1" x14ac:dyDescent="0.3">
      <c r="C122" s="1142"/>
      <c r="D122" s="1141"/>
      <c r="E122" s="1141"/>
      <c r="F122" s="1141"/>
      <c r="H122" s="1142"/>
      <c r="I122" s="1141"/>
      <c r="J122" s="1141"/>
      <c r="K122" s="1141"/>
    </row>
    <row r="123" spans="3:11" ht="22.8" customHeight="1" x14ac:dyDescent="0.3">
      <c r="C123" s="1142"/>
      <c r="D123" s="1141"/>
      <c r="E123" s="1141"/>
      <c r="F123" s="1141"/>
      <c r="H123" s="1142"/>
      <c r="I123" s="1141"/>
      <c r="J123" s="1141"/>
      <c r="K123" s="1141"/>
    </row>
    <row r="124" spans="3:11" ht="22.8" customHeight="1" x14ac:dyDescent="0.3">
      <c r="C124" s="1142"/>
      <c r="D124" s="1141"/>
      <c r="E124" s="1141"/>
      <c r="F124" s="1141"/>
      <c r="H124" s="1142"/>
      <c r="I124" s="1141"/>
      <c r="J124" s="1141"/>
      <c r="K124" s="1141"/>
    </row>
    <row r="125" spans="3:11" ht="22.8" customHeight="1" x14ac:dyDescent="0.3">
      <c r="C125" s="1142"/>
      <c r="D125" s="1141"/>
      <c r="E125" s="1141"/>
      <c r="F125" s="1141"/>
      <c r="H125" s="1142"/>
      <c r="I125" s="1141"/>
      <c r="J125" s="1141"/>
      <c r="K125" s="1141"/>
    </row>
    <row r="126" spans="3:11" ht="22.8" customHeight="1" x14ac:dyDescent="0.3">
      <c r="C126" s="1142"/>
      <c r="D126" s="1141"/>
      <c r="E126" s="1141"/>
      <c r="F126" s="1141"/>
      <c r="H126" s="1142"/>
      <c r="I126" s="1141"/>
      <c r="J126" s="1141"/>
      <c r="K126" s="1141"/>
    </row>
    <row r="127" spans="3:11" ht="22.8" customHeight="1" x14ac:dyDescent="0.3">
      <c r="C127" s="1142"/>
      <c r="D127" s="1141"/>
      <c r="E127" s="1141"/>
      <c r="F127" s="1141"/>
      <c r="H127" s="1142"/>
      <c r="I127" s="1141"/>
      <c r="J127" s="1141"/>
      <c r="K127" s="1141"/>
    </row>
    <row r="128" spans="3:11" ht="22.8" customHeight="1" x14ac:dyDescent="0.3">
      <c r="C128" s="1142"/>
      <c r="D128" s="1141"/>
      <c r="E128" s="1141"/>
      <c r="F128" s="1141"/>
      <c r="H128" s="1142"/>
      <c r="I128" s="1141"/>
      <c r="J128" s="1141"/>
      <c r="K128" s="1141"/>
    </row>
    <row r="129" spans="3:11" ht="22.8" customHeight="1" x14ac:dyDescent="0.3">
      <c r="C129" s="1142"/>
      <c r="D129" s="1141"/>
      <c r="E129" s="1141"/>
      <c r="F129" s="1141"/>
      <c r="H129" s="1142"/>
      <c r="I129" s="1141"/>
      <c r="J129" s="1141"/>
      <c r="K129" s="1141"/>
    </row>
    <row r="130" spans="3:11" ht="22.8" customHeight="1" x14ac:dyDescent="0.3">
      <c r="C130" s="1142"/>
      <c r="D130" s="1141"/>
      <c r="E130" s="1141"/>
      <c r="F130" s="1141"/>
      <c r="H130" s="1142"/>
      <c r="I130" s="1141"/>
      <c r="J130" s="1141"/>
      <c r="K130" s="1141"/>
    </row>
    <row r="131" spans="3:11" ht="22.8" customHeight="1" x14ac:dyDescent="0.3">
      <c r="C131" s="1142"/>
      <c r="D131" s="1141"/>
      <c r="E131" s="1141"/>
      <c r="F131" s="1141"/>
      <c r="H131" s="1142"/>
      <c r="I131" s="1141"/>
      <c r="J131" s="1141"/>
      <c r="K131" s="1141"/>
    </row>
    <row r="132" spans="3:11" ht="22.8" customHeight="1" x14ac:dyDescent="0.3">
      <c r="C132" s="1142"/>
      <c r="D132" s="1141"/>
      <c r="E132" s="1141"/>
      <c r="F132" s="1141"/>
      <c r="H132" s="1142"/>
      <c r="I132" s="1141"/>
      <c r="J132" s="1141"/>
      <c r="K132" s="1141"/>
    </row>
    <row r="133" spans="3:11" ht="22.8" customHeight="1" x14ac:dyDescent="0.3">
      <c r="C133" s="1142"/>
      <c r="D133" s="1141"/>
      <c r="E133" s="1141"/>
      <c r="F133" s="1141"/>
      <c r="H133" s="1142"/>
      <c r="I133" s="1141"/>
      <c r="J133" s="1141"/>
      <c r="K133" s="1141"/>
    </row>
    <row r="134" spans="3:11" ht="22.8" customHeight="1" x14ac:dyDescent="0.3">
      <c r="C134" s="1142"/>
      <c r="D134" s="1141"/>
      <c r="E134" s="1141"/>
      <c r="F134" s="1141"/>
      <c r="H134" s="1142"/>
      <c r="I134" s="1141"/>
      <c r="J134" s="1141"/>
      <c r="K134" s="1141"/>
    </row>
    <row r="135" spans="3:11" ht="22.8" customHeight="1" x14ac:dyDescent="0.3">
      <c r="C135" s="1142"/>
      <c r="D135" s="1141"/>
      <c r="E135" s="1141"/>
      <c r="F135" s="1141"/>
      <c r="H135" s="1142"/>
      <c r="I135" s="1141"/>
      <c r="J135" s="1141"/>
      <c r="K135" s="1141"/>
    </row>
    <row r="136" spans="3:11" ht="22.8" customHeight="1" x14ac:dyDescent="0.3">
      <c r="C136" s="1142"/>
      <c r="D136" s="1141"/>
      <c r="E136" s="1141"/>
      <c r="F136" s="1141"/>
      <c r="H136" s="1142"/>
      <c r="I136" s="1141"/>
      <c r="J136" s="1141"/>
      <c r="K136" s="1141"/>
    </row>
    <row r="137" spans="3:11" ht="22.8" customHeight="1" x14ac:dyDescent="0.3">
      <c r="C137" s="1142"/>
      <c r="D137" s="1141"/>
      <c r="E137" s="1141"/>
      <c r="F137" s="1141"/>
      <c r="H137" s="1142"/>
      <c r="I137" s="1141"/>
      <c r="J137" s="1141"/>
      <c r="K137" s="1141"/>
    </row>
    <row r="138" spans="3:11" ht="22.8" customHeight="1" x14ac:dyDescent="0.3">
      <c r="C138" s="1142"/>
      <c r="D138" s="1141"/>
      <c r="E138" s="1141"/>
      <c r="F138" s="1141"/>
      <c r="H138" s="1142"/>
      <c r="I138" s="1141"/>
      <c r="J138" s="1141"/>
      <c r="K138" s="1141"/>
    </row>
    <row r="139" spans="3:11" x14ac:dyDescent="0.3">
      <c r="C139" s="732"/>
      <c r="D139" s="732"/>
      <c r="E139" s="732"/>
      <c r="F139" s="732"/>
    </row>
    <row r="140" spans="3:11" x14ac:dyDescent="0.3">
      <c r="C140" s="732"/>
      <c r="D140" s="732"/>
      <c r="E140" s="732"/>
      <c r="F140" s="732"/>
    </row>
  </sheetData>
  <mergeCells count="174">
    <mergeCell ref="I23:N23"/>
    <mergeCell ref="I24:N24"/>
    <mergeCell ref="I25:N25"/>
    <mergeCell ref="I26:N26"/>
    <mergeCell ref="I27:N27"/>
    <mergeCell ref="I28:N28"/>
    <mergeCell ref="C28:E28"/>
    <mergeCell ref="I14:N14"/>
    <mergeCell ref="I15:N15"/>
    <mergeCell ref="I16:N16"/>
    <mergeCell ref="I17:N17"/>
    <mergeCell ref="I18:N18"/>
    <mergeCell ref="I19:N19"/>
    <mergeCell ref="I20:N20"/>
    <mergeCell ref="I21:N21"/>
    <mergeCell ref="I22:N22"/>
    <mergeCell ref="C22:E22"/>
    <mergeCell ref="C23:E23"/>
    <mergeCell ref="C24:E24"/>
    <mergeCell ref="C25:E25"/>
    <mergeCell ref="C26:E26"/>
    <mergeCell ref="C27:E27"/>
    <mergeCell ref="I137:K137"/>
    <mergeCell ref="I138:K138"/>
    <mergeCell ref="I13:N13"/>
    <mergeCell ref="C13:E13"/>
    <mergeCell ref="C14:E14"/>
    <mergeCell ref="C15:E15"/>
    <mergeCell ref="C16:E16"/>
    <mergeCell ref="C17:E17"/>
    <mergeCell ref="C18:E18"/>
    <mergeCell ref="I131:K131"/>
    <mergeCell ref="I132:K132"/>
    <mergeCell ref="I133:K133"/>
    <mergeCell ref="I134:K134"/>
    <mergeCell ref="I135:K135"/>
    <mergeCell ref="I136:K136"/>
    <mergeCell ref="I125:K125"/>
    <mergeCell ref="I126:K126"/>
    <mergeCell ref="I127:K127"/>
    <mergeCell ref="I128:K128"/>
    <mergeCell ref="I129:K129"/>
    <mergeCell ref="I130:K130"/>
    <mergeCell ref="I119:K119"/>
    <mergeCell ref="I120:K120"/>
    <mergeCell ref="I121:K121"/>
    <mergeCell ref="I122:K122"/>
    <mergeCell ref="I123:K123"/>
    <mergeCell ref="I124:K124"/>
    <mergeCell ref="I113:K113"/>
    <mergeCell ref="I114:K114"/>
    <mergeCell ref="I115:K115"/>
    <mergeCell ref="I116:K116"/>
    <mergeCell ref="I117:K117"/>
    <mergeCell ref="I118:K118"/>
    <mergeCell ref="I107:K107"/>
    <mergeCell ref="I108:K108"/>
    <mergeCell ref="I109:K109"/>
    <mergeCell ref="I110:K110"/>
    <mergeCell ref="I111:K111"/>
    <mergeCell ref="I112:K112"/>
    <mergeCell ref="I101:K101"/>
    <mergeCell ref="I102:K102"/>
    <mergeCell ref="I103:K103"/>
    <mergeCell ref="I104:K104"/>
    <mergeCell ref="I105:K105"/>
    <mergeCell ref="I106:K106"/>
    <mergeCell ref="D138:F138"/>
    <mergeCell ref="C93:F93"/>
    <mergeCell ref="H93:K93"/>
    <mergeCell ref="I94:K94"/>
    <mergeCell ref="I95:K95"/>
    <mergeCell ref="I97:K97"/>
    <mergeCell ref="I98:K98"/>
    <mergeCell ref="I99:K99"/>
    <mergeCell ref="I100:K100"/>
    <mergeCell ref="D132:F132"/>
    <mergeCell ref="D133:F133"/>
    <mergeCell ref="D134:F134"/>
    <mergeCell ref="D135:F135"/>
    <mergeCell ref="D136:F136"/>
    <mergeCell ref="D137:F137"/>
    <mergeCell ref="D126:F126"/>
    <mergeCell ref="D127:F127"/>
    <mergeCell ref="D128:F128"/>
    <mergeCell ref="D129:F129"/>
    <mergeCell ref="D130:F130"/>
    <mergeCell ref="D131:F131"/>
    <mergeCell ref="D120:F120"/>
    <mergeCell ref="D121:F121"/>
    <mergeCell ref="D122:F122"/>
    <mergeCell ref="D123:F123"/>
    <mergeCell ref="D124:F124"/>
    <mergeCell ref="D125:F125"/>
    <mergeCell ref="D114:F114"/>
    <mergeCell ref="D115:F115"/>
    <mergeCell ref="D116:F116"/>
    <mergeCell ref="D117:F117"/>
    <mergeCell ref="D118:F118"/>
    <mergeCell ref="D119:F119"/>
    <mergeCell ref="D108:F108"/>
    <mergeCell ref="D109:F109"/>
    <mergeCell ref="D110:F110"/>
    <mergeCell ref="D111:F111"/>
    <mergeCell ref="D112:F112"/>
    <mergeCell ref="D113:F113"/>
    <mergeCell ref="D102:F102"/>
    <mergeCell ref="D103:F103"/>
    <mergeCell ref="D104:F104"/>
    <mergeCell ref="D105:F105"/>
    <mergeCell ref="D106:F106"/>
    <mergeCell ref="D107:F107"/>
    <mergeCell ref="D95:F95"/>
    <mergeCell ref="D96:F96"/>
    <mergeCell ref="D97:F97"/>
    <mergeCell ref="D101:F101"/>
    <mergeCell ref="D98:F98"/>
    <mergeCell ref="D99:F99"/>
    <mergeCell ref="D100:F100"/>
    <mergeCell ref="E84:G84"/>
    <mergeCell ref="J84:L84"/>
    <mergeCell ref="E85:G85"/>
    <mergeCell ref="J85:L85"/>
    <mergeCell ref="D94:F94"/>
    <mergeCell ref="E81:G81"/>
    <mergeCell ref="J81:L81"/>
    <mergeCell ref="E82:G82"/>
    <mergeCell ref="J82:L82"/>
    <mergeCell ref="E83:G83"/>
    <mergeCell ref="J83:L83"/>
    <mergeCell ref="J77:L77"/>
    <mergeCell ref="B78:H78"/>
    <mergeCell ref="J78:N78"/>
    <mergeCell ref="E79:G79"/>
    <mergeCell ref="J79:L79"/>
    <mergeCell ref="E80:G80"/>
    <mergeCell ref="J80:L80"/>
    <mergeCell ref="F74:G74"/>
    <mergeCell ref="J74:K74"/>
    <mergeCell ref="F75:G75"/>
    <mergeCell ref="J75:K75"/>
    <mergeCell ref="F76:G76"/>
    <mergeCell ref="J76:K76"/>
    <mergeCell ref="F71:G71"/>
    <mergeCell ref="J71:K71"/>
    <mergeCell ref="F72:G72"/>
    <mergeCell ref="J72:K72"/>
    <mergeCell ref="F73:G73"/>
    <mergeCell ref="J73:K73"/>
    <mergeCell ref="B41:E41"/>
    <mergeCell ref="F41:H41"/>
    <mergeCell ref="J41:L41"/>
    <mergeCell ref="M41:N41"/>
    <mergeCell ref="B68:C68"/>
    <mergeCell ref="B70:E70"/>
    <mergeCell ref="F70:H70"/>
    <mergeCell ref="J70:N70"/>
    <mergeCell ref="C19:E19"/>
    <mergeCell ref="C20:E20"/>
    <mergeCell ref="C21:E21"/>
    <mergeCell ref="B9:C9"/>
    <mergeCell ref="D9:H9"/>
    <mergeCell ref="J9:K9"/>
    <mergeCell ref="L9:N9"/>
    <mergeCell ref="B10:C10"/>
    <mergeCell ref="D10:H10"/>
    <mergeCell ref="J10:K10"/>
    <mergeCell ref="L10:N10"/>
    <mergeCell ref="B5:N5"/>
    <mergeCell ref="B6:N6"/>
    <mergeCell ref="B8:C8"/>
    <mergeCell ref="D8:H8"/>
    <mergeCell ref="J8:K8"/>
    <mergeCell ref="L8:N8"/>
  </mergeCells>
  <conditionalFormatting sqref="A5:B6 I70:J76 H71:H76">
    <cfRule type="cellIs" dxfId="67" priority="17" stopIfTrue="1" operator="equal">
      <formula>0</formula>
    </cfRule>
  </conditionalFormatting>
  <conditionalFormatting sqref="B41:B68">
    <cfRule type="cellIs" dxfId="66" priority="14" stopIfTrue="1" operator="equal">
      <formula>0</formula>
    </cfRule>
  </conditionalFormatting>
  <conditionalFormatting sqref="A70:B76">
    <cfRule type="cellIs" dxfId="65" priority="19" stopIfTrue="1" operator="equal">
      <formula>0</formula>
    </cfRule>
  </conditionalFormatting>
  <conditionalFormatting sqref="A1:P4 I7:I10 L10 A11:C11 B40:N40 C42:C67 A69:N69">
    <cfRule type="cellIs" dxfId="64" priority="25" stopIfTrue="1" operator="equal">
      <formula>0</formula>
    </cfRule>
  </conditionalFormatting>
  <conditionalFormatting sqref="B8:B10">
    <cfRule type="cellIs" dxfId="63" priority="7" stopIfTrue="1" operator="equal">
      <formula>0</formula>
    </cfRule>
  </conditionalFormatting>
  <conditionalFormatting sqref="B7:C7">
    <cfRule type="cellIs" dxfId="61" priority="10" stopIfTrue="1" operator="equal">
      <formula>0</formula>
    </cfRule>
  </conditionalFormatting>
  <conditionalFormatting sqref="C71:F76">
    <cfRule type="cellIs" dxfId="60" priority="18" stopIfTrue="1" operator="equal">
      <formula>0</formula>
    </cfRule>
  </conditionalFormatting>
  <conditionalFormatting sqref="D7:D11">
    <cfRule type="cellIs" dxfId="59" priority="6" stopIfTrue="1" operator="equal">
      <formula>0</formula>
    </cfRule>
  </conditionalFormatting>
  <conditionalFormatting sqref="D42:D68">
    <cfRule type="cellIs" dxfId="58" priority="15" stopIfTrue="1" operator="equal">
      <formula>0</formula>
    </cfRule>
  </conditionalFormatting>
  <conditionalFormatting sqref="E68:F68">
    <cfRule type="cellIs" dxfId="56" priority="12" stopIfTrue="1" operator="equal">
      <formula>0</formula>
    </cfRule>
  </conditionalFormatting>
  <conditionalFormatting sqref="E42:G67">
    <cfRule type="cellIs" dxfId="55" priority="13" stopIfTrue="1" operator="equal">
      <formula>0</formula>
    </cfRule>
  </conditionalFormatting>
  <conditionalFormatting sqref="E7:K7">
    <cfRule type="cellIs" dxfId="54" priority="9" stopIfTrue="1" operator="equal">
      <formula>0</formula>
    </cfRule>
  </conditionalFormatting>
  <conditionalFormatting sqref="E11:P11">
    <cfRule type="cellIs" dxfId="53" priority="23" stopIfTrue="1" operator="equal">
      <formula>0</formula>
    </cfRule>
  </conditionalFormatting>
  <conditionalFormatting sqref="F41">
    <cfRule type="cellIs" dxfId="52" priority="21" stopIfTrue="1" operator="equal">
      <formula>0</formula>
    </cfRule>
  </conditionalFormatting>
  <conditionalFormatting sqref="H42:N68">
    <cfRule type="cellIs" dxfId="51" priority="3" stopIfTrue="1" operator="equal">
      <formula>0</formula>
    </cfRule>
  </conditionalFormatting>
  <conditionalFormatting sqref="I41:J41">
    <cfRule type="cellIs" dxfId="49" priority="20" stopIfTrue="1" operator="equal">
      <formula>0</formula>
    </cfRule>
  </conditionalFormatting>
  <conditionalFormatting sqref="J8:J10">
    <cfRule type="cellIs" dxfId="48" priority="8" stopIfTrue="1" operator="equal">
      <formula>0</formula>
    </cfRule>
  </conditionalFormatting>
  <conditionalFormatting sqref="J77:J85">
    <cfRule type="cellIs" dxfId="47" priority="2" stopIfTrue="1" operator="equal">
      <formula>0</formula>
    </cfRule>
  </conditionalFormatting>
  <conditionalFormatting sqref="M71:N73 N74">
    <cfRule type="cellIs" dxfId="46" priority="4" stopIfTrue="1" operator="equal">
      <formula>0</formula>
    </cfRule>
  </conditionalFormatting>
  <conditionalFormatting sqref="M75:N85">
    <cfRule type="cellIs" dxfId="45" priority="1" stopIfTrue="1" operator="equal">
      <formula>0</formula>
    </cfRule>
  </conditionalFormatting>
  <conditionalFormatting sqref="P5:P10 A7:A10">
    <cfRule type="cellIs" dxfId="44" priority="11" stopIfTrue="1" operator="equal">
      <formula>0</formula>
    </cfRule>
  </conditionalFormatting>
  <conditionalFormatting sqref="P12:P76">
    <cfRule type="cellIs" dxfId="43" priority="16" stopIfTrue="1" operator="equal">
      <formula>0</formula>
    </cfRule>
  </conditionalFormatting>
  <dataValidations count="8">
    <dataValidation type="list" allowBlank="1" showInputMessage="1" showErrorMessage="1" sqref="N72:N74" xr:uid="{D96D99C3-0F5F-45E8-9A40-53B5B3D198F1}">
      <formula1>OFFSET($F$94,,,COUNTIF($F$94:$F$108,"&lt;&gt;"))</formula1>
    </dataValidation>
    <dataValidation type="list" allowBlank="1" showInputMessage="1" showErrorMessage="1" sqref="L72:L74" xr:uid="{6A0EBDA8-21FE-4035-97BF-EBBF1DD0A064}">
      <formula1>"IO,RTS"</formula1>
    </dataValidation>
    <dataValidation type="list" allowBlank="1" showInputMessage="1" showErrorMessage="1" sqref="E80:G85" xr:uid="{95351567-6419-4B4F-B259-EFCCC1B36B9F}">
      <formula1>$C$104:$C$138</formula1>
    </dataValidation>
    <dataValidation type="list" allowBlank="1" showInputMessage="1" showErrorMessage="1" sqref="D72:D76" xr:uid="{F8E19F79-EF68-4D57-B848-B11E9DF28857}">
      <formula1>"6 N,8 N,10 N,15 N,20 N,30 N,40 N,50 N,60 N,65 N,80 N,85 N,100 N,120 N,150 N,200 N,250 N"</formula1>
    </dataValidation>
    <dataValidation type="list" allowBlank="1" showInputMessage="1" showErrorMessage="1" sqref="L43:L68" xr:uid="{7F4DCD77-450A-4968-BEA9-BB94B791D689}">
      <formula1>"شفط بلاستك,بنز بلاستك,صاج 6سم عادي,صاج 6سم أحمال,ألمنيوم 7سم"</formula1>
    </dataValidation>
    <dataValidation type="list" allowBlank="1" showInputMessage="1" showErrorMessage="1" sqref="B41:E41" xr:uid="{DBE12C9B-4BC7-4DF0-86FE-AE599B03651A}">
      <formula1>$T$41:$T$44</formula1>
    </dataValidation>
    <dataValidation type="list" allowBlank="1" showInputMessage="1" showErrorMessage="1" sqref="C80:C85" xr:uid="{64DC5E1F-A9D4-4D26-8731-B87B37ADA229}">
      <formula1>$C$95:$C$102</formula1>
    </dataValidation>
    <dataValidation type="list" allowBlank="1" showInputMessage="1" showErrorMessage="1" sqref="J80:L85" xr:uid="{A742463D-EC51-4536-B7EA-A37AA276E736}">
      <formula1>OFFSET(#REF!,,,COUNTIF($D$95:$D$103,"&lt;&gt;"))</formula1>
    </dataValidation>
  </dataValidations>
  <printOptions horizontalCentered="1"/>
  <pageMargins left="0.1" right="0.1" top="0.1" bottom="0" header="0" footer="0"/>
  <pageSetup paperSize="9" scale="49" orientation="portrait" r:id="rId1"/>
  <headerFooter>
    <oddHeader>&amp;C
       &amp;G</oddHeader>
  </headerFooter>
  <colBreaks count="1" manualBreakCount="1">
    <brk id="14" max="1048575" man="1"/>
  </colBreaks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8AC36A-A0E9-4F92-B7DA-D4D9B659F065}">
          <x14:formula1>
            <xm:f>'طلب التصنيع'!$CH$16:$CH$39</xm:f>
          </x14:formula1>
          <xm:sqref>F14:F28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7" tint="-0.249977111117893"/>
  </sheetPr>
  <dimension ref="A1:S89"/>
  <sheetViews>
    <sheetView rightToLeft="1" zoomScaleNormal="100" zoomScaleSheetLayoutView="115" workbookViewId="0">
      <selection activeCell="C13" sqref="C13"/>
    </sheetView>
  </sheetViews>
  <sheetFormatPr defaultColWidth="9" defaultRowHeight="14.4" x14ac:dyDescent="0.3"/>
  <cols>
    <col min="1" max="1" width="0.109375" customWidth="1"/>
    <col min="2" max="2" width="5.33203125" customWidth="1"/>
    <col min="3" max="3" width="9.88671875" customWidth="1"/>
    <col min="4" max="4" width="8.88671875" customWidth="1"/>
    <col min="5" max="5" width="9.88671875" customWidth="1"/>
    <col min="6" max="6" width="7.44140625" customWidth="1"/>
    <col min="7" max="7" width="8" customWidth="1"/>
    <col min="8" max="8" width="7.6640625" customWidth="1"/>
    <col min="9" max="9" width="1" customWidth="1"/>
    <col min="10" max="10" width="8.88671875" customWidth="1"/>
    <col min="11" max="11" width="9.109375" bestFit="1" customWidth="1"/>
    <col min="12" max="12" width="7.88671875" customWidth="1"/>
    <col min="13" max="13" width="7.6640625" customWidth="1"/>
    <col min="14" max="14" width="6.44140625" customWidth="1"/>
    <col min="15" max="15" width="0.88671875" style="121" customWidth="1"/>
    <col min="16" max="16" width="14.5546875" style="121" hidden="1" customWidth="1"/>
    <col min="17" max="17" width="9" style="121" hidden="1" customWidth="1"/>
    <col min="18" max="18" width="9" customWidth="1"/>
    <col min="19" max="19" width="9" hidden="1" customWidth="1"/>
    <col min="20" max="21" width="0" hidden="1" customWidth="1"/>
  </cols>
  <sheetData>
    <row r="1" spans="1:17" ht="2.25" customHeight="1" x14ac:dyDescent="0.3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0"/>
    </row>
    <row r="2" spans="1:17" ht="18" hidden="1" customHeight="1" x14ac:dyDescent="0.3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0"/>
    </row>
    <row r="3" spans="1:17" ht="18" hidden="1" customHeight="1" x14ac:dyDescent="0.3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0"/>
    </row>
    <row r="4" spans="1:17" ht="3.75" customHeight="1" x14ac:dyDescent="0.3">
      <c r="A4" s="122"/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0"/>
    </row>
    <row r="5" spans="1:17" ht="27.75" customHeight="1" x14ac:dyDescent="0.3">
      <c r="A5" s="122"/>
      <c r="B5" s="884" t="s">
        <v>223</v>
      </c>
      <c r="C5" s="884"/>
      <c r="D5" s="884"/>
      <c r="E5" s="884"/>
      <c r="F5" s="884"/>
      <c r="G5" s="884"/>
      <c r="H5" s="884"/>
      <c r="I5" s="884"/>
      <c r="J5" s="884"/>
      <c r="K5" s="884"/>
      <c r="L5" s="884"/>
      <c r="M5" s="884"/>
      <c r="N5" s="884"/>
      <c r="O5" s="120"/>
    </row>
    <row r="6" spans="1:17" ht="20.25" customHeight="1" x14ac:dyDescent="0.3">
      <c r="A6" s="122"/>
      <c r="B6" s="885" t="s">
        <v>154</v>
      </c>
      <c r="C6" s="885"/>
      <c r="D6" s="885"/>
      <c r="E6" s="885"/>
      <c r="F6" s="885"/>
      <c r="G6" s="885"/>
      <c r="H6" s="885"/>
      <c r="I6" s="885"/>
      <c r="J6" s="885"/>
      <c r="K6" s="885"/>
      <c r="L6" s="885"/>
      <c r="M6" s="885"/>
      <c r="N6" s="885"/>
      <c r="O6" s="120"/>
    </row>
    <row r="7" spans="1:17" ht="11.25" customHeight="1" thickBot="1" x14ac:dyDescent="0.35">
      <c r="A7" s="123"/>
      <c r="B7" s="124"/>
      <c r="C7" s="124"/>
      <c r="D7" s="124"/>
      <c r="E7" s="124"/>
      <c r="F7" s="124"/>
      <c r="G7" s="124"/>
      <c r="H7" s="124"/>
      <c r="I7" s="124"/>
      <c r="J7" s="124"/>
      <c r="K7" s="124"/>
      <c r="M7" s="125"/>
      <c r="N7" s="125"/>
      <c r="O7" s="126"/>
    </row>
    <row r="8" spans="1:17" ht="20.100000000000001" customHeight="1" x14ac:dyDescent="0.3">
      <c r="A8" s="122"/>
      <c r="B8" s="1001" t="s">
        <v>118</v>
      </c>
      <c r="C8" s="1002"/>
      <c r="D8" s="1003">
        <f>'عرض السعر'!$F$8</f>
        <v>0</v>
      </c>
      <c r="E8" s="1003"/>
      <c r="F8" s="1003"/>
      <c r="G8" s="1003"/>
      <c r="H8" s="1004"/>
      <c r="I8" s="124"/>
      <c r="J8" s="138" t="s">
        <v>185</v>
      </c>
      <c r="K8" s="136"/>
      <c r="L8" s="1005">
        <f>'مقاسات الطلب'!L8:N8</f>
        <v>0</v>
      </c>
      <c r="M8" s="1005"/>
      <c r="N8" s="1006"/>
      <c r="O8" s="120"/>
    </row>
    <row r="9" spans="1:17" ht="20.100000000000001" customHeight="1" x14ac:dyDescent="0.3">
      <c r="A9" s="123"/>
      <c r="B9" s="995" t="s">
        <v>152</v>
      </c>
      <c r="C9" s="996"/>
      <c r="D9" s="997">
        <f>'عرض السعر'!$F$9</f>
        <v>0</v>
      </c>
      <c r="E9" s="997"/>
      <c r="F9" s="997"/>
      <c r="G9" s="997"/>
      <c r="H9" s="998"/>
      <c r="I9" s="124"/>
      <c r="J9" s="139" t="s">
        <v>186</v>
      </c>
      <c r="K9" s="137"/>
      <c r="L9" s="999">
        <f>'عرض السعر'!N9</f>
        <v>0</v>
      </c>
      <c r="M9" s="999"/>
      <c r="N9" s="1000"/>
      <c r="O9" s="126"/>
    </row>
    <row r="10" spans="1:17" ht="20.100000000000001" customHeight="1" thickBot="1" x14ac:dyDescent="0.35">
      <c r="A10" s="123"/>
      <c r="B10" s="982" t="s">
        <v>184</v>
      </c>
      <c r="C10" s="983"/>
      <c r="D10" s="984">
        <f>'عرض السعر'!$F$106</f>
        <v>0</v>
      </c>
      <c r="E10" s="985"/>
      <c r="F10" s="985"/>
      <c r="G10" s="985"/>
      <c r="H10" s="986"/>
      <c r="I10" s="124"/>
      <c r="J10" s="140" t="s">
        <v>61</v>
      </c>
      <c r="K10" s="987">
        <f>'عرض السعر'!$N$8</f>
        <v>0</v>
      </c>
      <c r="L10" s="987"/>
      <c r="M10" s="988" t="str">
        <f ca="1">IF(L9&gt;0,NOW(),"")</f>
        <v/>
      </c>
      <c r="N10" s="989"/>
      <c r="O10" s="126"/>
    </row>
    <row r="11" spans="1:17" ht="9" customHeight="1" thickBot="1" x14ac:dyDescent="0.3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26"/>
    </row>
    <row r="12" spans="1:17" ht="15" customHeight="1" x14ac:dyDescent="0.3">
      <c r="A12" s="2"/>
      <c r="B12" s="990" t="s">
        <v>96</v>
      </c>
      <c r="C12" s="972" t="s">
        <v>136</v>
      </c>
      <c r="D12" s="992"/>
      <c r="E12" s="971" t="s">
        <v>137</v>
      </c>
      <c r="F12" s="972"/>
      <c r="G12" s="972"/>
      <c r="H12" s="973"/>
      <c r="I12" s="5"/>
      <c r="J12" s="24" t="s">
        <v>119</v>
      </c>
      <c r="K12" s="972" t="s">
        <v>138</v>
      </c>
      <c r="L12" s="972"/>
      <c r="M12" s="972"/>
      <c r="N12" s="99"/>
      <c r="O12" s="127"/>
      <c r="P12" s="121" t="s">
        <v>156</v>
      </c>
      <c r="Q12" s="121" t="s">
        <v>157</v>
      </c>
    </row>
    <row r="13" spans="1:17" ht="32.25" customHeight="1" x14ac:dyDescent="0.3">
      <c r="A13" s="2"/>
      <c r="B13" s="991"/>
      <c r="C13" s="10" t="s">
        <v>134</v>
      </c>
      <c r="D13" s="11" t="s">
        <v>135</v>
      </c>
      <c r="E13" s="13" t="s">
        <v>133</v>
      </c>
      <c r="F13" s="10" t="s">
        <v>120</v>
      </c>
      <c r="G13" s="10" t="s">
        <v>121</v>
      </c>
      <c r="H13" s="31" t="s">
        <v>132</v>
      </c>
      <c r="I13" s="5"/>
      <c r="J13" s="13" t="s">
        <v>0</v>
      </c>
      <c r="K13" s="10" t="s">
        <v>0</v>
      </c>
      <c r="L13" s="10" t="s">
        <v>122</v>
      </c>
      <c r="M13" s="10" t="s">
        <v>33</v>
      </c>
      <c r="N13" s="9"/>
      <c r="O13" s="127"/>
    </row>
    <row r="14" spans="1:17" ht="19.5" customHeight="1" x14ac:dyDescent="0.3">
      <c r="A14" s="2"/>
      <c r="B14" s="12">
        <f>'عرض السعر'!D14</f>
        <v>1</v>
      </c>
      <c r="C14" s="104" t="str">
        <f>'طلب التصنيع'!S14</f>
        <v>مدار 4.6</v>
      </c>
      <c r="D14" s="103">
        <f>'طلب التصنيع'!E14</f>
        <v>0</v>
      </c>
      <c r="E14" s="32">
        <f>'طلب التصنيع'!F14</f>
        <v>103.6</v>
      </c>
      <c r="F14" s="33">
        <f>IF('طلب التصنيع'!H14-1&lt;0,"",'طلب التصنيع'!H14-1)</f>
        <v>36</v>
      </c>
      <c r="G14" s="33">
        <f>'طلب التصنيع'!J14</f>
        <v>1</v>
      </c>
      <c r="H14" s="106">
        <f>'طلب التصنيع'!N14</f>
        <v>1.6772839999999998</v>
      </c>
      <c r="I14" s="5"/>
      <c r="J14" s="23">
        <f>'طلب التصنيع'!U14</f>
        <v>0</v>
      </c>
      <c r="K14" s="14">
        <f>IF('طلب التصنيع'!X14="حصيرة فقط","",'طلب التصنيع'!U14)</f>
        <v>0</v>
      </c>
      <c r="L14" s="28">
        <f>'طلب التصنيع'!AX14</f>
        <v>153</v>
      </c>
      <c r="M14" s="29">
        <f>IF('طلب التصنيع'!X14="حصيرة فقط","",'طلب التصنيع'!AA14*2)</f>
        <v>2</v>
      </c>
      <c r="N14" s="8"/>
      <c r="O14" s="128"/>
      <c r="P14" s="121">
        <f>IFERROR(G14*F14,0)</f>
        <v>36</v>
      </c>
      <c r="Q14" s="121">
        <f>IFERROR(M14*L14,0)</f>
        <v>306</v>
      </c>
    </row>
    <row r="15" spans="1:17" ht="19.5" customHeight="1" x14ac:dyDescent="0.3">
      <c r="A15" s="2"/>
      <c r="B15" s="12">
        <f>'عرض السعر'!D15</f>
        <v>2</v>
      </c>
      <c r="C15" s="104" t="str">
        <f>'طلب التصنيع'!S15</f>
        <v>مدار 5.8</v>
      </c>
      <c r="D15" s="103">
        <f>'طلب التصنيع'!E15</f>
        <v>0</v>
      </c>
      <c r="E15" s="32">
        <f>'طلب التصنيع'!F15</f>
        <v>103.6</v>
      </c>
      <c r="F15" s="33">
        <f>IF('طلب التصنيع'!H15-1&lt;0,"",'طلب التصنيع'!H15-1)</f>
        <v>28</v>
      </c>
      <c r="G15" s="33">
        <f>'طلب التصنيع'!J15</f>
        <v>1</v>
      </c>
      <c r="H15" s="106">
        <f>'طلب التصنيع'!N15</f>
        <v>1.6824639999999997</v>
      </c>
      <c r="I15" s="5"/>
      <c r="J15" s="23">
        <f>'طلب التصنيع'!U15</f>
        <v>0</v>
      </c>
      <c r="K15" s="14">
        <f>IF('طلب التصنيع'!X15="حصيرة فقط","",'طلب التصنيع'!U15)</f>
        <v>0</v>
      </c>
      <c r="L15" s="28">
        <f>'طلب التصنيع'!AX15</f>
        <v>153</v>
      </c>
      <c r="M15" s="29">
        <f>IF('طلب التصنيع'!X15="حصيرة فقط","",'طلب التصنيع'!AA15*2)</f>
        <v>2</v>
      </c>
      <c r="N15" s="8"/>
      <c r="O15" s="129"/>
      <c r="P15" s="121">
        <f t="shared" ref="P15:P23" si="0">IFERROR(G15*F15,0)</f>
        <v>28</v>
      </c>
      <c r="Q15" s="121">
        <f t="shared" ref="Q15:Q23" si="1">IFERROR(M15*L15,0)</f>
        <v>306</v>
      </c>
    </row>
    <row r="16" spans="1:17" ht="19.5" customHeight="1" x14ac:dyDescent="0.3">
      <c r="A16" s="2"/>
      <c r="B16" s="12">
        <f>'عرض السعر'!D16</f>
        <v>3</v>
      </c>
      <c r="C16" s="104" t="str">
        <f>'طلب التصنيع'!S16</f>
        <v>مدار حماية 5.5</v>
      </c>
      <c r="D16" s="103">
        <f>'طلب التصنيع'!E16</f>
        <v>0</v>
      </c>
      <c r="E16" s="32">
        <f>'طلب التصنيع'!F16</f>
        <v>103.6</v>
      </c>
      <c r="F16" s="33">
        <f>IF('طلب التصنيع'!H16-1&lt;0,"",'طلب التصنيع'!H16-1)</f>
        <v>29</v>
      </c>
      <c r="G16" s="33">
        <f>'طلب التصنيع'!J16</f>
        <v>1</v>
      </c>
      <c r="H16" s="106">
        <f>'طلب التصنيع'!N16</f>
        <v>1.7094</v>
      </c>
      <c r="I16" s="5"/>
      <c r="J16" s="23">
        <f>'طلب التصنيع'!U16</f>
        <v>0</v>
      </c>
      <c r="K16" s="14">
        <f>IF('طلب التصنيع'!X16="حصيرة فقط","",'طلب التصنيع'!U16)</f>
        <v>0</v>
      </c>
      <c r="L16" s="28">
        <f>'طلب التصنيع'!AX16</f>
        <v>153</v>
      </c>
      <c r="M16" s="29">
        <f>IF('طلب التصنيع'!X16="حصيرة فقط","",'طلب التصنيع'!AA16*2)</f>
        <v>2</v>
      </c>
      <c r="N16" s="8"/>
      <c r="O16" s="128"/>
      <c r="P16" s="121">
        <f t="shared" si="0"/>
        <v>29</v>
      </c>
      <c r="Q16" s="121">
        <f t="shared" si="1"/>
        <v>306</v>
      </c>
    </row>
    <row r="17" spans="1:19" ht="19.5" customHeight="1" x14ac:dyDescent="0.3">
      <c r="A17" s="2"/>
      <c r="B17" s="12">
        <f>'عرض السعر'!D17</f>
        <v>4</v>
      </c>
      <c r="C17" s="104" t="str">
        <f>'طلب التصنيع'!S17</f>
        <v>مدار زنكاليوم 5.5</v>
      </c>
      <c r="D17" s="103">
        <f>'طلب التصنيع'!E17</f>
        <v>0</v>
      </c>
      <c r="E17" s="32">
        <f>'طلب التصنيع'!F17</f>
        <v>103.6</v>
      </c>
      <c r="F17" s="33">
        <f>IF('طلب التصنيع'!H17-1&lt;0,"",'طلب التصنيع'!H17-1)</f>
        <v>29</v>
      </c>
      <c r="G17" s="33">
        <f>'طلب التصنيع'!J17</f>
        <v>1</v>
      </c>
      <c r="H17" s="106">
        <f>'طلب التصنيع'!N17</f>
        <v>1.7094</v>
      </c>
      <c r="I17" s="5"/>
      <c r="J17" s="23">
        <f>'طلب التصنيع'!U17</f>
        <v>0</v>
      </c>
      <c r="K17" s="14">
        <f>IF('طلب التصنيع'!X17="حصيرة فقط","",'طلب التصنيع'!U17)</f>
        <v>0</v>
      </c>
      <c r="L17" s="28">
        <f>'طلب التصنيع'!AX17</f>
        <v>153</v>
      </c>
      <c r="M17" s="29">
        <f>IF('طلب التصنيع'!X17="حصيرة فقط","",'طلب التصنيع'!AA17*2)</f>
        <v>2</v>
      </c>
      <c r="N17" s="8"/>
      <c r="O17" s="129"/>
      <c r="P17" s="121">
        <f t="shared" si="0"/>
        <v>29</v>
      </c>
      <c r="Q17" s="121">
        <f t="shared" si="1"/>
        <v>306</v>
      </c>
    </row>
    <row r="18" spans="1:19" ht="19.5" customHeight="1" x14ac:dyDescent="0.3">
      <c r="A18" s="2"/>
      <c r="B18" s="12">
        <f>'عرض السعر'!D18</f>
        <v>5</v>
      </c>
      <c r="C18" s="104" t="str">
        <f>'طلب التصنيع'!S18</f>
        <v>مدار 5.5</v>
      </c>
      <c r="D18" s="103">
        <f>'طلب التصنيع'!E18</f>
        <v>0</v>
      </c>
      <c r="E18" s="32">
        <f>'طلب التصنيع'!F18</f>
        <v>103.6</v>
      </c>
      <c r="F18" s="33">
        <f>IF('طلب التصنيع'!H18-1&lt;0,"",'طلب التصنيع'!H18-1)</f>
        <v>29</v>
      </c>
      <c r="G18" s="33">
        <f>'طلب التصنيع'!J18</f>
        <v>1</v>
      </c>
      <c r="H18" s="106">
        <f>'طلب التصنيع'!N18</f>
        <v>1.65242</v>
      </c>
      <c r="I18" s="5"/>
      <c r="J18" s="23">
        <f>'طلب التصنيع'!U18</f>
        <v>0</v>
      </c>
      <c r="K18" s="14">
        <f>IF('طلب التصنيع'!X18="حصيرة فقط","",'طلب التصنيع'!U18)</f>
        <v>0</v>
      </c>
      <c r="L18" s="28">
        <f>'طلب التصنيع'!AX18</f>
        <v>153</v>
      </c>
      <c r="M18" s="29">
        <f>IF('طلب التصنيع'!X18="حصيرة فقط","",'طلب التصنيع'!AA18*2)</f>
        <v>2</v>
      </c>
      <c r="N18" s="8"/>
      <c r="O18" s="128"/>
      <c r="P18" s="121">
        <f t="shared" si="0"/>
        <v>29</v>
      </c>
      <c r="Q18" s="121">
        <f t="shared" si="1"/>
        <v>306</v>
      </c>
    </row>
    <row r="19" spans="1:19" ht="19.5" customHeight="1" x14ac:dyDescent="0.3">
      <c r="A19" s="2"/>
      <c r="B19" s="12">
        <f>'عرض السعر'!D19</f>
        <v>6</v>
      </c>
      <c r="C19" s="104" t="str">
        <f>'طلب التصنيع'!S19</f>
        <v>مدار 4سم زنكاليوم</v>
      </c>
      <c r="D19" s="103">
        <f>'طلب التصنيع'!E19</f>
        <v>0</v>
      </c>
      <c r="E19" s="32">
        <f>'طلب التصنيع'!F19</f>
        <v>103.6</v>
      </c>
      <c r="F19" s="33">
        <f>IF('طلب التصنيع'!H19-1&lt;0,"",'طلب التصنيع'!H19-1)</f>
        <v>41</v>
      </c>
      <c r="G19" s="33">
        <f>'طلب التصنيع'!J19</f>
        <v>1</v>
      </c>
      <c r="H19" s="106">
        <f>'طلب التصنيع'!N19</f>
        <v>1.6990400000000001</v>
      </c>
      <c r="I19" s="5"/>
      <c r="J19" s="23">
        <f>'طلب التصنيع'!U19</f>
        <v>0</v>
      </c>
      <c r="K19" s="14">
        <f>IF('طلب التصنيع'!X19="حصيرة فقط","",'طلب التصنيع'!U19)</f>
        <v>0</v>
      </c>
      <c r="L19" s="28">
        <f>'طلب التصنيع'!AX19</f>
        <v>153</v>
      </c>
      <c r="M19" s="29">
        <f>IF('طلب التصنيع'!X19="حصيرة فقط","",'طلب التصنيع'!AA19*2)</f>
        <v>2</v>
      </c>
      <c r="N19" s="8"/>
      <c r="O19" s="129"/>
      <c r="P19" s="121">
        <f t="shared" si="0"/>
        <v>41</v>
      </c>
      <c r="Q19" s="121">
        <f t="shared" si="1"/>
        <v>306</v>
      </c>
    </row>
    <row r="20" spans="1:19" ht="19.5" customHeight="1" x14ac:dyDescent="0.3">
      <c r="A20" s="2"/>
      <c r="B20" s="12">
        <f>'عرض السعر'!D20</f>
        <v>7</v>
      </c>
      <c r="C20" s="104" t="str">
        <f>'طلب التصنيع'!S20</f>
        <v>مدار 5.8 هارفوم</v>
      </c>
      <c r="D20" s="103">
        <f>'طلب التصنيع'!E20</f>
        <v>0</v>
      </c>
      <c r="E20" s="32">
        <f>'طلب التصنيع'!F20</f>
        <v>102.9</v>
      </c>
      <c r="F20" s="33">
        <f>IF('طلب التصنيع'!H20-1&lt;0,"",'طلب التصنيع'!H20-1)</f>
        <v>28</v>
      </c>
      <c r="G20" s="33">
        <f>'طلب التصنيع'!J20</f>
        <v>1</v>
      </c>
      <c r="H20" s="106">
        <f>'طلب التصنيع'!N20</f>
        <v>1.6710960000000001</v>
      </c>
      <c r="I20" s="5"/>
      <c r="J20" s="23">
        <f>'طلب التصنيع'!U20</f>
        <v>0</v>
      </c>
      <c r="K20" s="14">
        <f>IF('طلب التصنيع'!X20="حصيرة فقط","",'طلب التصنيع'!U20)</f>
        <v>0</v>
      </c>
      <c r="L20" s="28">
        <f>'طلب التصنيع'!AX20</f>
        <v>153</v>
      </c>
      <c r="M20" s="29">
        <f>IF('طلب التصنيع'!X20="حصيرة فقط","",'طلب التصنيع'!AA20*2)</f>
        <v>2</v>
      </c>
      <c r="N20" s="8"/>
      <c r="O20" s="128"/>
      <c r="P20" s="121">
        <f t="shared" si="0"/>
        <v>28</v>
      </c>
      <c r="Q20" s="121">
        <f t="shared" si="1"/>
        <v>306</v>
      </c>
    </row>
    <row r="21" spans="1:19" ht="19.5" customHeight="1" x14ac:dyDescent="0.3">
      <c r="A21" s="2"/>
      <c r="B21" s="12">
        <f>'عرض السعر'!D21</f>
        <v>8</v>
      </c>
      <c r="C21" s="104" t="str">
        <f>'طلب التصنيع'!S21</f>
        <v>نيل 4.25</v>
      </c>
      <c r="D21" s="103">
        <f>'طلب التصنيع'!E21</f>
        <v>0</v>
      </c>
      <c r="E21" s="32">
        <f>'طلب التصنيع'!F21</f>
        <v>104</v>
      </c>
      <c r="F21" s="33">
        <f>IF('طلب التصنيع'!H21-1&lt;0,"",'طلب التصنيع'!H21-1)</f>
        <v>38</v>
      </c>
      <c r="G21" s="33">
        <f>'طلب التصنيع'!J21</f>
        <v>1</v>
      </c>
      <c r="H21" s="106">
        <f>'طلب التصنيع'!N21</f>
        <v>1.6796</v>
      </c>
      <c r="I21" s="5"/>
      <c r="J21" s="23">
        <f>'طلب التصنيع'!U21</f>
        <v>0</v>
      </c>
      <c r="K21" s="14">
        <f>IF('طلب التصنيع'!X21="حصيرة فقط","",'طلب التصنيع'!U21)</f>
        <v>0</v>
      </c>
      <c r="L21" s="28">
        <f>'طلب التصنيع'!AX21</f>
        <v>153</v>
      </c>
      <c r="M21" s="29">
        <f>IF('طلب التصنيع'!X21="حصيرة فقط","",'طلب التصنيع'!AA21*2)</f>
        <v>2</v>
      </c>
      <c r="N21" s="8"/>
      <c r="O21" s="128"/>
      <c r="P21" s="121">
        <f t="shared" si="0"/>
        <v>38</v>
      </c>
      <c r="Q21" s="121">
        <f t="shared" si="1"/>
        <v>306</v>
      </c>
    </row>
    <row r="22" spans="1:19" ht="19.5" customHeight="1" x14ac:dyDescent="0.3">
      <c r="A22" s="2"/>
      <c r="B22" s="12">
        <f>'عرض السعر'!D22</f>
        <v>9</v>
      </c>
      <c r="C22" s="104" t="str">
        <f>'طلب التصنيع'!S22</f>
        <v>النيل 5سم BK</v>
      </c>
      <c r="D22" s="103">
        <f>'طلب التصنيع'!E22</f>
        <v>0</v>
      </c>
      <c r="E22" s="32">
        <f>'طلب التصنيع'!F22</f>
        <v>104</v>
      </c>
      <c r="F22" s="33">
        <f>IF('طلب التصنيع'!H22-1&lt;0,"",'طلب التصنيع'!H22-1)</f>
        <v>32</v>
      </c>
      <c r="G22" s="33">
        <f>'طلب التصنيع'!J22</f>
        <v>1</v>
      </c>
      <c r="H22" s="106">
        <f>'طلب التصنيع'!N22</f>
        <v>1.6639999999999999</v>
      </c>
      <c r="I22" s="5"/>
      <c r="J22" s="23">
        <f>'طلب التصنيع'!U22</f>
        <v>0</v>
      </c>
      <c r="K22" s="14">
        <f>IF('طلب التصنيع'!X22="حصيرة فقط","",'طلب التصنيع'!U22)</f>
        <v>0</v>
      </c>
      <c r="L22" s="28">
        <f>'طلب التصنيع'!AX22</f>
        <v>153</v>
      </c>
      <c r="M22" s="29">
        <f>IF('طلب التصنيع'!X22="حصيرة فقط","",'طلب التصنيع'!AA22*2)</f>
        <v>2</v>
      </c>
      <c r="N22" s="8"/>
      <c r="O22" s="129"/>
      <c r="P22" s="121">
        <f t="shared" si="0"/>
        <v>32</v>
      </c>
      <c r="Q22" s="121">
        <f t="shared" si="1"/>
        <v>306</v>
      </c>
    </row>
    <row r="23" spans="1:19" ht="19.5" customHeight="1" x14ac:dyDescent="0.3">
      <c r="A23" s="2"/>
      <c r="B23" s="12">
        <f>'عرض السعر'!D23</f>
        <v>10</v>
      </c>
      <c r="C23" s="104" t="str">
        <f>'طلب التصنيع'!S23</f>
        <v>النيل 5سم NGS</v>
      </c>
      <c r="D23" s="103">
        <f>'طلب التصنيع'!E23</f>
        <v>0</v>
      </c>
      <c r="E23" s="32">
        <f>'طلب التصنيع'!F23</f>
        <v>104</v>
      </c>
      <c r="F23" s="33">
        <f>IF('طلب التصنيع'!H23-1&lt;0,"",'طلب التصنيع'!H23-1)</f>
        <v>32</v>
      </c>
      <c r="G23" s="33">
        <f>'طلب التصنيع'!J23</f>
        <v>1</v>
      </c>
      <c r="H23" s="106">
        <f>'طلب التصنيع'!N23</f>
        <v>1.6639999999999999</v>
      </c>
      <c r="I23" s="5"/>
      <c r="J23" s="23">
        <f>'طلب التصنيع'!U23</f>
        <v>0</v>
      </c>
      <c r="K23" s="14">
        <f>IF('طلب التصنيع'!X23="حصيرة فقط","",'طلب التصنيع'!U23)</f>
        <v>0</v>
      </c>
      <c r="L23" s="28">
        <f>'طلب التصنيع'!AX23</f>
        <v>153</v>
      </c>
      <c r="M23" s="29">
        <f>IF('طلب التصنيع'!X23="حصيرة فقط","",'طلب التصنيع'!AA23*2)</f>
        <v>2</v>
      </c>
      <c r="N23" s="8"/>
      <c r="O23" s="128"/>
      <c r="P23" s="121">
        <f t="shared" si="0"/>
        <v>32</v>
      </c>
      <c r="Q23" s="121">
        <f t="shared" si="1"/>
        <v>306</v>
      </c>
    </row>
    <row r="24" spans="1:19" s="102" customFormat="1" ht="15" customHeight="1" thickBot="1" x14ac:dyDescent="0.35">
      <c r="A24" s="100"/>
      <c r="B24" s="993" t="s">
        <v>176</v>
      </c>
      <c r="C24" s="994"/>
      <c r="D24" s="115">
        <f>P24</f>
        <v>322</v>
      </c>
      <c r="E24" s="993" t="s">
        <v>194</v>
      </c>
      <c r="F24" s="994"/>
      <c r="G24" s="115">
        <f>SUM(G14:G23)</f>
        <v>10</v>
      </c>
      <c r="H24" s="114">
        <f>SUM(H14:H23)</f>
        <v>16.808704000000002</v>
      </c>
      <c r="I24" s="101"/>
      <c r="J24" s="116"/>
      <c r="K24" s="118" t="s">
        <v>175</v>
      </c>
      <c r="L24" s="117">
        <f>P24</f>
        <v>322</v>
      </c>
      <c r="M24" s="115">
        <f>Q24/100</f>
        <v>30.6</v>
      </c>
      <c r="N24" s="113"/>
      <c r="O24" s="130"/>
      <c r="P24" s="131">
        <f>SUM(P14:P23)</f>
        <v>322</v>
      </c>
      <c r="Q24" s="134">
        <f>SUM(Q14:Q23)</f>
        <v>3060</v>
      </c>
    </row>
    <row r="25" spans="1:19" ht="8.25" customHeight="1" thickBot="1" x14ac:dyDescent="0.35">
      <c r="A25" s="2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98"/>
      <c r="N25" s="7"/>
      <c r="O25" s="132"/>
    </row>
    <row r="26" spans="1:19" ht="18" customHeight="1" x14ac:dyDescent="0.3">
      <c r="A26" s="2"/>
      <c r="B26" s="971" t="s">
        <v>198</v>
      </c>
      <c r="C26" s="972"/>
      <c r="D26" s="972"/>
      <c r="E26" s="973"/>
      <c r="F26" s="974" t="s">
        <v>123</v>
      </c>
      <c r="G26" s="972"/>
      <c r="H26" s="973"/>
      <c r="I26" s="5"/>
      <c r="J26" s="971" t="s">
        <v>124</v>
      </c>
      <c r="K26" s="973"/>
      <c r="L26" s="25" t="s">
        <v>139</v>
      </c>
      <c r="M26" s="971" t="s">
        <v>36</v>
      </c>
      <c r="N26" s="973"/>
      <c r="O26" s="132"/>
      <c r="S26" t="s">
        <v>198</v>
      </c>
    </row>
    <row r="27" spans="1:19" ht="19.5" customHeight="1" x14ac:dyDescent="0.3">
      <c r="A27" s="2"/>
      <c r="B27" s="105" t="s">
        <v>125</v>
      </c>
      <c r="C27" s="152" t="s">
        <v>0</v>
      </c>
      <c r="D27" s="152" t="s">
        <v>31</v>
      </c>
      <c r="E27" s="9" t="s">
        <v>33</v>
      </c>
      <c r="F27" s="150" t="s">
        <v>126</v>
      </c>
      <c r="G27" s="152" t="s">
        <v>31</v>
      </c>
      <c r="H27" s="9" t="s">
        <v>33</v>
      </c>
      <c r="I27" s="5"/>
      <c r="J27" s="151" t="s">
        <v>126</v>
      </c>
      <c r="K27" s="9" t="s">
        <v>33</v>
      </c>
      <c r="L27" s="17" t="s">
        <v>33</v>
      </c>
      <c r="M27" s="151" t="s">
        <v>126</v>
      </c>
      <c r="N27" s="9" t="s">
        <v>33</v>
      </c>
      <c r="O27" s="126"/>
      <c r="S27" t="s">
        <v>199</v>
      </c>
    </row>
    <row r="28" spans="1:19" ht="17.100000000000001" customHeight="1" x14ac:dyDescent="0.3">
      <c r="A28" s="2"/>
      <c r="B28" s="20">
        <f>'طلب التصنيع'!AS14</f>
        <v>16.5</v>
      </c>
      <c r="C28" s="97">
        <f>IF(B28=0,0,'طلب التصنيع'!U14)</f>
        <v>0</v>
      </c>
      <c r="D28" s="149">
        <f>'طلب التصنيع'!AT14</f>
        <v>116</v>
      </c>
      <c r="E28" s="8">
        <f>IF('طلب التصنيع'!X14="حصيرة فقط","",'طلب التصنيع'!AA14)</f>
        <v>1</v>
      </c>
      <c r="F28" s="27">
        <f>'طلب التصنيع'!AV14</f>
        <v>6</v>
      </c>
      <c r="G28" s="149">
        <f>'طلب التصنيع'!AT14</f>
        <v>116</v>
      </c>
      <c r="H28" s="8">
        <f>IF('طلب التصنيع'!X14="حصيرة فقط","",'طلب التصنيع'!AA14)</f>
        <v>1</v>
      </c>
      <c r="I28" s="5"/>
      <c r="J28" s="16" t="str">
        <f>IF('طلب التصنيع'!BL14&gt;0,F28,"")</f>
        <v/>
      </c>
      <c r="K28" s="8" t="str">
        <f>IF('طلب التصنيع'!BL14&gt;0,'طلب التصنيع'!AA14,"")</f>
        <v/>
      </c>
      <c r="L28" s="18" t="str">
        <f>IF('طلب التصنيع'!BL14&gt;0,'طلب التصنيع'!AA14,"")</f>
        <v/>
      </c>
      <c r="M28" s="148" t="str">
        <f>IF(J28=10.2,"بدون",'طلب التصنيع'!AZ14)</f>
        <v>نابضية ص</v>
      </c>
      <c r="N28" s="8">
        <f>IF(M28="بدون","بدون",'طلب التصنيع'!BB14)</f>
        <v>3</v>
      </c>
      <c r="O28" s="126"/>
      <c r="P28" s="121">
        <f>IFERROR(D28*E28,0)</f>
        <v>116</v>
      </c>
      <c r="Q28" s="121">
        <f>IFERROR(H28*G28,0)</f>
        <v>116</v>
      </c>
      <c r="S28" t="s">
        <v>200</v>
      </c>
    </row>
    <row r="29" spans="1:19" ht="17.100000000000001" customHeight="1" x14ac:dyDescent="0.3">
      <c r="A29" s="2"/>
      <c r="B29" s="20">
        <f>'طلب التصنيع'!AS15</f>
        <v>20</v>
      </c>
      <c r="C29" s="97">
        <f>IF(B29=0,0,'طلب التصنيع'!U15)</f>
        <v>0</v>
      </c>
      <c r="D29" s="149">
        <f>'طلب التصنيع'!AT15</f>
        <v>116</v>
      </c>
      <c r="E29" s="8">
        <f>IF('طلب التصنيع'!X15="حصيرة فقط","",'طلب التصنيع'!AA15)</f>
        <v>1</v>
      </c>
      <c r="F29" s="27">
        <f>'طلب التصنيع'!AV15</f>
        <v>6</v>
      </c>
      <c r="G29" s="149">
        <f>'طلب التصنيع'!AT15</f>
        <v>116</v>
      </c>
      <c r="H29" s="8">
        <f>IF('طلب التصنيع'!X15="حصيرة فقط","",'طلب التصنيع'!AA15)</f>
        <v>1</v>
      </c>
      <c r="I29" s="5"/>
      <c r="J29" s="16" t="str">
        <f>IF('طلب التصنيع'!BL15&gt;0,F29,"")</f>
        <v/>
      </c>
      <c r="K29" s="8" t="str">
        <f>IF('طلب التصنيع'!BL15&gt;0,'طلب التصنيع'!AA15,"")</f>
        <v/>
      </c>
      <c r="L29" s="18" t="str">
        <f>IF('طلب التصنيع'!BL15&gt;0,'طلب التصنيع'!AA15,"")</f>
        <v/>
      </c>
      <c r="M29" s="148" t="str">
        <f>IF(J29=10.2,"بدون",'طلب التصنيع'!AZ15)</f>
        <v>نابضية ك</v>
      </c>
      <c r="N29" s="8">
        <f>IF(M29="بدون","بدون",'طلب التصنيع'!BB15)</f>
        <v>3</v>
      </c>
      <c r="O29" s="126"/>
      <c r="P29" s="121">
        <f t="shared" ref="P29:P37" si="2">IFERROR(D29*E29,0)</f>
        <v>116</v>
      </c>
      <c r="Q29" s="121">
        <f t="shared" ref="Q29:Q37" si="3">IFERROR(H29*G29,0)</f>
        <v>116</v>
      </c>
      <c r="S29" t="s">
        <v>201</v>
      </c>
    </row>
    <row r="30" spans="1:19" ht="17.100000000000001" customHeight="1" x14ac:dyDescent="0.3">
      <c r="A30" s="2"/>
      <c r="B30" s="20">
        <f>'طلب التصنيع'!AS16</f>
        <v>22.5</v>
      </c>
      <c r="C30" s="97">
        <f>IF(B30=0,0,'طلب التصنيع'!U16)</f>
        <v>0</v>
      </c>
      <c r="D30" s="149">
        <f>'طلب التصنيع'!AT16</f>
        <v>116</v>
      </c>
      <c r="E30" s="8">
        <f>IF('طلب التصنيع'!X16="حصيرة فقط","",'طلب التصنيع'!AA16)</f>
        <v>1</v>
      </c>
      <c r="F30" s="27">
        <f>'طلب التصنيع'!AV16</f>
        <v>6</v>
      </c>
      <c r="G30" s="149">
        <f>'طلب التصنيع'!AT16</f>
        <v>116</v>
      </c>
      <c r="H30" s="8">
        <f>IF('طلب التصنيع'!X16="حصيرة فقط","",'طلب التصنيع'!AA16)</f>
        <v>1</v>
      </c>
      <c r="I30" s="5"/>
      <c r="J30" s="16" t="str">
        <f>IF('طلب التصنيع'!BL16&gt;0,F30,"")</f>
        <v/>
      </c>
      <c r="K30" s="8" t="str">
        <f>IF('طلب التصنيع'!BL16&gt;0,'طلب التصنيع'!AA16,"")</f>
        <v/>
      </c>
      <c r="L30" s="18" t="str">
        <f>IF('طلب التصنيع'!BL16&gt;0,'طلب التصنيع'!AA16,"")</f>
        <v/>
      </c>
      <c r="M30" s="148">
        <f>IF(J30=10.2,"بدون",'طلب التصنيع'!AZ16)</f>
        <v>6</v>
      </c>
      <c r="N30" s="8">
        <f>IF(M30="بدون","بدون",'طلب التصنيع'!BB16)</f>
        <v>2</v>
      </c>
      <c r="O30" s="126"/>
      <c r="P30" s="121">
        <f t="shared" si="2"/>
        <v>116</v>
      </c>
      <c r="Q30" s="121">
        <f t="shared" si="3"/>
        <v>116</v>
      </c>
      <c r="S30" t="s">
        <v>202</v>
      </c>
    </row>
    <row r="31" spans="1:19" ht="17.100000000000001" customHeight="1" x14ac:dyDescent="0.3">
      <c r="A31" s="2"/>
      <c r="B31" s="20">
        <f>'طلب التصنيع'!AS17</f>
        <v>20</v>
      </c>
      <c r="C31" s="97">
        <f>IF(B31=0,0,'طلب التصنيع'!U17)</f>
        <v>0</v>
      </c>
      <c r="D31" s="149">
        <f>'طلب التصنيع'!AT17</f>
        <v>116</v>
      </c>
      <c r="E31" s="8">
        <f>IF('طلب التصنيع'!X17="حصيرة فقط","",'طلب التصنيع'!AA17)</f>
        <v>1</v>
      </c>
      <c r="F31" s="27">
        <f>'طلب التصنيع'!AV17</f>
        <v>6</v>
      </c>
      <c r="G31" s="149">
        <f>'طلب التصنيع'!AT17</f>
        <v>116</v>
      </c>
      <c r="H31" s="8">
        <f>IF('طلب التصنيع'!X17="حصيرة فقط","",'طلب التصنيع'!AA17)</f>
        <v>1</v>
      </c>
      <c r="I31" s="5"/>
      <c r="J31" s="16" t="str">
        <f>IF('طلب التصنيع'!BL17&gt;0,F31,"")</f>
        <v/>
      </c>
      <c r="K31" s="8" t="str">
        <f>IF('طلب التصنيع'!BL17&gt;0,'طلب التصنيع'!AA17,"")</f>
        <v/>
      </c>
      <c r="L31" s="18" t="str">
        <f>IF('طلب التصنيع'!BL17&gt;0,'طلب التصنيع'!AA17,"")</f>
        <v/>
      </c>
      <c r="M31" s="148">
        <f>IF(J31=10.2,"بدون",'طلب التصنيع'!AZ17)</f>
        <v>6</v>
      </c>
      <c r="N31" s="8">
        <f>IF(M31="بدون","بدون",'طلب التصنيع'!BB17)</f>
        <v>2</v>
      </c>
      <c r="O31" s="126"/>
      <c r="P31" s="121">
        <f t="shared" si="2"/>
        <v>116</v>
      </c>
      <c r="Q31" s="121">
        <f t="shared" si="3"/>
        <v>116</v>
      </c>
      <c r="S31" t="s">
        <v>203</v>
      </c>
    </row>
    <row r="32" spans="1:19" ht="17.100000000000001" customHeight="1" x14ac:dyDescent="0.3">
      <c r="A32" s="2"/>
      <c r="B32" s="20">
        <f>'طلب التصنيع'!AS18</f>
        <v>20</v>
      </c>
      <c r="C32" s="97">
        <f>IF(B32=0,0,'طلب التصنيع'!U18)</f>
        <v>0</v>
      </c>
      <c r="D32" s="149">
        <f>'طلب التصنيع'!AT18</f>
        <v>116</v>
      </c>
      <c r="E32" s="8">
        <f>IF('طلب التصنيع'!X18="حصيرة فقط","",'طلب التصنيع'!AA18)</f>
        <v>1</v>
      </c>
      <c r="F32" s="27">
        <f>'طلب التصنيع'!AV18</f>
        <v>6</v>
      </c>
      <c r="G32" s="149">
        <f>'طلب التصنيع'!AT18</f>
        <v>116</v>
      </c>
      <c r="H32" s="8">
        <f>IF('طلب التصنيع'!X18="حصيرة فقط","",'طلب التصنيع'!AA18)</f>
        <v>1</v>
      </c>
      <c r="I32" s="5"/>
      <c r="J32" s="16" t="str">
        <f>IF('طلب التصنيع'!BL18&gt;0,F32,"")</f>
        <v/>
      </c>
      <c r="K32" s="8" t="str">
        <f>IF('طلب التصنيع'!BL18&gt;0,'طلب التصنيع'!AA18,"")</f>
        <v/>
      </c>
      <c r="L32" s="18" t="str">
        <f>IF('طلب التصنيع'!BL18&gt;0,'طلب التصنيع'!AA18,"")</f>
        <v/>
      </c>
      <c r="M32" s="148" t="str">
        <f>IF(J32=10.2,"بدون",'طلب التصنيع'!AZ18)</f>
        <v>نابضية ك</v>
      </c>
      <c r="N32" s="8">
        <f>IF(M32="بدون","بدون",'طلب التصنيع'!BB18)</f>
        <v>3</v>
      </c>
      <c r="O32" s="126"/>
      <c r="P32" s="121">
        <f t="shared" si="2"/>
        <v>116</v>
      </c>
      <c r="Q32" s="121">
        <f t="shared" si="3"/>
        <v>116</v>
      </c>
    </row>
    <row r="33" spans="1:17" ht="17.100000000000001" customHeight="1" x14ac:dyDescent="0.3">
      <c r="A33" s="2"/>
      <c r="B33" s="20">
        <f>'طلب التصنيع'!AS19</f>
        <v>18</v>
      </c>
      <c r="C33" s="97">
        <f>IF(B33=0,0,'طلب التصنيع'!U19)</f>
        <v>0</v>
      </c>
      <c r="D33" s="149">
        <f>'طلب التصنيع'!AT19</f>
        <v>116</v>
      </c>
      <c r="E33" s="8">
        <f>IF('طلب التصنيع'!X19="حصيرة فقط","",'طلب التصنيع'!AA19)</f>
        <v>1</v>
      </c>
      <c r="F33" s="27">
        <f>'طلب التصنيع'!AV19</f>
        <v>6</v>
      </c>
      <c r="G33" s="149">
        <f>'طلب التصنيع'!AT19</f>
        <v>116</v>
      </c>
      <c r="H33" s="8">
        <f>IF('طلب التصنيع'!X19="حصيرة فقط","",'طلب التصنيع'!AA19)</f>
        <v>1</v>
      </c>
      <c r="I33" s="5"/>
      <c r="J33" s="16" t="str">
        <f>IF('طلب التصنيع'!BL19&gt;0,F33,"")</f>
        <v/>
      </c>
      <c r="K33" s="8" t="str">
        <f>IF('طلب التصنيع'!BL19&gt;0,'طلب التصنيع'!AA19,"")</f>
        <v/>
      </c>
      <c r="L33" s="18" t="str">
        <f>IF('طلب التصنيع'!BL19&gt;0,'طلب التصنيع'!AA19,"")</f>
        <v/>
      </c>
      <c r="M33" s="148" t="str">
        <f>IF(J33=10.2,"بدون",'طلب التصنيع'!AZ19)</f>
        <v>نابضية ص</v>
      </c>
      <c r="N33" s="8">
        <f>IF(M33="بدون","بدون",'طلب التصنيع'!BB19)</f>
        <v>3</v>
      </c>
      <c r="O33" s="126"/>
      <c r="P33" s="121">
        <f t="shared" si="2"/>
        <v>116</v>
      </c>
      <c r="Q33" s="121">
        <f t="shared" si="3"/>
        <v>116</v>
      </c>
    </row>
    <row r="34" spans="1:17" ht="17.100000000000001" customHeight="1" x14ac:dyDescent="0.3">
      <c r="A34" s="2"/>
      <c r="B34" s="20">
        <f>'طلب التصنيع'!AS20</f>
        <v>22.5</v>
      </c>
      <c r="C34" s="97">
        <f>IF(B34=0,0,'طلب التصنيع'!U20)</f>
        <v>0</v>
      </c>
      <c r="D34" s="149">
        <f>'طلب التصنيع'!AT20</f>
        <v>116</v>
      </c>
      <c r="E34" s="8">
        <f>IF('طلب التصنيع'!X20="حصيرة فقط","",'طلب التصنيع'!AA20)</f>
        <v>1</v>
      </c>
      <c r="F34" s="27">
        <f>'طلب التصنيع'!AV20</f>
        <v>6</v>
      </c>
      <c r="G34" s="149">
        <f>'طلب التصنيع'!AT20</f>
        <v>116</v>
      </c>
      <c r="H34" s="8">
        <f>IF('طلب التصنيع'!X20="حصيرة فقط","",'طلب التصنيع'!AA20)</f>
        <v>1</v>
      </c>
      <c r="I34" s="5"/>
      <c r="J34" s="16" t="str">
        <f>IF('طلب التصنيع'!BL20&gt;0,F34,"")</f>
        <v/>
      </c>
      <c r="K34" s="8" t="str">
        <f>IF('طلب التصنيع'!BL20&gt;0,'طلب التصنيع'!AA20,"")</f>
        <v/>
      </c>
      <c r="L34" s="18" t="str">
        <f>IF('طلب التصنيع'!BL20&gt;0,'طلب التصنيع'!AA20,"")</f>
        <v/>
      </c>
      <c r="M34" s="148" t="str">
        <f>IF(J34=10.2,"بدون",'طلب التصنيع'!AZ20)</f>
        <v>نابضية ك</v>
      </c>
      <c r="N34" s="8">
        <f>IF(M34="بدون","بدون",'طلب التصنيع'!BB20)</f>
        <v>3</v>
      </c>
      <c r="O34" s="126"/>
      <c r="P34" s="121">
        <f t="shared" si="2"/>
        <v>116</v>
      </c>
      <c r="Q34" s="121">
        <f t="shared" si="3"/>
        <v>116</v>
      </c>
    </row>
    <row r="35" spans="1:17" ht="17.100000000000001" customHeight="1" x14ac:dyDescent="0.3">
      <c r="A35" s="2"/>
      <c r="B35" s="20">
        <f>'طلب التصنيع'!AS21</f>
        <v>18</v>
      </c>
      <c r="C35" s="97">
        <f>IF(B35=0,0,'طلب التصنيع'!U21)</f>
        <v>0</v>
      </c>
      <c r="D35" s="149">
        <f>'طلب التصنيع'!AT21</f>
        <v>116</v>
      </c>
      <c r="E35" s="8">
        <f>IF('طلب التصنيع'!X21="حصيرة فقط","",'طلب التصنيع'!AA21)</f>
        <v>1</v>
      </c>
      <c r="F35" s="27">
        <f>'طلب التصنيع'!AV21</f>
        <v>6</v>
      </c>
      <c r="G35" s="149">
        <f>'طلب التصنيع'!AT21</f>
        <v>116</v>
      </c>
      <c r="H35" s="8">
        <f>IF('طلب التصنيع'!X21="حصيرة فقط","",'طلب التصنيع'!AA21)</f>
        <v>1</v>
      </c>
      <c r="I35" s="5"/>
      <c r="J35" s="16" t="str">
        <f>IF('طلب التصنيع'!BL21&gt;0,F35,"")</f>
        <v/>
      </c>
      <c r="K35" s="8" t="str">
        <f>IF('طلب التصنيع'!BL21&gt;0,'طلب التصنيع'!AA21,"")</f>
        <v/>
      </c>
      <c r="L35" s="18" t="str">
        <f>IF('طلب التصنيع'!BL21&gt;0,'طلب التصنيع'!AA21,"")</f>
        <v/>
      </c>
      <c r="M35" s="148" t="str">
        <f>IF(J35=10.2,"بدون",'طلب التصنيع'!AZ21)</f>
        <v>نابضية ص</v>
      </c>
      <c r="N35" s="8">
        <f>IF(M35="بدون","بدون",'طلب التصنيع'!BB21)</f>
        <v>3</v>
      </c>
      <c r="O35" s="126"/>
      <c r="P35" s="121">
        <f t="shared" si="2"/>
        <v>116</v>
      </c>
      <c r="Q35" s="121">
        <f t="shared" si="3"/>
        <v>116</v>
      </c>
    </row>
    <row r="36" spans="1:17" ht="17.100000000000001" customHeight="1" x14ac:dyDescent="0.3">
      <c r="A36" s="2"/>
      <c r="B36" s="20">
        <f>'طلب التصنيع'!AS22</f>
        <v>18</v>
      </c>
      <c r="C36" s="97">
        <f>IF(B36=0,0,'طلب التصنيع'!U22)</f>
        <v>0</v>
      </c>
      <c r="D36" s="149">
        <f>'طلب التصنيع'!AT22</f>
        <v>116</v>
      </c>
      <c r="E36" s="8">
        <f>IF('طلب التصنيع'!X22="حصيرة فقط","",'طلب التصنيع'!AA22)</f>
        <v>1</v>
      </c>
      <c r="F36" s="27">
        <f>'طلب التصنيع'!AV22</f>
        <v>6</v>
      </c>
      <c r="G36" s="149">
        <f>'طلب التصنيع'!AT22</f>
        <v>116</v>
      </c>
      <c r="H36" s="8">
        <f>IF('طلب التصنيع'!X22="حصيرة فقط","",'طلب التصنيع'!AA22)</f>
        <v>1</v>
      </c>
      <c r="I36" s="5"/>
      <c r="J36" s="16" t="str">
        <f>IF('طلب التصنيع'!BL22&gt;0,F36,"")</f>
        <v/>
      </c>
      <c r="K36" s="8" t="str">
        <f>IF('طلب التصنيع'!BL22&gt;0,'طلب التصنيع'!AA22,"")</f>
        <v/>
      </c>
      <c r="L36" s="18" t="str">
        <f>IF('طلب التصنيع'!BL22&gt;0,'طلب التصنيع'!AA22,"")</f>
        <v/>
      </c>
      <c r="M36" s="148" t="str">
        <f>IF(J36=10.2,"بدون",'طلب التصنيع'!AZ22)</f>
        <v>نابضية ك</v>
      </c>
      <c r="N36" s="8">
        <f>IF(M36="بدون","بدون",'طلب التصنيع'!BB22)</f>
        <v>3</v>
      </c>
      <c r="O36" s="126"/>
      <c r="P36" s="121">
        <f t="shared" si="2"/>
        <v>116</v>
      </c>
      <c r="Q36" s="121">
        <f t="shared" si="3"/>
        <v>116</v>
      </c>
    </row>
    <row r="37" spans="1:17" ht="17.100000000000001" customHeight="1" x14ac:dyDescent="0.3">
      <c r="A37" s="2"/>
      <c r="B37" s="20">
        <f>'طلب التصنيع'!AS23</f>
        <v>20</v>
      </c>
      <c r="C37" s="97">
        <f>IF(B37=0,0,'طلب التصنيع'!U23)</f>
        <v>0</v>
      </c>
      <c r="D37" s="149">
        <f>'طلب التصنيع'!AT23</f>
        <v>116</v>
      </c>
      <c r="E37" s="8">
        <f>IF('طلب التصنيع'!X23="حصيرة فقط","",'طلب التصنيع'!AA23)</f>
        <v>1</v>
      </c>
      <c r="F37" s="27">
        <f>'طلب التصنيع'!AV23</f>
        <v>6</v>
      </c>
      <c r="G37" s="149">
        <f>'طلب التصنيع'!AT23</f>
        <v>116</v>
      </c>
      <c r="H37" s="8">
        <f>IF('طلب التصنيع'!X23="حصيرة فقط","",'طلب التصنيع'!AA23)</f>
        <v>1</v>
      </c>
      <c r="I37" s="5"/>
      <c r="J37" s="16" t="str">
        <f>IF('طلب التصنيع'!BL23&gt;0,F37,"")</f>
        <v/>
      </c>
      <c r="K37" s="8" t="str">
        <f>IF('طلب التصنيع'!BL23&gt;0,'طلب التصنيع'!AA23,"")</f>
        <v/>
      </c>
      <c r="L37" s="18" t="str">
        <f>IF('طلب التصنيع'!BL23&gt;0,'طلب التصنيع'!AA23,"")</f>
        <v/>
      </c>
      <c r="M37" s="148" t="str">
        <f>IF(J37=10.2,"بدون",'طلب التصنيع'!AZ23)</f>
        <v>نابضية ك</v>
      </c>
      <c r="N37" s="8">
        <f>IF(M37="بدون","بدون",'طلب التصنيع'!BB23)</f>
        <v>3</v>
      </c>
      <c r="O37" s="126"/>
      <c r="P37" s="121">
        <f t="shared" si="2"/>
        <v>116</v>
      </c>
      <c r="Q37" s="121">
        <f t="shared" si="3"/>
        <v>116</v>
      </c>
    </row>
    <row r="38" spans="1:17" s="102" customFormat="1" ht="15" customHeight="1" thickBot="1" x14ac:dyDescent="0.35">
      <c r="A38" s="100"/>
      <c r="B38" s="969" t="s">
        <v>175</v>
      </c>
      <c r="C38" s="970"/>
      <c r="D38" s="107">
        <f>P38</f>
        <v>11.6</v>
      </c>
      <c r="E38" s="108">
        <f>SUM(E28:E37)</f>
        <v>10</v>
      </c>
      <c r="F38" s="109" t="s">
        <v>175</v>
      </c>
      <c r="G38" s="110">
        <f>Q38</f>
        <v>11.6</v>
      </c>
      <c r="H38" s="108">
        <f>SUM(H28:H37)</f>
        <v>10</v>
      </c>
      <c r="I38" s="101"/>
      <c r="J38" s="111" t="str">
        <f>IF('طلب التصنيع'!BL39&gt;0,G38,"")</f>
        <v/>
      </c>
      <c r="K38" s="108">
        <f>SUM(K28:K37)</f>
        <v>0</v>
      </c>
      <c r="L38" s="112">
        <f>SUM(L28:L37)</f>
        <v>0</v>
      </c>
      <c r="M38" s="111">
        <f>IF(J38=10.2,"بدون",'طلب التصنيع'!AZ39)</f>
        <v>0</v>
      </c>
      <c r="N38" s="108">
        <f>IF(M38="بدون","بدون",'طلب التصنيع'!BB39)</f>
        <v>36</v>
      </c>
      <c r="O38" s="133"/>
      <c r="P38" s="131">
        <f>SUM(P28:P37)/100</f>
        <v>11.6</v>
      </c>
      <c r="Q38" s="131">
        <f>SUM(Q28:Q37)/100</f>
        <v>11.6</v>
      </c>
    </row>
    <row r="39" spans="1:17" ht="5.25" customHeight="1" thickBot="1" x14ac:dyDescent="0.35">
      <c r="A39" s="2"/>
      <c r="B39" s="4"/>
      <c r="C39" s="4"/>
      <c r="D39" s="5"/>
      <c r="E39" s="5"/>
      <c r="F39" s="5"/>
      <c r="G39" s="5"/>
      <c r="H39" s="5"/>
      <c r="I39" s="5"/>
      <c r="J39" s="4"/>
      <c r="K39" s="5"/>
      <c r="L39" s="5"/>
      <c r="M39" s="5"/>
      <c r="N39" s="5"/>
      <c r="O39" s="126"/>
    </row>
    <row r="40" spans="1:17" ht="17.25" customHeight="1" x14ac:dyDescent="0.3">
      <c r="A40" s="2"/>
      <c r="B40" s="971" t="s">
        <v>150</v>
      </c>
      <c r="C40" s="972"/>
      <c r="D40" s="972"/>
      <c r="E40" s="973"/>
      <c r="F40" s="974" t="s">
        <v>151</v>
      </c>
      <c r="G40" s="972"/>
      <c r="H40" s="973"/>
      <c r="I40" s="5"/>
      <c r="J40" s="975" t="s">
        <v>140</v>
      </c>
      <c r="K40" s="976"/>
      <c r="L40" s="976"/>
      <c r="M40" s="976"/>
      <c r="N40" s="977"/>
      <c r="O40" s="126"/>
    </row>
    <row r="41" spans="1:17" ht="18" customHeight="1" x14ac:dyDescent="0.3">
      <c r="A41" s="2"/>
      <c r="B41" s="151" t="s">
        <v>28</v>
      </c>
      <c r="C41" s="152" t="s">
        <v>88</v>
      </c>
      <c r="D41" s="152" t="s">
        <v>141</v>
      </c>
      <c r="E41" s="9" t="s">
        <v>33</v>
      </c>
      <c r="F41" s="978" t="s">
        <v>88</v>
      </c>
      <c r="G41" s="979"/>
      <c r="H41" s="9" t="s">
        <v>33</v>
      </c>
      <c r="I41" s="5"/>
      <c r="J41" s="980" t="s">
        <v>127</v>
      </c>
      <c r="K41" s="981"/>
      <c r="L41" s="981"/>
      <c r="M41" s="152" t="s">
        <v>33</v>
      </c>
      <c r="N41" s="9" t="s">
        <v>88</v>
      </c>
      <c r="O41" s="126"/>
    </row>
    <row r="42" spans="1:17" ht="20.100000000000001" customHeight="1" x14ac:dyDescent="0.3">
      <c r="A42" s="2"/>
      <c r="B42" s="20">
        <v>1</v>
      </c>
      <c r="C42" s="149" t="str">
        <f>IFERROR(VLOOKUP(B42,'طلب التصنيع'!$A$138:$J$161,4,0),"")</f>
        <v/>
      </c>
      <c r="D42" s="26" t="str">
        <f>IFERROR(VLOOKUP(B42,'طلب التصنيع'!$A$138:$J$161,6,0),"")</f>
        <v/>
      </c>
      <c r="E42" s="8" t="str">
        <f>IFERROR(VLOOKUP(B42,'طلب التصنيع'!$A$138:$J$161,10,0),"")</f>
        <v/>
      </c>
      <c r="F42" s="965" t="str">
        <f>IFERROR(VLOOKUP(B42,'طلب التصنيع'!$A$135:$J$137,4,0),"")</f>
        <v/>
      </c>
      <c r="G42" s="966"/>
      <c r="H42" s="8" t="str">
        <f>IFERROR(VLOOKUP(B42,'طلب التصنيع'!$A$135:$J$137,10,0),"")</f>
        <v/>
      </c>
      <c r="I42" s="5"/>
      <c r="J42" s="967" t="str">
        <f>IFERROR(VLOOKUP(B42,'طلب التصنيع'!$A$162:$J$167,4,0),"")</f>
        <v/>
      </c>
      <c r="K42" s="968"/>
      <c r="L42" s="968"/>
      <c r="M42" s="19" t="str">
        <f>IFERROR(VLOOKUP(B42,'طلب التصنيع'!$A$162:$J$167,10,0),"")</f>
        <v/>
      </c>
      <c r="N42" s="8" t="str">
        <f>IFERROR(VLOOKUP(B42,'طلب التصنيع'!$A$162:$J$167,6,0),"")</f>
        <v/>
      </c>
      <c r="O42" s="126"/>
    </row>
    <row r="43" spans="1:17" ht="20.100000000000001" customHeight="1" x14ac:dyDescent="0.3">
      <c r="A43" s="2"/>
      <c r="B43" s="20">
        <v>2</v>
      </c>
      <c r="C43" s="149" t="str">
        <f>IFERROR(VLOOKUP(B43,'طلب التصنيع'!$A$138:$J$161,4,0),"")</f>
        <v/>
      </c>
      <c r="D43" s="26" t="str">
        <f>IFERROR(VLOOKUP(B43,'طلب التصنيع'!$A$138:$J$161,6,0),"")</f>
        <v/>
      </c>
      <c r="E43" s="8" t="str">
        <f>IFERROR(VLOOKUP(B43,'طلب التصنيع'!$A$138:$J$161,10,0),"")</f>
        <v/>
      </c>
      <c r="F43" s="965" t="str">
        <f>IFERROR(VLOOKUP(B43,'طلب التصنيع'!$A$135:$J$137,4,0),"")</f>
        <v/>
      </c>
      <c r="G43" s="966"/>
      <c r="H43" s="8" t="str">
        <f>IFERROR(VLOOKUP(B43,'طلب التصنيع'!$A$135:$J$137,10,0),"")</f>
        <v/>
      </c>
      <c r="I43" s="5"/>
      <c r="J43" s="967" t="str">
        <f>IFERROR(VLOOKUP(B43,'طلب التصنيع'!$A$162:$J$167,4,0),"")</f>
        <v/>
      </c>
      <c r="K43" s="968"/>
      <c r="L43" s="968"/>
      <c r="M43" s="19" t="str">
        <f>IFERROR(VLOOKUP(B43,'طلب التصنيع'!$A$162:$J$167,10,0),"")</f>
        <v/>
      </c>
      <c r="N43" s="8" t="str">
        <f>IFERROR(VLOOKUP(B43,'طلب التصنيع'!$A$162:$J$167,6,0),"")</f>
        <v/>
      </c>
      <c r="O43" s="126"/>
    </row>
    <row r="44" spans="1:17" ht="20.100000000000001" customHeight="1" x14ac:dyDescent="0.3">
      <c r="A44" s="2"/>
      <c r="B44" s="20">
        <v>3</v>
      </c>
      <c r="C44" s="149" t="str">
        <f>IFERROR(VLOOKUP(B44,'طلب التصنيع'!$A$138:$J$161,4,0),"")</f>
        <v/>
      </c>
      <c r="D44" s="26" t="str">
        <f>IFERROR(VLOOKUP(B44,'طلب التصنيع'!$A$138:$J$161,6,0),"")</f>
        <v/>
      </c>
      <c r="E44" s="8" t="str">
        <f>IFERROR(VLOOKUP(B44,'طلب التصنيع'!$A$138:$J$161,10,0),"")</f>
        <v/>
      </c>
      <c r="F44" s="965" t="str">
        <f>IFERROR(VLOOKUP(B44,'طلب التصنيع'!$A$135:$J$137,4,0),"")</f>
        <v/>
      </c>
      <c r="G44" s="966"/>
      <c r="H44" s="8" t="str">
        <f>IFERROR(VLOOKUP(B44,'طلب التصنيع'!$A$135:$J$137,10,0),"")</f>
        <v/>
      </c>
      <c r="I44" s="5"/>
      <c r="J44" s="967" t="str">
        <f>IFERROR(VLOOKUP(B44,'طلب التصنيع'!$A$162:$J$167,4,0),"")</f>
        <v/>
      </c>
      <c r="K44" s="968"/>
      <c r="L44" s="968"/>
      <c r="M44" s="19" t="str">
        <f>IFERROR(VLOOKUP(B44,'طلب التصنيع'!$A$162:$J$167,10,0),"")</f>
        <v/>
      </c>
      <c r="N44" s="8" t="str">
        <f>IFERROR(VLOOKUP(B44,'طلب التصنيع'!$A$162:$J$167,6,0),"")</f>
        <v/>
      </c>
      <c r="O44" s="126"/>
    </row>
    <row r="45" spans="1:17" ht="20.100000000000001" customHeight="1" x14ac:dyDescent="0.3">
      <c r="A45" s="2"/>
      <c r="B45" s="20">
        <v>4</v>
      </c>
      <c r="C45" s="149" t="str">
        <f>IFERROR(VLOOKUP(B45,'طلب التصنيع'!$A$138:$J$161,4,0),"")</f>
        <v/>
      </c>
      <c r="D45" s="26" t="str">
        <f>IFERROR(VLOOKUP(B45,'طلب التصنيع'!$A$138:$J$161,6,0),"")</f>
        <v/>
      </c>
      <c r="E45" s="8" t="str">
        <f>IFERROR(VLOOKUP(B45,'طلب التصنيع'!$A$138:$J$161,10,0),"")</f>
        <v/>
      </c>
      <c r="F45" s="965" t="str">
        <f>IFERROR(VLOOKUP(B45,'طلب التصنيع'!$A$135:$J$137,4,0),"")</f>
        <v/>
      </c>
      <c r="G45" s="966"/>
      <c r="H45" s="8" t="str">
        <f>IFERROR(VLOOKUP(B45,'طلب التصنيع'!$A$135:$J$137,10,0),"")</f>
        <v/>
      </c>
      <c r="I45" s="5"/>
      <c r="J45" s="967" t="str">
        <f>IFERROR(VLOOKUP(B45,'طلب التصنيع'!$A$162:$J$167,4,0),"")</f>
        <v/>
      </c>
      <c r="K45" s="968"/>
      <c r="L45" s="968"/>
      <c r="M45" s="19" t="str">
        <f>IFERROR(VLOOKUP(B45,'طلب التصنيع'!$A$162:$J$167,10,0),"")</f>
        <v/>
      </c>
      <c r="N45" s="8" t="str">
        <f>IFERROR(VLOOKUP(B45,'طلب التصنيع'!$A$162:$J$167,6,0),"")</f>
        <v/>
      </c>
      <c r="O45" s="126"/>
    </row>
    <row r="46" spans="1:17" ht="20.100000000000001" customHeight="1" x14ac:dyDescent="0.3">
      <c r="A46" s="2"/>
      <c r="B46" s="20">
        <v>5</v>
      </c>
      <c r="C46" s="149" t="str">
        <f>IFERROR(VLOOKUP(B46,'طلب التصنيع'!$A$138:$J$161,4,0),"")</f>
        <v/>
      </c>
      <c r="D46" s="26" t="str">
        <f>IFERROR(VLOOKUP(B46,'طلب التصنيع'!$A$138:$J$161,6,0),"")</f>
        <v/>
      </c>
      <c r="E46" s="8" t="str">
        <f>IFERROR(VLOOKUP(B46,'طلب التصنيع'!$A$138:$J$161,10,0),"")</f>
        <v/>
      </c>
      <c r="F46" s="965" t="str">
        <f>IFERROR(VLOOKUP(B46,'طلب التصنيع'!$A$135:$J$137,4,0),"")</f>
        <v/>
      </c>
      <c r="G46" s="966"/>
      <c r="H46" s="8" t="str">
        <f>IFERROR(VLOOKUP(B46,'طلب التصنيع'!$A$135:$J$137,10,0),"")</f>
        <v/>
      </c>
      <c r="I46" s="5"/>
      <c r="J46" s="967" t="str">
        <f>IFERROR(VLOOKUP(B46,'طلب التصنيع'!$A$162:$J$167,4,0),"")</f>
        <v/>
      </c>
      <c r="K46" s="968"/>
      <c r="L46" s="968"/>
      <c r="M46" s="19" t="str">
        <f>IFERROR(VLOOKUP(B46,'طلب التصنيع'!$A$162:$J$167,10,0),"")</f>
        <v/>
      </c>
      <c r="N46" s="8" t="str">
        <f>IFERROR(VLOOKUP(B46,'طلب التصنيع'!$A$162:$J$167,6,0),"")</f>
        <v/>
      </c>
      <c r="O46" s="126"/>
    </row>
    <row r="47" spans="1:17" ht="20.100000000000001" customHeight="1" x14ac:dyDescent="0.3">
      <c r="A47" s="2"/>
      <c r="B47" s="20">
        <v>6</v>
      </c>
      <c r="C47" s="149" t="str">
        <f>IFERROR(VLOOKUP(B47,'طلب التصنيع'!$A$138:$J$161,4,0),"")</f>
        <v/>
      </c>
      <c r="D47" s="26" t="str">
        <f>IFERROR(VLOOKUP(B47,'طلب التصنيع'!$A$138:$J$161,6,0),"")</f>
        <v/>
      </c>
      <c r="E47" s="8" t="str">
        <f>IFERROR(VLOOKUP(B47,'طلب التصنيع'!$A$138:$J$161,10,0),"")</f>
        <v/>
      </c>
      <c r="F47" s="965" t="str">
        <f>IFERROR(VLOOKUP(B47,'طلب التصنيع'!$A$135:$J$137,4,0),"")</f>
        <v/>
      </c>
      <c r="G47" s="966"/>
      <c r="H47" s="8" t="str">
        <f>IFERROR(VLOOKUP(B47,'طلب التصنيع'!$A$135:$J$137,10,0),"")</f>
        <v/>
      </c>
      <c r="I47" s="5"/>
      <c r="J47" s="967" t="str">
        <f>IFERROR(VLOOKUP(B47,'طلب التصنيع'!$A$162:$J$167,4,0),"")</f>
        <v/>
      </c>
      <c r="K47" s="968"/>
      <c r="L47" s="968"/>
      <c r="M47" s="19" t="str">
        <f>IFERROR(VLOOKUP(B47,'طلب التصنيع'!$A$162:$J$167,10,0),"")</f>
        <v/>
      </c>
      <c r="N47" s="8" t="str">
        <f>IFERROR(VLOOKUP(B47,'طلب التصنيع'!$A$162:$J$167,6,0),"")</f>
        <v/>
      </c>
      <c r="O47" s="126"/>
    </row>
    <row r="48" spans="1:17" ht="20.100000000000001" customHeight="1" thickBot="1" x14ac:dyDescent="0.35">
      <c r="A48" s="2"/>
      <c r="B48" s="21">
        <v>7</v>
      </c>
      <c r="C48" s="30" t="str">
        <f>IFERROR(VLOOKUP(B48,'طلب التصنيع'!$A$138:$J$161,4,0),"")</f>
        <v/>
      </c>
      <c r="D48" s="3" t="str">
        <f>IFERROR(VLOOKUP(B48,'طلب التصنيع'!$A$138:$J$161,6,0),"")</f>
        <v/>
      </c>
      <c r="E48" s="15" t="str">
        <f>IFERROR(VLOOKUP(B48,'طلب التصنيع'!$A$138:$J$161,10,0),"")</f>
        <v/>
      </c>
      <c r="F48" s="961" t="str">
        <f>IFERROR(VLOOKUP(B48,'طلب التصنيع'!$A$135:$J$137,4,0),"")</f>
        <v/>
      </c>
      <c r="G48" s="962"/>
      <c r="H48" s="15" t="str">
        <f>IFERROR(VLOOKUP(B48,'طلب التصنيع'!$A$135:$J$137,10,0),"")</f>
        <v/>
      </c>
      <c r="I48" s="5"/>
      <c r="J48" s="963" t="str">
        <f>IFERROR(VLOOKUP(B48,'طلب التصنيع'!$A$162:$J$167,4,0),"")</f>
        <v/>
      </c>
      <c r="K48" s="964"/>
      <c r="L48" s="964"/>
      <c r="M48" s="22" t="str">
        <f>IFERROR(VLOOKUP(B48,'طلب التصنيع'!$A$162:$J$167,10,0),"")</f>
        <v/>
      </c>
      <c r="N48" s="15" t="str">
        <f>IFERROR(VLOOKUP(B48,'طلب التصنيع'!$A$162:$J$167,6,0),"")</f>
        <v/>
      </c>
      <c r="O48" s="126"/>
    </row>
    <row r="49" spans="1:15" ht="3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26"/>
    </row>
    <row r="50" spans="1:15" ht="15" hidden="1" thickBot="1" x14ac:dyDescent="0.35">
      <c r="B50" s="34"/>
      <c r="C50" s="35"/>
      <c r="D50" s="35"/>
      <c r="E50" s="35"/>
      <c r="F50" s="35"/>
      <c r="G50" s="35"/>
      <c r="H50" s="34"/>
      <c r="I50" s="35"/>
      <c r="J50" s="35"/>
      <c r="K50" s="35"/>
      <c r="L50" s="35"/>
      <c r="M50" s="35"/>
      <c r="N50" s="36"/>
    </row>
    <row r="65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.75" customHeight="1" x14ac:dyDescent="0.3"/>
    <row r="87" ht="15.75" customHeight="1" x14ac:dyDescent="0.3"/>
    <row r="89" ht="6" customHeight="1" x14ac:dyDescent="0.3"/>
  </sheetData>
  <mergeCells count="42">
    <mergeCell ref="B9:C9"/>
    <mergeCell ref="D9:H9"/>
    <mergeCell ref="L9:N9"/>
    <mergeCell ref="B5:N5"/>
    <mergeCell ref="B6:N6"/>
    <mergeCell ref="B8:C8"/>
    <mergeCell ref="D8:H8"/>
    <mergeCell ref="L8:N8"/>
    <mergeCell ref="M26:N26"/>
    <mergeCell ref="B10:C10"/>
    <mergeCell ref="D10:H10"/>
    <mergeCell ref="K10:L10"/>
    <mergeCell ref="M10:N10"/>
    <mergeCell ref="B12:B13"/>
    <mergeCell ref="C12:D12"/>
    <mergeCell ref="E12:H12"/>
    <mergeCell ref="K12:M12"/>
    <mergeCell ref="B24:C24"/>
    <mergeCell ref="E24:F24"/>
    <mergeCell ref="B26:E26"/>
    <mergeCell ref="F26:H26"/>
    <mergeCell ref="J26:K26"/>
    <mergeCell ref="B38:C38"/>
    <mergeCell ref="B40:E40"/>
    <mergeCell ref="F40:H40"/>
    <mergeCell ref="J40:N40"/>
    <mergeCell ref="F41:G41"/>
    <mergeCell ref="J41:L41"/>
    <mergeCell ref="F42:G42"/>
    <mergeCell ref="J42:L42"/>
    <mergeCell ref="F43:G43"/>
    <mergeCell ref="J43:L43"/>
    <mergeCell ref="F44:G44"/>
    <mergeCell ref="J44:L44"/>
    <mergeCell ref="F48:G48"/>
    <mergeCell ref="J48:L48"/>
    <mergeCell ref="F45:G45"/>
    <mergeCell ref="J45:L45"/>
    <mergeCell ref="F46:G46"/>
    <mergeCell ref="J46:L46"/>
    <mergeCell ref="F47:G47"/>
    <mergeCell ref="J47:L47"/>
  </mergeCells>
  <conditionalFormatting sqref="A5:B6">
    <cfRule type="cellIs" dxfId="42" priority="28" stopIfTrue="1" operator="equal">
      <formula>0</formula>
    </cfRule>
  </conditionalFormatting>
  <conditionalFormatting sqref="A26:B38">
    <cfRule type="cellIs" dxfId="41" priority="21" stopIfTrue="1" operator="equal">
      <formula>0</formula>
    </cfRule>
  </conditionalFormatting>
  <conditionalFormatting sqref="A40:B48">
    <cfRule type="cellIs" dxfId="40" priority="5" stopIfTrue="1" operator="equal">
      <formula>0</formula>
    </cfRule>
  </conditionalFormatting>
  <conditionalFormatting sqref="A1:O4 M10 A11:C14 K12 D13:H13 K13:L14 D14:J14 J23:L24 A25:L25 N25:O25 I27:K27 C27:C37 A39:O39 A49:O49">
    <cfRule type="cellIs" dxfId="39" priority="55" stopIfTrue="1" operator="equal">
      <formula>0</formula>
    </cfRule>
  </conditionalFormatting>
  <conditionalFormatting sqref="B8:B10">
    <cfRule type="cellIs" dxfId="38" priority="10" stopIfTrue="1" operator="equal">
      <formula>0</formula>
    </cfRule>
  </conditionalFormatting>
  <conditionalFormatting sqref="B7:C7">
    <cfRule type="cellIs" dxfId="37" priority="16" stopIfTrue="1" operator="equal">
      <formula>0</formula>
    </cfRule>
  </conditionalFormatting>
  <conditionalFormatting sqref="B15:L22 B23:I23 B24 H24:I24">
    <cfRule type="cellIs" dxfId="36" priority="54" stopIfTrue="1" operator="equal">
      <formula>0</formula>
    </cfRule>
  </conditionalFormatting>
  <conditionalFormatting sqref="C41:C45 D42:D45">
    <cfRule type="cellIs" dxfId="35" priority="32" stopIfTrue="1" operator="equal">
      <formula>0</formula>
    </cfRule>
  </conditionalFormatting>
  <conditionalFormatting sqref="C46:D48">
    <cfRule type="cellIs" dxfId="34" priority="3" stopIfTrue="1" operator="equal">
      <formula>0</formula>
    </cfRule>
  </conditionalFormatting>
  <conditionalFormatting sqref="D7:D11">
    <cfRule type="cellIs" dxfId="33" priority="9" stopIfTrue="1" operator="equal">
      <formula>0</formula>
    </cfRule>
  </conditionalFormatting>
  <conditionalFormatting sqref="D27:D38">
    <cfRule type="cellIs" dxfId="32" priority="24" stopIfTrue="1" operator="equal">
      <formula>0</formula>
    </cfRule>
  </conditionalFormatting>
  <conditionalFormatting sqref="D41:E41">
    <cfRule type="cellIs" dxfId="31" priority="31" stopIfTrue="1" operator="equal">
      <formula>0</formula>
    </cfRule>
  </conditionalFormatting>
  <conditionalFormatting sqref="E24">
    <cfRule type="cellIs" dxfId="30" priority="1" stopIfTrue="1" operator="equal">
      <formula>0</formula>
    </cfRule>
  </conditionalFormatting>
  <conditionalFormatting sqref="E42:E48">
    <cfRule type="cellIs" dxfId="29" priority="2" stopIfTrue="1" operator="equal">
      <formula>0</formula>
    </cfRule>
  </conditionalFormatting>
  <conditionalFormatting sqref="E38:F38">
    <cfRule type="cellIs" dxfId="28" priority="18" stopIfTrue="1" operator="equal">
      <formula>0</formula>
    </cfRule>
  </conditionalFormatting>
  <conditionalFormatting sqref="E27:G37">
    <cfRule type="cellIs" dxfId="27" priority="20" stopIfTrue="1" operator="equal">
      <formula>0</formula>
    </cfRule>
  </conditionalFormatting>
  <conditionalFormatting sqref="E7:K7">
    <cfRule type="cellIs" dxfId="26" priority="15" stopIfTrue="1" operator="equal">
      <formula>0</formula>
    </cfRule>
  </conditionalFormatting>
  <conditionalFormatting sqref="E11:O11">
    <cfRule type="cellIs" dxfId="25" priority="51" stopIfTrue="1" operator="equal">
      <formula>0</formula>
    </cfRule>
  </conditionalFormatting>
  <conditionalFormatting sqref="F26">
    <cfRule type="cellIs" dxfId="24" priority="46" stopIfTrue="1" operator="equal">
      <formula>0</formula>
    </cfRule>
  </conditionalFormatting>
  <conditionalFormatting sqref="F41:F48">
    <cfRule type="cellIs" dxfId="23" priority="7" stopIfTrue="1" operator="equal">
      <formula>0</formula>
    </cfRule>
  </conditionalFormatting>
  <conditionalFormatting sqref="H27:H38">
    <cfRule type="cellIs" dxfId="22" priority="23" stopIfTrue="1" operator="equal">
      <formula>0</formula>
    </cfRule>
  </conditionalFormatting>
  <conditionalFormatting sqref="H41:J48">
    <cfRule type="cellIs" dxfId="21" priority="6" stopIfTrue="1" operator="equal">
      <formula>0</formula>
    </cfRule>
  </conditionalFormatting>
  <conditionalFormatting sqref="I8:J10">
    <cfRule type="cellIs" dxfId="20" priority="11" stopIfTrue="1" operator="equal">
      <formula>0</formula>
    </cfRule>
  </conditionalFormatting>
  <conditionalFormatting sqref="I12:J13">
    <cfRule type="cellIs" dxfId="19" priority="48" stopIfTrue="1" operator="equal">
      <formula>0</formula>
    </cfRule>
  </conditionalFormatting>
  <conditionalFormatting sqref="I26:J26">
    <cfRule type="cellIs" dxfId="18" priority="45" stopIfTrue="1" operator="equal">
      <formula>0</formula>
    </cfRule>
  </conditionalFormatting>
  <conditionalFormatting sqref="I40:J40">
    <cfRule type="cellIs" dxfId="17" priority="40" stopIfTrue="1" operator="equal">
      <formula>0</formula>
    </cfRule>
  </conditionalFormatting>
  <conditionalFormatting sqref="I28:L38">
    <cfRule type="cellIs" dxfId="16" priority="26" stopIfTrue="1" operator="equal">
      <formula>0</formula>
    </cfRule>
  </conditionalFormatting>
  <conditionalFormatting sqref="K10">
    <cfRule type="cellIs" dxfId="15" priority="29" stopIfTrue="1" operator="equal">
      <formula>0</formula>
    </cfRule>
  </conditionalFormatting>
  <conditionalFormatting sqref="L8:L9">
    <cfRule type="cellIs" dxfId="14" priority="12" stopIfTrue="1" operator="equal">
      <formula>0</formula>
    </cfRule>
  </conditionalFormatting>
  <conditionalFormatting sqref="L26:L27">
    <cfRule type="cellIs" dxfId="13" priority="37" stopIfTrue="1" operator="equal">
      <formula>0</formula>
    </cfRule>
  </conditionalFormatting>
  <conditionalFormatting sqref="M13:M25">
    <cfRule type="cellIs" dxfId="12" priority="36" stopIfTrue="1" operator="equal">
      <formula>0</formula>
    </cfRule>
  </conditionalFormatting>
  <conditionalFormatting sqref="M27:N38">
    <cfRule type="cellIs" dxfId="11" priority="22" stopIfTrue="1" operator="equal">
      <formula>0</formula>
    </cfRule>
  </conditionalFormatting>
  <conditionalFormatting sqref="M41:N48">
    <cfRule type="cellIs" dxfId="10" priority="4" stopIfTrue="1" operator="equal">
      <formula>0</formula>
    </cfRule>
  </conditionalFormatting>
  <conditionalFormatting sqref="N13:N24">
    <cfRule type="cellIs" dxfId="9" priority="34" stopIfTrue="1" operator="equal">
      <formula>0</formula>
    </cfRule>
  </conditionalFormatting>
  <conditionalFormatting sqref="O5:O10 A7:A10">
    <cfRule type="cellIs" dxfId="8" priority="17" stopIfTrue="1" operator="equal">
      <formula>0</formula>
    </cfRule>
  </conditionalFormatting>
  <conditionalFormatting sqref="O12:O24 A15:A24">
    <cfRule type="cellIs" dxfId="7" priority="53" stopIfTrue="1" operator="equal">
      <formula>0</formula>
    </cfRule>
  </conditionalFormatting>
  <conditionalFormatting sqref="O26:O38">
    <cfRule type="cellIs" dxfId="6" priority="25" stopIfTrue="1" operator="equal">
      <formula>0</formula>
    </cfRule>
  </conditionalFormatting>
  <conditionalFormatting sqref="O40:O48">
    <cfRule type="cellIs" dxfId="5" priority="8" stopIfTrue="1" operator="equal">
      <formula>0</formula>
    </cfRule>
  </conditionalFormatting>
  <dataValidations count="1">
    <dataValidation type="list" allowBlank="1" showInputMessage="1" showErrorMessage="1" sqref="B26:E26" xr:uid="{00000000-0002-0000-0300-000000000000}">
      <formula1>$S$26:$S$31</formula1>
    </dataValidation>
  </dataValidations>
  <printOptions horizontalCentered="1" verticalCentered="1"/>
  <pageMargins left="0" right="0" top="0" bottom="0" header="0" footer="0"/>
  <pageSetup paperSize="9" scale="95" orientation="portrait" r:id="rId1"/>
  <headerFooter>
    <oddFooter>&amp;L&amp;P/&amp;N&amp;Cتاريخ الإصدار: 2014/09/01  تاريخ المراجعة:&amp;R رقم الوثيقة: QR-08-03-01   رقم الإصدار: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0" tint="-0.34998626667073579"/>
  </sheetPr>
  <dimension ref="A1:XFC126"/>
  <sheetViews>
    <sheetView rightToLeft="1" topLeftCell="D11" zoomScale="170" zoomScaleNormal="170" zoomScaleSheetLayoutView="115" workbookViewId="0">
      <selection activeCell="I14" sqref="I14"/>
    </sheetView>
  </sheetViews>
  <sheetFormatPr defaultColWidth="0" defaultRowHeight="14.4" x14ac:dyDescent="0.3"/>
  <cols>
    <col min="1" max="1" width="2.6640625" style="77" hidden="1" customWidth="1"/>
    <col min="2" max="2" width="6" style="77" hidden="1" customWidth="1"/>
    <col min="3" max="3" width="3.88671875" style="77" hidden="1" customWidth="1"/>
    <col min="4" max="4" width="5.33203125" style="40" customWidth="1"/>
    <col min="5" max="5" width="20.5546875" style="40" customWidth="1"/>
    <col min="6" max="6" width="8.6640625" style="40" bestFit="1" customWidth="1"/>
    <col min="7" max="7" width="6.88671875" style="40" customWidth="1"/>
    <col min="8" max="9" width="5.88671875" style="40" bestFit="1" customWidth="1"/>
    <col min="10" max="10" width="5.44140625" style="40" customWidth="1"/>
    <col min="11" max="11" width="4.5546875" style="40" customWidth="1"/>
    <col min="12" max="12" width="8.109375" style="40" bestFit="1" customWidth="1"/>
    <col min="13" max="13" width="7" style="40" customWidth="1"/>
    <col min="14" max="14" width="8.5546875" style="73" bestFit="1" customWidth="1"/>
    <col min="15" max="15" width="11.44140625" style="75" customWidth="1"/>
    <col min="16" max="16" width="9.109375" style="87" hidden="1" customWidth="1"/>
    <col min="17" max="18" width="9.109375" style="77" hidden="1" customWidth="1"/>
    <col min="19" max="19" width="12.5546875" style="77" hidden="1" customWidth="1"/>
    <col min="20" max="34" width="0" style="77" hidden="1"/>
    <col min="35" max="35" width="0.6640625" style="77" hidden="1"/>
    <col min="36" max="37" width="9.109375" style="77" hidden="1"/>
    <col min="38" max="839" width="0" style="77" hidden="1"/>
    <col min="840" max="16382" width="9.109375" style="77" hidden="1"/>
    <col min="16383" max="16383" width="4.33203125" style="77" hidden="1" customWidth="1"/>
    <col min="16384" max="16384" width="1.44140625" style="77" hidden="1" customWidth="1"/>
  </cols>
  <sheetData>
    <row r="1" spans="1:35" hidden="1" x14ac:dyDescent="0.3"/>
    <row r="2" spans="1:35" hidden="1" x14ac:dyDescent="0.3">
      <c r="P2" s="76"/>
    </row>
    <row r="3" spans="1:35" hidden="1" x14ac:dyDescent="0.3">
      <c r="P3" s="76"/>
    </row>
    <row r="4" spans="1:35" ht="9.75" customHeight="1" x14ac:dyDescent="0.3">
      <c r="D4" s="63"/>
      <c r="E4" s="63"/>
      <c r="F4" s="63"/>
      <c r="G4" s="63"/>
      <c r="H4" s="63"/>
      <c r="I4" s="63"/>
      <c r="J4" s="63"/>
      <c r="K4" s="63"/>
      <c r="L4" s="63"/>
      <c r="M4" s="63"/>
      <c r="N4" s="72"/>
      <c r="O4" s="170"/>
      <c r="P4" s="76"/>
    </row>
    <row r="5" spans="1:35" ht="24.75" customHeight="1" x14ac:dyDescent="0.3">
      <c r="D5" s="1051" t="s">
        <v>153</v>
      </c>
      <c r="E5" s="1051"/>
      <c r="F5" s="1051"/>
      <c r="G5" s="1051"/>
      <c r="H5" s="1051"/>
      <c r="I5" s="1051"/>
      <c r="J5" s="1051"/>
      <c r="K5" s="1051"/>
      <c r="L5" s="1051"/>
      <c r="M5" s="1051"/>
      <c r="N5" s="1051"/>
      <c r="O5" s="1051"/>
      <c r="P5" s="76"/>
    </row>
    <row r="6" spans="1:35" ht="24.75" customHeight="1" x14ac:dyDescent="0.3">
      <c r="D6" s="1052" t="s">
        <v>154</v>
      </c>
      <c r="E6" s="1052"/>
      <c r="F6" s="1052"/>
      <c r="G6" s="1052"/>
      <c r="H6" s="1052"/>
      <c r="I6" s="1052"/>
      <c r="J6" s="1052"/>
      <c r="K6" s="1052"/>
      <c r="L6" s="1052"/>
      <c r="M6" s="1052"/>
      <c r="N6" s="1052"/>
      <c r="O6" s="1052"/>
      <c r="P6" s="76"/>
    </row>
    <row r="7" spans="1:35" ht="16.5" customHeight="1" x14ac:dyDescent="0.3"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76"/>
    </row>
    <row r="8" spans="1:35" ht="18.899999999999999" customHeight="1" x14ac:dyDescent="0.3">
      <c r="D8" s="1057" t="s">
        <v>60</v>
      </c>
      <c r="E8" s="1057"/>
      <c r="F8" s="1058">
        <f>'طلب التصنيع'!U6</f>
        <v>0</v>
      </c>
      <c r="G8" s="1058"/>
      <c r="H8" s="1058"/>
      <c r="I8" s="1058"/>
      <c r="J8" s="221"/>
      <c r="K8" s="1057" t="s">
        <v>61</v>
      </c>
      <c r="L8" s="1057"/>
      <c r="M8" s="1057"/>
      <c r="N8" s="1061">
        <f>'طلب التصنيع'!AI6</f>
        <v>0</v>
      </c>
      <c r="O8" s="1061"/>
      <c r="P8" s="76" t="s">
        <v>181</v>
      </c>
      <c r="Q8" s="40" t="s">
        <v>183</v>
      </c>
    </row>
    <row r="9" spans="1:35" ht="18.899999999999999" customHeight="1" x14ac:dyDescent="0.3">
      <c r="D9" s="1057" t="s">
        <v>152</v>
      </c>
      <c r="E9" s="1057"/>
      <c r="F9" s="1058">
        <f>'طلب التصنيع'!U7</f>
        <v>0</v>
      </c>
      <c r="G9" s="1058"/>
      <c r="H9" s="1058"/>
      <c r="I9" s="1058"/>
      <c r="J9" s="221"/>
      <c r="K9" s="1057" t="s">
        <v>179</v>
      </c>
      <c r="L9" s="1057"/>
      <c r="M9" s="1057"/>
      <c r="N9" s="1062">
        <f>'طلب التصنيع'!AI7</f>
        <v>0</v>
      </c>
      <c r="O9" s="1062"/>
      <c r="P9" s="76" t="s">
        <v>62</v>
      </c>
      <c r="Q9" s="76" t="s">
        <v>63</v>
      </c>
      <c r="R9" s="76" t="s">
        <v>64</v>
      </c>
      <c r="S9" s="76" t="s">
        <v>65</v>
      </c>
      <c r="T9" s="76" t="s">
        <v>66</v>
      </c>
      <c r="U9" s="76" t="s">
        <v>67</v>
      </c>
      <c r="V9" s="76" t="s">
        <v>68</v>
      </c>
      <c r="W9" s="76" t="s">
        <v>69</v>
      </c>
      <c r="X9" s="76" t="s">
        <v>70</v>
      </c>
      <c r="Y9" s="76" t="s">
        <v>71</v>
      </c>
      <c r="Z9" s="76" t="s">
        <v>72</v>
      </c>
      <c r="AA9" s="76" t="s">
        <v>73</v>
      </c>
      <c r="AB9" s="76" t="s">
        <v>74</v>
      </c>
      <c r="AC9" s="76" t="s">
        <v>75</v>
      </c>
      <c r="AD9" s="76" t="s">
        <v>76</v>
      </c>
      <c r="AE9" s="76" t="s">
        <v>77</v>
      </c>
      <c r="AF9" s="76" t="s">
        <v>78</v>
      </c>
      <c r="AG9" s="76" t="s">
        <v>79</v>
      </c>
      <c r="AH9" s="76" t="s">
        <v>80</v>
      </c>
      <c r="AI9" s="76" t="s">
        <v>81</v>
      </c>
    </row>
    <row r="10" spans="1:35" ht="10.5" hidden="1" customHeight="1" x14ac:dyDescent="0.3">
      <c r="D10" s="78"/>
      <c r="E10" s="78"/>
      <c r="F10" s="220"/>
      <c r="G10" s="220"/>
      <c r="H10" s="220"/>
      <c r="I10" s="220"/>
      <c r="J10" s="220"/>
      <c r="K10" s="78"/>
      <c r="L10" s="78"/>
      <c r="M10" s="78"/>
      <c r="N10" s="78"/>
      <c r="O10" s="78"/>
      <c r="P10" s="76"/>
    </row>
    <row r="11" spans="1:35" ht="18" customHeight="1" x14ac:dyDescent="0.3"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76"/>
    </row>
    <row r="12" spans="1:35" s="40" customFormat="1" ht="16.5" customHeight="1" x14ac:dyDescent="0.3">
      <c r="D12" s="1053" t="s">
        <v>104</v>
      </c>
      <c r="E12" s="1053" t="s">
        <v>229</v>
      </c>
      <c r="F12" s="1053" t="s">
        <v>0</v>
      </c>
      <c r="G12" s="1053" t="s">
        <v>85</v>
      </c>
      <c r="H12" s="1053" t="s">
        <v>193</v>
      </c>
      <c r="I12" s="1053"/>
      <c r="J12" s="1053" t="s">
        <v>32</v>
      </c>
      <c r="K12" s="1053" t="s">
        <v>33</v>
      </c>
      <c r="L12" s="1055" t="s">
        <v>42</v>
      </c>
      <c r="M12" s="1053" t="s">
        <v>388</v>
      </c>
      <c r="N12" s="1059" t="s">
        <v>376</v>
      </c>
      <c r="O12" s="1054" t="s">
        <v>387</v>
      </c>
      <c r="P12" s="76"/>
    </row>
    <row r="13" spans="1:35" s="40" customFormat="1" ht="36.75" customHeight="1" x14ac:dyDescent="0.3">
      <c r="D13" s="1053"/>
      <c r="E13" s="1053"/>
      <c r="F13" s="1053"/>
      <c r="G13" s="1053"/>
      <c r="H13" s="74" t="s">
        <v>38</v>
      </c>
      <c r="I13" s="41" t="s">
        <v>19</v>
      </c>
      <c r="J13" s="1053"/>
      <c r="K13" s="1053"/>
      <c r="L13" s="1056"/>
      <c r="M13" s="1053"/>
      <c r="N13" s="1060"/>
      <c r="O13" s="1054"/>
    </row>
    <row r="14" spans="1:35" s="40" customFormat="1" ht="16.8" x14ac:dyDescent="0.3">
      <c r="A14" s="40">
        <f>IF(C14="شراء",1,0)</f>
        <v>0</v>
      </c>
      <c r="B14" s="40">
        <f>IF(A14=1,1,0)</f>
        <v>0</v>
      </c>
      <c r="D14" s="79">
        <v>1</v>
      </c>
      <c r="E14" s="42" t="str">
        <f>'طلب التصنيع'!D14</f>
        <v>شريحة 4.6 سم مدار</v>
      </c>
      <c r="F14" s="264">
        <f>'طلب التصنيع'!E14</f>
        <v>0</v>
      </c>
      <c r="G14" s="43">
        <f>'طلب التصنيع'!F14</f>
        <v>103.6</v>
      </c>
      <c r="H14" s="43">
        <f>'طلب التصنيع'!G14</f>
        <v>166.5</v>
      </c>
      <c r="I14" s="48">
        <f>'طلب التصنيع'!H14</f>
        <v>37</v>
      </c>
      <c r="J14" s="80">
        <f>'طلب التصنيع'!I14</f>
        <v>1.7249399999999997</v>
      </c>
      <c r="K14" s="44">
        <f>'طلب التصنيع'!J14</f>
        <v>1</v>
      </c>
      <c r="L14" s="44">
        <f>'طلب التصنيع'!L14</f>
        <v>1</v>
      </c>
      <c r="M14" s="44">
        <f>L14*K14*J14</f>
        <v>1.7249399999999997</v>
      </c>
      <c r="N14" s="410">
        <f>'طلب التصنيع'!O14</f>
        <v>4.5999999999999996</v>
      </c>
      <c r="O14" s="45">
        <f>M14*(1-N14)</f>
        <v>-6.2097839999999982</v>
      </c>
    </row>
    <row r="15" spans="1:35" s="40" customFormat="1" ht="16.8" x14ac:dyDescent="0.3">
      <c r="A15" s="40">
        <f t="shared" ref="A15:A78" si="0">IF(C15="شراء",1,0)</f>
        <v>0</v>
      </c>
      <c r="B15" s="40">
        <f>IF(A15=1,SUM($A$14:A15),0)</f>
        <v>0</v>
      </c>
      <c r="D15" s="79">
        <v>2</v>
      </c>
      <c r="E15" s="42" t="str">
        <f>'طلب التصنيع'!D15</f>
        <v>شريحة 5.8 مدار</v>
      </c>
      <c r="F15" s="264">
        <f>'طلب التصنيع'!E15</f>
        <v>0</v>
      </c>
      <c r="G15" s="43">
        <f>'طلب التصنيع'!F15</f>
        <v>103.6</v>
      </c>
      <c r="H15" s="43">
        <f>'طلب التصنيع'!G15</f>
        <v>168.2</v>
      </c>
      <c r="I15" s="48">
        <f>'طلب التصنيع'!H15</f>
        <v>29</v>
      </c>
      <c r="J15" s="80">
        <f>'طلب التصنيع'!I15</f>
        <v>1.7425519999999997</v>
      </c>
      <c r="K15" s="44">
        <f>'طلب التصنيع'!J15</f>
        <v>1</v>
      </c>
      <c r="L15" s="44">
        <f>'طلب التصنيع'!L15</f>
        <v>1</v>
      </c>
      <c r="M15" s="44">
        <f t="shared" ref="M15:M37" si="1">L15*K15*J15</f>
        <v>1.7425519999999997</v>
      </c>
      <c r="N15" s="410">
        <f>'طلب التصنيع'!O15</f>
        <v>5.8</v>
      </c>
      <c r="O15" s="45">
        <f t="shared" ref="O15:O38" si="2">M15*(1-N15)</f>
        <v>-8.3642495999999973</v>
      </c>
      <c r="P15" s="76"/>
    </row>
    <row r="16" spans="1:35" s="40" customFormat="1" ht="16.8" x14ac:dyDescent="0.3">
      <c r="A16" s="40">
        <f t="shared" si="0"/>
        <v>0</v>
      </c>
      <c r="B16" s="40">
        <f>IF(A16=1,SUM($A$14:A16),0)</f>
        <v>0</v>
      </c>
      <c r="D16" s="79">
        <v>3</v>
      </c>
      <c r="E16" s="42" t="str">
        <f>'طلب التصنيع'!D16</f>
        <v>شريحة حماية 5.5 مدار</v>
      </c>
      <c r="F16" s="264">
        <f>'طلب التصنيع'!E16</f>
        <v>0</v>
      </c>
      <c r="G16" s="43">
        <f>'طلب التصنيع'!F16</f>
        <v>103.6</v>
      </c>
      <c r="H16" s="43">
        <f>'طلب التصنيع'!G16</f>
        <v>165</v>
      </c>
      <c r="I16" s="48">
        <f>'طلب التصنيع'!H16</f>
        <v>30</v>
      </c>
      <c r="J16" s="80">
        <f>'طلب التصنيع'!I16</f>
        <v>1.7094</v>
      </c>
      <c r="K16" s="44">
        <f>'طلب التصنيع'!J16</f>
        <v>1</v>
      </c>
      <c r="L16" s="44">
        <f>'طلب التصنيع'!L16</f>
        <v>1</v>
      </c>
      <c r="M16" s="44">
        <f t="shared" si="1"/>
        <v>1.7094</v>
      </c>
      <c r="N16" s="410">
        <f>'طلب التصنيع'!O16</f>
        <v>5.5</v>
      </c>
      <c r="O16" s="45">
        <f t="shared" si="2"/>
        <v>-7.6923000000000004</v>
      </c>
      <c r="P16" s="76"/>
    </row>
    <row r="17" spans="1:16" s="40" customFormat="1" ht="16.8" x14ac:dyDescent="0.3">
      <c r="A17" s="40">
        <f t="shared" si="0"/>
        <v>0</v>
      </c>
      <c r="B17" s="40">
        <f>IF(A17=1,SUM($A$14:A17),0)</f>
        <v>0</v>
      </c>
      <c r="D17" s="79">
        <v>4</v>
      </c>
      <c r="E17" s="42" t="str">
        <f>'طلب التصنيع'!D17</f>
        <v>شريحة زنكاليوم 5.5 مدار</v>
      </c>
      <c r="F17" s="264">
        <f>'طلب التصنيع'!E17</f>
        <v>0</v>
      </c>
      <c r="G17" s="43">
        <f>'طلب التصنيع'!F17</f>
        <v>103.6</v>
      </c>
      <c r="H17" s="43">
        <f>'طلب التصنيع'!G17</f>
        <v>165</v>
      </c>
      <c r="I17" s="48">
        <f>'طلب التصنيع'!H17</f>
        <v>30</v>
      </c>
      <c r="J17" s="80">
        <f>'طلب التصنيع'!I17</f>
        <v>1.7094</v>
      </c>
      <c r="K17" s="44">
        <f>'طلب التصنيع'!J17</f>
        <v>1</v>
      </c>
      <c r="L17" s="44">
        <f>'طلب التصنيع'!L17</f>
        <v>1</v>
      </c>
      <c r="M17" s="44">
        <f t="shared" si="1"/>
        <v>1.7094</v>
      </c>
      <c r="N17" s="410">
        <f>'طلب التصنيع'!O17</f>
        <v>5.5</v>
      </c>
      <c r="O17" s="45">
        <f t="shared" si="2"/>
        <v>-7.6923000000000004</v>
      </c>
      <c r="P17" s="76"/>
    </row>
    <row r="18" spans="1:16" s="40" customFormat="1" ht="16.8" x14ac:dyDescent="0.3">
      <c r="A18" s="40">
        <f t="shared" si="0"/>
        <v>0</v>
      </c>
      <c r="B18" s="40">
        <f>IF(A18=1,SUM($A$14:A18),0)</f>
        <v>0</v>
      </c>
      <c r="D18" s="79">
        <v>5</v>
      </c>
      <c r="E18" s="42" t="str">
        <f>'طلب التصنيع'!D18</f>
        <v>شريحة مدار 5.5</v>
      </c>
      <c r="F18" s="264">
        <f>'طلب التصنيع'!E18</f>
        <v>0</v>
      </c>
      <c r="G18" s="43">
        <f>'طلب التصنيع'!F18</f>
        <v>103.6</v>
      </c>
      <c r="H18" s="43">
        <f>'طلب التصنيع'!G18</f>
        <v>165</v>
      </c>
      <c r="I18" s="48">
        <f>'طلب التصنيع'!H18</f>
        <v>30</v>
      </c>
      <c r="J18" s="80">
        <f>'طلب التصنيع'!I18</f>
        <v>1.7094</v>
      </c>
      <c r="K18" s="44">
        <f>'طلب التصنيع'!J18</f>
        <v>1</v>
      </c>
      <c r="L18" s="44" t="e">
        <f>'طلب التصنيع'!L18</f>
        <v>#N/A</v>
      </c>
      <c r="M18" s="44" t="e">
        <f t="shared" si="1"/>
        <v>#N/A</v>
      </c>
      <c r="N18" s="410">
        <f>'طلب التصنيع'!O18</f>
        <v>5.5</v>
      </c>
      <c r="O18" s="45" t="e">
        <f t="shared" si="2"/>
        <v>#N/A</v>
      </c>
      <c r="P18" s="76"/>
    </row>
    <row r="19" spans="1:16" s="40" customFormat="1" ht="16.8" x14ac:dyDescent="0.3">
      <c r="A19" s="40">
        <f t="shared" si="0"/>
        <v>0</v>
      </c>
      <c r="B19" s="40">
        <f>IF(A19=1,SUM($A$14:A19),0)</f>
        <v>0</v>
      </c>
      <c r="D19" s="79">
        <v>6</v>
      </c>
      <c r="E19" s="42" t="str">
        <f>'طلب التصنيع'!D19</f>
        <v>شريحة مدار 4سم زنكاليوم</v>
      </c>
      <c r="F19" s="264">
        <f>'طلب التصنيع'!E19</f>
        <v>0</v>
      </c>
      <c r="G19" s="43">
        <f>'طلب التصنيع'!F19</f>
        <v>103.6</v>
      </c>
      <c r="H19" s="43">
        <f>'طلب التصنيع'!G19</f>
        <v>168</v>
      </c>
      <c r="I19" s="48">
        <f>'طلب التصنيع'!H19</f>
        <v>42</v>
      </c>
      <c r="J19" s="80">
        <f>'طلب التصنيع'!I19</f>
        <v>1.74048</v>
      </c>
      <c r="K19" s="44">
        <f>'طلب التصنيع'!J19</f>
        <v>1</v>
      </c>
      <c r="L19" s="44" t="e">
        <f>'طلب التصنيع'!L19</f>
        <v>#N/A</v>
      </c>
      <c r="M19" s="44" t="e">
        <f t="shared" si="1"/>
        <v>#N/A</v>
      </c>
      <c r="N19" s="410">
        <f>'طلب التصنيع'!O19</f>
        <v>4</v>
      </c>
      <c r="O19" s="45" t="e">
        <f t="shared" si="2"/>
        <v>#N/A</v>
      </c>
      <c r="P19" s="76"/>
    </row>
    <row r="20" spans="1:16" s="40" customFormat="1" ht="16.8" x14ac:dyDescent="0.3">
      <c r="A20" s="40">
        <f t="shared" si="0"/>
        <v>0</v>
      </c>
      <c r="B20" s="40">
        <f>IF(A20=1,SUM($A$14:A20),0)</f>
        <v>0</v>
      </c>
      <c r="D20" s="79">
        <v>7</v>
      </c>
      <c r="E20" s="42" t="str">
        <f>'طلب التصنيع'!D20</f>
        <v>شريحة مدار 5.8 هارفوم</v>
      </c>
      <c r="F20" s="264">
        <f>'طلب التصنيع'!E20</f>
        <v>0</v>
      </c>
      <c r="G20" s="43">
        <f>'طلب التصنيع'!F20</f>
        <v>102.9</v>
      </c>
      <c r="H20" s="43">
        <f>'طلب التصنيع'!G20</f>
        <v>168.20000000000002</v>
      </c>
      <c r="I20" s="48">
        <f>'طلب التصنيع'!H20</f>
        <v>29</v>
      </c>
      <c r="J20" s="80">
        <f>'طلب التصنيع'!I20</f>
        <v>1.7307780000000001</v>
      </c>
      <c r="K20" s="44">
        <f>'طلب التصنيع'!J20</f>
        <v>1</v>
      </c>
      <c r="L20" s="44" t="e">
        <f>'طلب التصنيع'!L20</f>
        <v>#N/A</v>
      </c>
      <c r="M20" s="44" t="e">
        <f t="shared" si="1"/>
        <v>#N/A</v>
      </c>
      <c r="N20" s="410">
        <f>'طلب التصنيع'!O20</f>
        <v>5.8</v>
      </c>
      <c r="O20" s="45" t="e">
        <f t="shared" si="2"/>
        <v>#N/A</v>
      </c>
      <c r="P20" s="76"/>
    </row>
    <row r="21" spans="1:16" s="40" customFormat="1" ht="16.8" x14ac:dyDescent="0.3">
      <c r="A21" s="40">
        <f t="shared" si="0"/>
        <v>0</v>
      </c>
      <c r="B21" s="40">
        <f>IF(A21=1,SUM($A$14:A21),0)</f>
        <v>0</v>
      </c>
      <c r="D21" s="79">
        <v>8</v>
      </c>
      <c r="E21" s="42" t="str">
        <f>'طلب التصنيع'!D21</f>
        <v>شريحة 4.25 النيل</v>
      </c>
      <c r="F21" s="264">
        <f>'طلب التصنيع'!E21</f>
        <v>0</v>
      </c>
      <c r="G21" s="43">
        <f>'طلب التصنيع'!F21</f>
        <v>104</v>
      </c>
      <c r="H21" s="43">
        <f>'طلب التصنيع'!G21</f>
        <v>165.75</v>
      </c>
      <c r="I21" s="48">
        <f>'طلب التصنيع'!H21</f>
        <v>39</v>
      </c>
      <c r="J21" s="80">
        <f>'طلب التصنيع'!I21</f>
        <v>1.7238</v>
      </c>
      <c r="K21" s="44">
        <f>'طلب التصنيع'!J21</f>
        <v>1</v>
      </c>
      <c r="L21" s="44">
        <f>'طلب التصنيع'!L21</f>
        <v>1</v>
      </c>
      <c r="M21" s="44">
        <f t="shared" si="1"/>
        <v>1.7238</v>
      </c>
      <c r="N21" s="410">
        <f>'طلب التصنيع'!O21</f>
        <v>4.25</v>
      </c>
      <c r="O21" s="45">
        <f t="shared" si="2"/>
        <v>-5.6023500000000004</v>
      </c>
      <c r="P21" s="76"/>
    </row>
    <row r="22" spans="1:16" s="40" customFormat="1" ht="16.8" x14ac:dyDescent="0.3">
      <c r="A22" s="40">
        <f t="shared" si="0"/>
        <v>0</v>
      </c>
      <c r="B22" s="40">
        <f>IF(A22=1,SUM($A$14:A22),0)</f>
        <v>0</v>
      </c>
      <c r="D22" s="79">
        <v>9</v>
      </c>
      <c r="E22" s="42" t="str">
        <f>'طلب التصنيع'!D22</f>
        <v>شريحة النيل 5سم BK</v>
      </c>
      <c r="F22" s="264">
        <f>'طلب التصنيع'!E22</f>
        <v>0</v>
      </c>
      <c r="G22" s="43">
        <f>'طلب التصنيع'!F22</f>
        <v>104</v>
      </c>
      <c r="H22" s="43">
        <f>'طلب التصنيع'!G22</f>
        <v>165</v>
      </c>
      <c r="I22" s="48">
        <f>'طلب التصنيع'!H22</f>
        <v>33</v>
      </c>
      <c r="J22" s="80">
        <f>'طلب التصنيع'!I22</f>
        <v>1.716</v>
      </c>
      <c r="K22" s="44">
        <f>'طلب التصنيع'!J22</f>
        <v>1</v>
      </c>
      <c r="L22" s="44" t="e">
        <f>'طلب التصنيع'!L22</f>
        <v>#N/A</v>
      </c>
      <c r="M22" s="44" t="e">
        <f t="shared" si="1"/>
        <v>#N/A</v>
      </c>
      <c r="N22" s="410">
        <f>'طلب التصنيع'!O22</f>
        <v>5</v>
      </c>
      <c r="O22" s="45" t="e">
        <f t="shared" si="2"/>
        <v>#N/A</v>
      </c>
      <c r="P22" s="76"/>
    </row>
    <row r="23" spans="1:16" s="40" customFormat="1" ht="16.8" x14ac:dyDescent="0.3">
      <c r="A23" s="40">
        <f t="shared" si="0"/>
        <v>0</v>
      </c>
      <c r="B23" s="40">
        <f>IF(A23=1,SUM($A$14:A23),0)</f>
        <v>0</v>
      </c>
      <c r="D23" s="79">
        <v>10</v>
      </c>
      <c r="E23" s="42" t="str">
        <f>'طلب التصنيع'!D23</f>
        <v>شريحة النيل 5سم NGS</v>
      </c>
      <c r="F23" s="264">
        <f>'طلب التصنيع'!E23</f>
        <v>0</v>
      </c>
      <c r="G23" s="43">
        <f>'طلب التصنيع'!F23</f>
        <v>104</v>
      </c>
      <c r="H23" s="43">
        <f>'طلب التصنيع'!G23</f>
        <v>165</v>
      </c>
      <c r="I23" s="48">
        <f>'طلب التصنيع'!H23</f>
        <v>33</v>
      </c>
      <c r="J23" s="80">
        <f>'طلب التصنيع'!I23</f>
        <v>1.716</v>
      </c>
      <c r="K23" s="44">
        <f>'طلب التصنيع'!J23</f>
        <v>1</v>
      </c>
      <c r="L23" s="44" t="e">
        <f>'طلب التصنيع'!L23</f>
        <v>#N/A</v>
      </c>
      <c r="M23" s="44" t="e">
        <f t="shared" si="1"/>
        <v>#N/A</v>
      </c>
      <c r="N23" s="410">
        <f>'طلب التصنيع'!O23</f>
        <v>5</v>
      </c>
      <c r="O23" s="45" t="e">
        <f t="shared" si="2"/>
        <v>#N/A</v>
      </c>
      <c r="P23" s="76"/>
    </row>
    <row r="24" spans="1:16" s="40" customFormat="1" ht="16.8" x14ac:dyDescent="0.3">
      <c r="A24" s="40">
        <f t="shared" si="0"/>
        <v>0</v>
      </c>
      <c r="B24" s="40">
        <f>IF(A24=1,SUM($A$14:A24),0)</f>
        <v>0</v>
      </c>
      <c r="D24" s="79">
        <v>11</v>
      </c>
      <c r="E24" s="42" t="str">
        <f>'طلب التصنيع'!D24</f>
        <v>شريحة النيل 5.5 زنكاليوم</v>
      </c>
      <c r="F24" s="264">
        <f>'طلب التصنيع'!E24</f>
        <v>0</v>
      </c>
      <c r="G24" s="43">
        <f>'طلب التصنيع'!F24</f>
        <v>104</v>
      </c>
      <c r="H24" s="43">
        <f>'طلب التصنيع'!G24</f>
        <v>165</v>
      </c>
      <c r="I24" s="48">
        <f>'طلب التصنيع'!H24</f>
        <v>30</v>
      </c>
      <c r="J24" s="80">
        <f>'طلب التصنيع'!I24</f>
        <v>1.716</v>
      </c>
      <c r="K24" s="44">
        <f>'طلب التصنيع'!J24</f>
        <v>1</v>
      </c>
      <c r="L24" s="44" t="e">
        <f>'طلب التصنيع'!L24</f>
        <v>#N/A</v>
      </c>
      <c r="M24" s="44" t="e">
        <f t="shared" si="1"/>
        <v>#N/A</v>
      </c>
      <c r="N24" s="410">
        <f>'طلب التصنيع'!O24</f>
        <v>5.5</v>
      </c>
      <c r="O24" s="45" t="e">
        <f t="shared" si="2"/>
        <v>#N/A</v>
      </c>
      <c r="P24" s="76"/>
    </row>
    <row r="25" spans="1:16" s="40" customFormat="1" ht="16.8" x14ac:dyDescent="0.3">
      <c r="A25" s="40">
        <f t="shared" si="0"/>
        <v>0</v>
      </c>
      <c r="B25" s="40">
        <f>IF(A25=1,SUM($A$14:A25),0)</f>
        <v>0</v>
      </c>
      <c r="D25" s="79">
        <v>12</v>
      </c>
      <c r="E25" s="42" t="str">
        <f>'طلب التصنيع'!D25</f>
        <v>شريحة النيل 5.8 تيرا</v>
      </c>
      <c r="F25" s="264">
        <f>'طلب التصنيع'!E25</f>
        <v>0</v>
      </c>
      <c r="G25" s="43">
        <f>'طلب التصنيع'!F25</f>
        <v>104</v>
      </c>
      <c r="H25" s="43">
        <f>'طلب التصنيع'!G25</f>
        <v>168.2</v>
      </c>
      <c r="I25" s="48">
        <f>'طلب التصنيع'!H25</f>
        <v>29</v>
      </c>
      <c r="J25" s="80">
        <f>'طلب التصنيع'!I25</f>
        <v>1.7492799999999999</v>
      </c>
      <c r="K25" s="44">
        <f>'طلب التصنيع'!J25</f>
        <v>1</v>
      </c>
      <c r="L25" s="44" t="e">
        <f>'طلب التصنيع'!L25</f>
        <v>#N/A</v>
      </c>
      <c r="M25" s="44" t="e">
        <f t="shared" si="1"/>
        <v>#N/A</v>
      </c>
      <c r="N25" s="410">
        <f>'طلب التصنيع'!O25</f>
        <v>5.8</v>
      </c>
      <c r="O25" s="45" t="e">
        <f t="shared" si="2"/>
        <v>#N/A</v>
      </c>
      <c r="P25" s="76"/>
    </row>
    <row r="26" spans="1:16" s="40" customFormat="1" ht="16.8" x14ac:dyDescent="0.3">
      <c r="A26" s="40">
        <f t="shared" si="0"/>
        <v>0</v>
      </c>
      <c r="B26" s="40">
        <f>IF(A26=1,SUM($A$14:A26),0)</f>
        <v>0</v>
      </c>
      <c r="D26" s="79">
        <v>13</v>
      </c>
      <c r="E26" s="42" t="str">
        <f>'طلب التصنيع'!D26</f>
        <v>شريحة نيل هاردفوم 5.8</v>
      </c>
      <c r="F26" s="264">
        <f>'طلب التصنيع'!E26</f>
        <v>0</v>
      </c>
      <c r="G26" s="43">
        <f>'طلب التصنيع'!F26</f>
        <v>104</v>
      </c>
      <c r="H26" s="43">
        <f>'طلب التصنيع'!G26</f>
        <v>168.2</v>
      </c>
      <c r="I26" s="48">
        <f>'طلب التصنيع'!H26</f>
        <v>29</v>
      </c>
      <c r="J26" s="80">
        <f>'طلب التصنيع'!I26</f>
        <v>1.7492799999999999</v>
      </c>
      <c r="K26" s="44">
        <f>'طلب التصنيع'!J26</f>
        <v>1</v>
      </c>
      <c r="L26" s="44" t="e">
        <f>'طلب التصنيع'!L26</f>
        <v>#N/A</v>
      </c>
      <c r="M26" s="44" t="e">
        <f t="shared" si="1"/>
        <v>#N/A</v>
      </c>
      <c r="N26" s="410">
        <f>'طلب التصنيع'!O26</f>
        <v>5.8</v>
      </c>
      <c r="O26" s="45" t="e">
        <f t="shared" si="2"/>
        <v>#N/A</v>
      </c>
      <c r="P26" s="76"/>
    </row>
    <row r="27" spans="1:16" s="40" customFormat="1" ht="16.8" x14ac:dyDescent="0.3">
      <c r="A27" s="40">
        <f t="shared" si="0"/>
        <v>0</v>
      </c>
      <c r="B27" s="40">
        <f>IF(A27=1,SUM($A$14:A27),0)</f>
        <v>0</v>
      </c>
      <c r="D27" s="79">
        <v>14</v>
      </c>
      <c r="E27" s="42">
        <f>'طلب التصنيع'!D27</f>
        <v>0</v>
      </c>
      <c r="F27" s="264">
        <f>'طلب التصنيع'!E27</f>
        <v>0</v>
      </c>
      <c r="G27" s="43">
        <f>'طلب التصنيع'!F27</f>
        <v>0</v>
      </c>
      <c r="H27" s="43" t="e">
        <f>'طلب التصنيع'!G27</f>
        <v>#DIV/0!</v>
      </c>
      <c r="I27" s="48">
        <f>'طلب التصنيع'!H27</f>
        <v>0</v>
      </c>
      <c r="J27" s="80">
        <f>'طلب التصنيع'!I27</f>
        <v>0</v>
      </c>
      <c r="K27" s="44">
        <f>'طلب التصنيع'!J27</f>
        <v>0</v>
      </c>
      <c r="L27" s="44">
        <f>'طلب التصنيع'!L27</f>
        <v>0</v>
      </c>
      <c r="M27" s="44">
        <f t="shared" si="1"/>
        <v>0</v>
      </c>
      <c r="N27" s="410">
        <f>'طلب التصنيع'!O27</f>
        <v>0</v>
      </c>
      <c r="O27" s="45">
        <f t="shared" si="2"/>
        <v>0</v>
      </c>
      <c r="P27" s="76"/>
    </row>
    <row r="28" spans="1:16" s="40" customFormat="1" ht="16.8" x14ac:dyDescent="0.3">
      <c r="A28" s="40">
        <f t="shared" si="0"/>
        <v>0</v>
      </c>
      <c r="B28" s="40">
        <f>IF(A28=1,SUM($A$14:A28),0)</f>
        <v>0</v>
      </c>
      <c r="D28" s="79">
        <v>15</v>
      </c>
      <c r="E28" s="42">
        <f>'طلب التصنيع'!D28</f>
        <v>0</v>
      </c>
      <c r="F28" s="264">
        <f>'طلب التصنيع'!E28</f>
        <v>0</v>
      </c>
      <c r="G28" s="43">
        <f>'طلب التصنيع'!F28</f>
        <v>0</v>
      </c>
      <c r="H28" s="43" t="e">
        <f>'طلب التصنيع'!G28</f>
        <v>#DIV/0!</v>
      </c>
      <c r="I28" s="48">
        <f>'طلب التصنيع'!H28</f>
        <v>0</v>
      </c>
      <c r="J28" s="80">
        <f>'طلب التصنيع'!I28</f>
        <v>0</v>
      </c>
      <c r="K28" s="44">
        <f>'طلب التصنيع'!J28</f>
        <v>0</v>
      </c>
      <c r="L28" s="44">
        <f>'طلب التصنيع'!L28</f>
        <v>0</v>
      </c>
      <c r="M28" s="44">
        <f t="shared" si="1"/>
        <v>0</v>
      </c>
      <c r="N28" s="410">
        <f>'طلب التصنيع'!O28</f>
        <v>0</v>
      </c>
      <c r="O28" s="45">
        <f t="shared" si="2"/>
        <v>0</v>
      </c>
      <c r="P28" s="76"/>
    </row>
    <row r="29" spans="1:16" s="40" customFormat="1" ht="20.100000000000001" customHeight="1" x14ac:dyDescent="0.3">
      <c r="A29" s="40">
        <f t="shared" si="0"/>
        <v>0</v>
      </c>
      <c r="B29" s="40">
        <f>IF(A29=1,SUM($A$14:A29),0)</f>
        <v>0</v>
      </c>
      <c r="D29" s="79">
        <v>16</v>
      </c>
      <c r="E29" s="42">
        <f>'طلب التصنيع'!D29</f>
        <v>0</v>
      </c>
      <c r="F29" s="264">
        <f>'طلب التصنيع'!E29</f>
        <v>0</v>
      </c>
      <c r="G29" s="43">
        <f>'طلب التصنيع'!F29</f>
        <v>0</v>
      </c>
      <c r="H29" s="43" t="e">
        <f>'طلب التصنيع'!G29</f>
        <v>#DIV/0!</v>
      </c>
      <c r="I29" s="48">
        <f>'طلب التصنيع'!H29</f>
        <v>0</v>
      </c>
      <c r="J29" s="80">
        <f>'طلب التصنيع'!I29</f>
        <v>0</v>
      </c>
      <c r="K29" s="44">
        <f>'طلب التصنيع'!J29</f>
        <v>0</v>
      </c>
      <c r="L29" s="44">
        <f>'طلب التصنيع'!L29</f>
        <v>0</v>
      </c>
      <c r="M29" s="44">
        <f t="shared" si="1"/>
        <v>0</v>
      </c>
      <c r="N29" s="410">
        <f>'طلب التصنيع'!O29</f>
        <v>0</v>
      </c>
      <c r="O29" s="45">
        <f t="shared" si="2"/>
        <v>0</v>
      </c>
      <c r="P29" s="76"/>
    </row>
    <row r="30" spans="1:16" s="40" customFormat="1" ht="20.100000000000001" customHeight="1" x14ac:dyDescent="0.3">
      <c r="A30" s="40">
        <f t="shared" si="0"/>
        <v>0</v>
      </c>
      <c r="B30" s="40">
        <f>IF(A30=1,SUM($A$14:A30),0)</f>
        <v>0</v>
      </c>
      <c r="D30" s="79">
        <v>17</v>
      </c>
      <c r="E30" s="42">
        <f>'طلب التصنيع'!D30</f>
        <v>0</v>
      </c>
      <c r="F30" s="264">
        <f>'طلب التصنيع'!E30</f>
        <v>0</v>
      </c>
      <c r="G30" s="43">
        <f>'طلب التصنيع'!F30</f>
        <v>0</v>
      </c>
      <c r="H30" s="43" t="e">
        <f>'طلب التصنيع'!G30</f>
        <v>#DIV/0!</v>
      </c>
      <c r="I30" s="48">
        <f>'طلب التصنيع'!H30</f>
        <v>0</v>
      </c>
      <c r="J30" s="80">
        <f>'طلب التصنيع'!I30</f>
        <v>0</v>
      </c>
      <c r="K30" s="44">
        <f>'طلب التصنيع'!J30</f>
        <v>0</v>
      </c>
      <c r="L30" s="44">
        <f>'طلب التصنيع'!L30</f>
        <v>0</v>
      </c>
      <c r="M30" s="44">
        <f t="shared" si="1"/>
        <v>0</v>
      </c>
      <c r="N30" s="410">
        <f>'طلب التصنيع'!O30</f>
        <v>0</v>
      </c>
      <c r="O30" s="45">
        <f t="shared" si="2"/>
        <v>0</v>
      </c>
      <c r="P30" s="76"/>
    </row>
    <row r="31" spans="1:16" s="40" customFormat="1" ht="20.100000000000001" customHeight="1" x14ac:dyDescent="0.3">
      <c r="A31" s="40">
        <f t="shared" si="0"/>
        <v>0</v>
      </c>
      <c r="B31" s="40">
        <f>IF(A31=1,SUM($A$14:A31),0)</f>
        <v>0</v>
      </c>
      <c r="D31" s="79">
        <v>18</v>
      </c>
      <c r="E31" s="42">
        <f>'طلب التصنيع'!D31</f>
        <v>0</v>
      </c>
      <c r="F31" s="264">
        <f>'طلب التصنيع'!E31</f>
        <v>0</v>
      </c>
      <c r="G31" s="43">
        <f>'طلب التصنيع'!F31</f>
        <v>0</v>
      </c>
      <c r="H31" s="43" t="e">
        <f>'طلب التصنيع'!G31</f>
        <v>#DIV/0!</v>
      </c>
      <c r="I31" s="48">
        <f>'طلب التصنيع'!H31</f>
        <v>0</v>
      </c>
      <c r="J31" s="80">
        <f>'طلب التصنيع'!I31</f>
        <v>0</v>
      </c>
      <c r="K31" s="44">
        <f>'طلب التصنيع'!J31</f>
        <v>0</v>
      </c>
      <c r="L31" s="44">
        <f>'طلب التصنيع'!L31</f>
        <v>0</v>
      </c>
      <c r="M31" s="44">
        <f t="shared" si="1"/>
        <v>0</v>
      </c>
      <c r="N31" s="410">
        <f>'طلب التصنيع'!O31</f>
        <v>0</v>
      </c>
      <c r="O31" s="45">
        <f t="shared" si="2"/>
        <v>0</v>
      </c>
      <c r="P31" s="76"/>
    </row>
    <row r="32" spans="1:16" s="40" customFormat="1" ht="20.100000000000001" customHeight="1" x14ac:dyDescent="0.3">
      <c r="A32" s="40">
        <f t="shared" si="0"/>
        <v>0</v>
      </c>
      <c r="B32" s="40">
        <f>IF(A32=1,SUM($A$14:A32),0)</f>
        <v>0</v>
      </c>
      <c r="D32" s="79">
        <v>19</v>
      </c>
      <c r="E32" s="42">
        <f>'طلب التصنيع'!D32</f>
        <v>0</v>
      </c>
      <c r="F32" s="264">
        <f>'طلب التصنيع'!E32</f>
        <v>0</v>
      </c>
      <c r="G32" s="43">
        <f>'طلب التصنيع'!F32</f>
        <v>0</v>
      </c>
      <c r="H32" s="43" t="e">
        <f>'طلب التصنيع'!G32</f>
        <v>#DIV/0!</v>
      </c>
      <c r="I32" s="48">
        <f>'طلب التصنيع'!H32</f>
        <v>0</v>
      </c>
      <c r="J32" s="80">
        <f>'طلب التصنيع'!I32</f>
        <v>0</v>
      </c>
      <c r="K32" s="44">
        <f>'طلب التصنيع'!J32</f>
        <v>0</v>
      </c>
      <c r="L32" s="44">
        <f>'طلب التصنيع'!L32</f>
        <v>0</v>
      </c>
      <c r="M32" s="44">
        <f t="shared" si="1"/>
        <v>0</v>
      </c>
      <c r="N32" s="410">
        <f>'طلب التصنيع'!O32</f>
        <v>0</v>
      </c>
      <c r="O32" s="45">
        <f t="shared" si="2"/>
        <v>0</v>
      </c>
      <c r="P32" s="76"/>
    </row>
    <row r="33" spans="1:16" s="40" customFormat="1" ht="20.100000000000001" customHeight="1" x14ac:dyDescent="0.3">
      <c r="A33" s="40">
        <f t="shared" si="0"/>
        <v>0</v>
      </c>
      <c r="B33" s="40">
        <f>IF(A33=1,SUM($A$14:A33),0)</f>
        <v>0</v>
      </c>
      <c r="D33" s="79">
        <v>20</v>
      </c>
      <c r="E33" s="42">
        <f>'طلب التصنيع'!D33</f>
        <v>0</v>
      </c>
      <c r="F33" s="264">
        <f>'طلب التصنيع'!E33</f>
        <v>0</v>
      </c>
      <c r="G33" s="43">
        <f>'طلب التصنيع'!F33</f>
        <v>0</v>
      </c>
      <c r="H33" s="43" t="e">
        <f>'طلب التصنيع'!G33</f>
        <v>#DIV/0!</v>
      </c>
      <c r="I33" s="48">
        <f>'طلب التصنيع'!H33</f>
        <v>0</v>
      </c>
      <c r="J33" s="80">
        <f>'طلب التصنيع'!I33</f>
        <v>0</v>
      </c>
      <c r="K33" s="44">
        <f>'طلب التصنيع'!J33</f>
        <v>0</v>
      </c>
      <c r="L33" s="44">
        <f>'طلب التصنيع'!L33</f>
        <v>0</v>
      </c>
      <c r="M33" s="44">
        <f t="shared" si="1"/>
        <v>0</v>
      </c>
      <c r="N33" s="410">
        <f>'طلب التصنيع'!O33</f>
        <v>0</v>
      </c>
      <c r="O33" s="45">
        <f t="shared" si="2"/>
        <v>0</v>
      </c>
      <c r="P33" s="76"/>
    </row>
    <row r="34" spans="1:16" s="40" customFormat="1" ht="20.100000000000001" customHeight="1" x14ac:dyDescent="0.3">
      <c r="A34" s="40">
        <f t="shared" si="0"/>
        <v>0</v>
      </c>
      <c r="B34" s="40">
        <f>IF(A34=1,SUM($A$14:A34),0)</f>
        <v>0</v>
      </c>
      <c r="D34" s="79">
        <v>21</v>
      </c>
      <c r="E34" s="42">
        <f>'طلب التصنيع'!D34</f>
        <v>0</v>
      </c>
      <c r="F34" s="264">
        <f>'طلب التصنيع'!E34</f>
        <v>0</v>
      </c>
      <c r="G34" s="43">
        <f>'طلب التصنيع'!F34</f>
        <v>0</v>
      </c>
      <c r="H34" s="43" t="e">
        <f>'طلب التصنيع'!G34</f>
        <v>#DIV/0!</v>
      </c>
      <c r="I34" s="48">
        <f>'طلب التصنيع'!H34</f>
        <v>0</v>
      </c>
      <c r="J34" s="80">
        <f>'طلب التصنيع'!I34</f>
        <v>0</v>
      </c>
      <c r="K34" s="44">
        <f>'طلب التصنيع'!J34</f>
        <v>0</v>
      </c>
      <c r="L34" s="44">
        <f>'طلب التصنيع'!L34</f>
        <v>0</v>
      </c>
      <c r="M34" s="44">
        <f t="shared" si="1"/>
        <v>0</v>
      </c>
      <c r="N34" s="410">
        <f>'طلب التصنيع'!O34</f>
        <v>0</v>
      </c>
      <c r="O34" s="45">
        <f t="shared" si="2"/>
        <v>0</v>
      </c>
      <c r="P34" s="76"/>
    </row>
    <row r="35" spans="1:16" s="40" customFormat="1" ht="20.100000000000001" customHeight="1" x14ac:dyDescent="0.3">
      <c r="A35" s="40">
        <f t="shared" si="0"/>
        <v>0</v>
      </c>
      <c r="B35" s="40">
        <f>IF(A35=1,SUM($A$14:A35),0)</f>
        <v>0</v>
      </c>
      <c r="D35" s="79">
        <v>22</v>
      </c>
      <c r="E35" s="42">
        <f>'طلب التصنيع'!D35</f>
        <v>0</v>
      </c>
      <c r="F35" s="264">
        <f>'طلب التصنيع'!E35</f>
        <v>0</v>
      </c>
      <c r="G35" s="43">
        <f>'طلب التصنيع'!F35</f>
        <v>0</v>
      </c>
      <c r="H35" s="43" t="e">
        <f>'طلب التصنيع'!G35</f>
        <v>#DIV/0!</v>
      </c>
      <c r="I35" s="48">
        <f>'طلب التصنيع'!H35</f>
        <v>0</v>
      </c>
      <c r="J35" s="80">
        <f>'طلب التصنيع'!I35</f>
        <v>0</v>
      </c>
      <c r="K35" s="44">
        <f>'طلب التصنيع'!J35</f>
        <v>0</v>
      </c>
      <c r="L35" s="44">
        <f>'طلب التصنيع'!L35</f>
        <v>0</v>
      </c>
      <c r="M35" s="44">
        <f t="shared" si="1"/>
        <v>0</v>
      </c>
      <c r="N35" s="410">
        <f>'طلب التصنيع'!O35</f>
        <v>0</v>
      </c>
      <c r="O35" s="45">
        <f t="shared" si="2"/>
        <v>0</v>
      </c>
      <c r="P35" s="76"/>
    </row>
    <row r="36" spans="1:16" s="40" customFormat="1" ht="20.100000000000001" customHeight="1" x14ac:dyDescent="0.3">
      <c r="A36" s="40">
        <f t="shared" si="0"/>
        <v>0</v>
      </c>
      <c r="B36" s="40">
        <f>IF(A36=1,SUM($A$14:A36),0)</f>
        <v>0</v>
      </c>
      <c r="D36" s="79">
        <v>23</v>
      </c>
      <c r="E36" s="42">
        <f>'طلب التصنيع'!D36</f>
        <v>0</v>
      </c>
      <c r="F36" s="264">
        <f>'طلب التصنيع'!E36</f>
        <v>0</v>
      </c>
      <c r="G36" s="43">
        <f>'طلب التصنيع'!F36</f>
        <v>0</v>
      </c>
      <c r="H36" s="43" t="e">
        <f>'طلب التصنيع'!G36</f>
        <v>#DIV/0!</v>
      </c>
      <c r="I36" s="48">
        <f>'طلب التصنيع'!H36</f>
        <v>0</v>
      </c>
      <c r="J36" s="80">
        <f>'طلب التصنيع'!I36</f>
        <v>0</v>
      </c>
      <c r="K36" s="44">
        <f>'طلب التصنيع'!J36</f>
        <v>0</v>
      </c>
      <c r="L36" s="44">
        <f>'طلب التصنيع'!L36</f>
        <v>0</v>
      </c>
      <c r="M36" s="44">
        <f t="shared" si="1"/>
        <v>0</v>
      </c>
      <c r="N36" s="410">
        <f>'طلب التصنيع'!O36</f>
        <v>0</v>
      </c>
      <c r="O36" s="45">
        <f t="shared" si="2"/>
        <v>0</v>
      </c>
      <c r="P36" s="76"/>
    </row>
    <row r="37" spans="1:16" s="40" customFormat="1" ht="20.100000000000001" customHeight="1" x14ac:dyDescent="0.3">
      <c r="A37" s="40">
        <f t="shared" si="0"/>
        <v>0</v>
      </c>
      <c r="B37" s="40">
        <f>IF(A37=1,SUM($A$14:A37),0)</f>
        <v>0</v>
      </c>
      <c r="D37" s="79">
        <v>24</v>
      </c>
      <c r="E37" s="42">
        <f>'طلب التصنيع'!D37</f>
        <v>0</v>
      </c>
      <c r="F37" s="264">
        <f>'طلب التصنيع'!E37</f>
        <v>0</v>
      </c>
      <c r="G37" s="43">
        <f>'طلب التصنيع'!F37</f>
        <v>0</v>
      </c>
      <c r="H37" s="43" t="e">
        <f>'طلب التصنيع'!G37</f>
        <v>#DIV/0!</v>
      </c>
      <c r="I37" s="48">
        <f>'طلب التصنيع'!H37</f>
        <v>0</v>
      </c>
      <c r="J37" s="80">
        <f>'طلب التصنيع'!I37</f>
        <v>0</v>
      </c>
      <c r="K37" s="44">
        <f>'طلب التصنيع'!J37</f>
        <v>0</v>
      </c>
      <c r="L37" s="44">
        <f>'طلب التصنيع'!L37</f>
        <v>0</v>
      </c>
      <c r="M37" s="44">
        <f t="shared" si="1"/>
        <v>0</v>
      </c>
      <c r="N37" s="410">
        <f>'طلب التصنيع'!O37</f>
        <v>0</v>
      </c>
      <c r="O37" s="45">
        <f t="shared" si="2"/>
        <v>0</v>
      </c>
      <c r="P37" s="76"/>
    </row>
    <row r="38" spans="1:16" s="40" customFormat="1" ht="20.100000000000001" customHeight="1" x14ac:dyDescent="0.3">
      <c r="A38" s="40">
        <f t="shared" si="0"/>
        <v>0</v>
      </c>
      <c r="B38" s="40">
        <f>IF(A38=1,SUM($A$14:A38),0)</f>
        <v>0</v>
      </c>
      <c r="D38" s="79">
        <v>25</v>
      </c>
      <c r="E38" s="42">
        <f>'طلب التصنيع'!D38</f>
        <v>0</v>
      </c>
      <c r="F38" s="264">
        <f>'طلب التصنيع'!E38</f>
        <v>0</v>
      </c>
      <c r="G38" s="43">
        <f>'طلب التصنيع'!F38</f>
        <v>0</v>
      </c>
      <c r="H38" s="43" t="e">
        <f>'طلب التصنيع'!G38</f>
        <v>#DIV/0!</v>
      </c>
      <c r="I38" s="48">
        <f>'طلب التصنيع'!H38</f>
        <v>0</v>
      </c>
      <c r="J38" s="80">
        <f>'طلب التصنيع'!I38</f>
        <v>0</v>
      </c>
      <c r="K38" s="44">
        <f>'طلب التصنيع'!J38</f>
        <v>0</v>
      </c>
      <c r="L38" s="44">
        <f>'طلب التصنيع'!L38</f>
        <v>0</v>
      </c>
      <c r="M38" s="44">
        <f>L38*K38*J38</f>
        <v>0</v>
      </c>
      <c r="N38" s="410">
        <f>'طلب التصنيع'!O38</f>
        <v>0</v>
      </c>
      <c r="O38" s="45">
        <f t="shared" si="2"/>
        <v>0</v>
      </c>
      <c r="P38" s="76"/>
    </row>
    <row r="39" spans="1:16" s="40" customFormat="1" ht="15" customHeight="1" x14ac:dyDescent="0.3">
      <c r="D39" s="46"/>
      <c r="E39" s="42"/>
      <c r="F39" s="47"/>
      <c r="G39" s="81"/>
      <c r="H39" s="81"/>
      <c r="I39" s="48"/>
      <c r="J39" s="49"/>
      <c r="K39" s="44">
        <f>SUM(K14:K38)</f>
        <v>13</v>
      </c>
      <c r="L39" s="44"/>
      <c r="M39" s="50"/>
      <c r="N39" s="50"/>
      <c r="O39" s="51"/>
    </row>
    <row r="40" spans="1:16" s="40" customFormat="1" ht="18" customHeight="1" x14ac:dyDescent="0.3">
      <c r="D40" s="809" t="s">
        <v>25</v>
      </c>
      <c r="E40" s="810"/>
      <c r="F40" s="810"/>
      <c r="G40" s="810"/>
      <c r="H40" s="810"/>
      <c r="I40" s="810"/>
      <c r="J40" s="810"/>
      <c r="K40" s="810"/>
      <c r="L40" s="810"/>
      <c r="M40" s="810"/>
      <c r="N40" s="810"/>
      <c r="O40" s="810"/>
    </row>
    <row r="41" spans="1:16" s="40" customFormat="1" ht="30" customHeight="1" x14ac:dyDescent="0.3">
      <c r="D41" s="82" t="s">
        <v>28</v>
      </c>
      <c r="E41" s="1063" t="s">
        <v>10</v>
      </c>
      <c r="F41" s="1063"/>
      <c r="G41" s="1064" t="s">
        <v>40</v>
      </c>
      <c r="H41" s="1064"/>
      <c r="I41" s="1064"/>
      <c r="J41" s="74" t="s">
        <v>84</v>
      </c>
      <c r="K41" s="82" t="s">
        <v>33</v>
      </c>
      <c r="L41" s="82" t="s">
        <v>42</v>
      </c>
      <c r="M41" s="82" t="s">
        <v>388</v>
      </c>
      <c r="N41" s="405" t="s">
        <v>376</v>
      </c>
      <c r="O41" s="83" t="s">
        <v>34</v>
      </c>
    </row>
    <row r="42" spans="1:16" s="40" customFormat="1" ht="15" customHeight="1" x14ac:dyDescent="0.3">
      <c r="A42" s="40">
        <f t="shared" si="0"/>
        <v>0</v>
      </c>
      <c r="B42" s="40">
        <f>IF(A42=1,1,0)</f>
        <v>0</v>
      </c>
      <c r="D42" s="84">
        <v>1</v>
      </c>
      <c r="E42" s="1034">
        <f>IFERROR(VLOOKUP(D42,'طلب التصنيع'!$B$42:$N$391,3,0),"")</f>
        <v>0</v>
      </c>
      <c r="F42" s="1035"/>
      <c r="G42" s="1036">
        <f>IFERROR(VLOOKUP(D42,'طلب التصنيع'!$B$42:$N$391,5,0),"")</f>
        <v>0</v>
      </c>
      <c r="H42" s="1037"/>
      <c r="I42" s="1038"/>
      <c r="J42" s="85">
        <f>IFERROR(VLOOKUP(D42,'طلب التصنيع'!$B$42:$N$391,8,0),"")</f>
        <v>0</v>
      </c>
      <c r="K42" s="86">
        <f>IFERROR(VLOOKUP(D42,'طلب التصنيع'!$B$42:$N$391,9,0),"")</f>
        <v>0</v>
      </c>
      <c r="L42" s="421">
        <f>IFERROR(VLOOKUP(D42,'طلب التصنيع'!$B$42:$N$391,11,0),"")</f>
        <v>0</v>
      </c>
      <c r="M42" s="421">
        <f>IFERROR(IF(J42="-",(K42*L42),(J42*K42*L42)),"")</f>
        <v>0</v>
      </c>
      <c r="N42" s="404">
        <f>IFERROR(VLOOKUP(D42,'طلب التصنيع'!$B$42:$N$391,13,0),"")</f>
        <v>0</v>
      </c>
      <c r="O42" s="406" t="str">
        <f>IFERROR(IF(M42&gt;0,M42*(1-N42),""),"")</f>
        <v/>
      </c>
    </row>
    <row r="43" spans="1:16" s="40" customFormat="1" ht="15" customHeight="1" x14ac:dyDescent="0.3">
      <c r="A43" s="40">
        <f t="shared" si="0"/>
        <v>0</v>
      </c>
      <c r="B43" s="40">
        <f>IF(A43=1,SUM($A$42:A43),0)</f>
        <v>0</v>
      </c>
      <c r="D43" s="84">
        <v>2</v>
      </c>
      <c r="E43" s="1034">
        <f>IFERROR(VLOOKUP(D43,'طلب التصنيع'!$B$42:$N$391,3,0),"")</f>
        <v>0</v>
      </c>
      <c r="F43" s="1035"/>
      <c r="G43" s="1036">
        <f>IFERROR(VLOOKUP(D43,'طلب التصنيع'!$B$42:$N$391,5,0),"")</f>
        <v>0</v>
      </c>
      <c r="H43" s="1037"/>
      <c r="I43" s="1038"/>
      <c r="J43" s="85">
        <f>IFERROR(VLOOKUP(D43,'طلب التصنيع'!$B$42:$N$391,8,0),"")</f>
        <v>0</v>
      </c>
      <c r="K43" s="86">
        <f>IFERROR(VLOOKUP(D43,'طلب التصنيع'!$B$42:$N$391,9,0),"")</f>
        <v>0</v>
      </c>
      <c r="L43" s="421">
        <f>IFERROR(VLOOKUP(D43,'طلب التصنيع'!$B$42:$N$391,11,0),"")</f>
        <v>0</v>
      </c>
      <c r="M43" s="421">
        <f t="shared" ref="M43:M89" si="3">IFERROR(IF(J43="-",(K43*L43),(J43*K43*L43)),"")</f>
        <v>0</v>
      </c>
      <c r="N43" s="404">
        <f>IFERROR(VLOOKUP(D43,'طلب التصنيع'!$B$42:$N$391,13,0),"")</f>
        <v>0</v>
      </c>
      <c r="O43" s="406" t="str">
        <f t="shared" ref="O43:O89" si="4">IFERROR(IF(M43&gt;0,M43*(1-N43),""),"")</f>
        <v/>
      </c>
    </row>
    <row r="44" spans="1:16" s="40" customFormat="1" ht="15" customHeight="1" x14ac:dyDescent="0.3">
      <c r="A44" s="40">
        <f t="shared" si="0"/>
        <v>0</v>
      </c>
      <c r="B44" s="40">
        <f>IF(A44=1,SUM($A$42:A44),0)</f>
        <v>0</v>
      </c>
      <c r="D44" s="84">
        <v>3</v>
      </c>
      <c r="E44" s="1034" t="str">
        <f>IFERROR(VLOOKUP(D44,'طلب التصنيع'!$B$42:$N$391,3,0),"")</f>
        <v>طنبور قطر 6 سم (سماكة 0.6 مم)</v>
      </c>
      <c r="F44" s="1035"/>
      <c r="G44" s="1036" t="str">
        <f>IFERROR(VLOOKUP(D44,'طلب التصنيع'!$B$42:$N$391,5,0),"")</f>
        <v xml:space="preserve">0.6 ملم </v>
      </c>
      <c r="H44" s="1037"/>
      <c r="I44" s="1038"/>
      <c r="J44" s="85">
        <f>IFERROR(VLOOKUP(D44,'طلب التصنيع'!$B$42:$N$391,8,0),"")</f>
        <v>15.08</v>
      </c>
      <c r="K44" s="86">
        <f>IFERROR(VLOOKUP(D44,'طلب التصنيع'!$B$42:$N$391,9,0),"")</f>
        <v>1</v>
      </c>
      <c r="L44" s="421">
        <f>IFERROR(VLOOKUP(D44,'طلب التصنيع'!$B$42:$N$391,11,0),"")</f>
        <v>1</v>
      </c>
      <c r="M44" s="421">
        <f t="shared" si="3"/>
        <v>15.08</v>
      </c>
      <c r="N44" s="404">
        <f>IFERROR(VLOOKUP(D44,'طلب التصنيع'!$B$42:$N$391,13,0),"")</f>
        <v>0</v>
      </c>
      <c r="O44" s="406">
        <f t="shared" si="4"/>
        <v>15.08</v>
      </c>
    </row>
    <row r="45" spans="1:16" s="40" customFormat="1" ht="15" customHeight="1" x14ac:dyDescent="0.3">
      <c r="A45" s="40">
        <f t="shared" si="0"/>
        <v>0</v>
      </c>
      <c r="B45" s="40">
        <f>IF(A45=1,SUM($A$42:A45),0)</f>
        <v>0</v>
      </c>
      <c r="D45" s="84">
        <v>4</v>
      </c>
      <c r="E45" s="1034" t="str">
        <f>IFERROR(VLOOKUP(D45,'طلب التصنيع'!$B$42:$N$391,3,0),"")</f>
        <v>حمالة امان 6 سم</v>
      </c>
      <c r="F45" s="1035"/>
      <c r="G45" s="1036" t="str">
        <f>IFERROR(VLOOKUP(D45,'طلب التصنيع'!$B$42:$N$391,5,0),"")</f>
        <v>-</v>
      </c>
      <c r="H45" s="1037"/>
      <c r="I45" s="1038"/>
      <c r="J45" s="85" t="str">
        <f>IFERROR(VLOOKUP(D45,'طلب التصنيع'!$B$42:$N$391,8,0),"")</f>
        <v>-</v>
      </c>
      <c r="K45" s="86">
        <f>IFERROR(VLOOKUP(D45,'طلب التصنيع'!$B$42:$N$391,9,0),"")</f>
        <v>6</v>
      </c>
      <c r="L45" s="421">
        <f>IFERROR(VLOOKUP(D45,'طلب التصنيع'!$B$42:$N$391,11,0),"")</f>
        <v>1</v>
      </c>
      <c r="M45" s="421">
        <f t="shared" si="3"/>
        <v>6</v>
      </c>
      <c r="N45" s="404">
        <f>IFERROR(VLOOKUP(D45,'طلب التصنيع'!$B$42:$N$391,13,0),"")</f>
        <v>0</v>
      </c>
      <c r="O45" s="406">
        <f t="shared" si="4"/>
        <v>6</v>
      </c>
    </row>
    <row r="46" spans="1:16" s="40" customFormat="1" ht="15" customHeight="1" x14ac:dyDescent="0.3">
      <c r="A46" s="40">
        <f t="shared" si="0"/>
        <v>0</v>
      </c>
      <c r="B46" s="40">
        <f>IF(A46=1,SUM($A$42:A46),0)</f>
        <v>0</v>
      </c>
      <c r="D46" s="84">
        <v>5</v>
      </c>
      <c r="E46" s="1034" t="str">
        <f>IFERROR(VLOOKUP(D46,'طلب التصنيع'!$B$42:$N$391,3,0),"")</f>
        <v>حمالة شيش نابضية صغيرة</v>
      </c>
      <c r="F46" s="1035"/>
      <c r="G46" s="1036" t="str">
        <f>IFERROR(VLOOKUP(D46,'طلب التصنيع'!$B$42:$N$391,5,0),"")</f>
        <v>-</v>
      </c>
      <c r="H46" s="1037"/>
      <c r="I46" s="1038"/>
      <c r="J46" s="85" t="str">
        <f>IFERROR(VLOOKUP(D46,'طلب التصنيع'!$B$42:$N$391,8,0),"")</f>
        <v>-</v>
      </c>
      <c r="K46" s="86">
        <f>IFERROR(VLOOKUP(D46,'طلب التصنيع'!$B$42:$N$391,9,0),"")</f>
        <v>9</v>
      </c>
      <c r="L46" s="421">
        <f>IFERROR(VLOOKUP(D46,'طلب التصنيع'!$B$42:$N$391,11,0),"")</f>
        <v>1</v>
      </c>
      <c r="M46" s="421">
        <f t="shared" si="3"/>
        <v>9</v>
      </c>
      <c r="N46" s="404">
        <f>IFERROR(VLOOKUP(D46,'طلب التصنيع'!$B$42:$N$391,13,0),"")</f>
        <v>0</v>
      </c>
      <c r="O46" s="406">
        <f t="shared" si="4"/>
        <v>9</v>
      </c>
    </row>
    <row r="47" spans="1:16" s="40" customFormat="1" ht="15" customHeight="1" x14ac:dyDescent="0.3">
      <c r="A47" s="40">
        <f t="shared" si="0"/>
        <v>0</v>
      </c>
      <c r="B47" s="40">
        <f>IF(A47=1,SUM($A$42:A47),0)</f>
        <v>0</v>
      </c>
      <c r="D47" s="84">
        <v>6</v>
      </c>
      <c r="E47" s="1034" t="str">
        <f>IFERROR(VLOOKUP(D47,'طلب التصنيع'!$B$42:$N$391,3,0),"")</f>
        <v xml:space="preserve">حمالة شيش نابضية كبيرة </v>
      </c>
      <c r="F47" s="1035"/>
      <c r="G47" s="1036" t="str">
        <f>IFERROR(VLOOKUP(D47,'طلب التصنيع'!$B$42:$N$391,5,0),"")</f>
        <v>-</v>
      </c>
      <c r="H47" s="1037"/>
      <c r="I47" s="1038"/>
      <c r="J47" s="85" t="str">
        <f>IFERROR(VLOOKUP(D47,'طلب التصنيع'!$B$42:$N$391,8,0),"")</f>
        <v>-</v>
      </c>
      <c r="K47" s="86">
        <f>IFERROR(VLOOKUP(D47,'طلب التصنيع'!$B$42:$N$391,9,0),"")</f>
        <v>21</v>
      </c>
      <c r="L47" s="421">
        <f>IFERROR(VLOOKUP(D47,'طلب التصنيع'!$B$42:$N$391,11,0),"")</f>
        <v>1</v>
      </c>
      <c r="M47" s="421">
        <f t="shared" si="3"/>
        <v>21</v>
      </c>
      <c r="N47" s="404">
        <f>IFERROR(VLOOKUP(D47,'طلب التصنيع'!$B$42:$N$391,13,0),"")</f>
        <v>0</v>
      </c>
      <c r="O47" s="406">
        <f t="shared" si="4"/>
        <v>21</v>
      </c>
    </row>
    <row r="48" spans="1:16" s="40" customFormat="1" ht="15" customHeight="1" x14ac:dyDescent="0.3">
      <c r="A48" s="40">
        <f t="shared" si="0"/>
        <v>0</v>
      </c>
      <c r="B48" s="40">
        <f>IF(A48=1,SUM($A$42:A48),0)</f>
        <v>0</v>
      </c>
      <c r="D48" s="84">
        <v>7</v>
      </c>
      <c r="E48" s="1034" t="str">
        <f>IFERROR(VLOOKUP(D48,'طلب التصنيع'!$B$42:$N$391,3,0),"")</f>
        <v/>
      </c>
      <c r="F48" s="1035"/>
      <c r="G48" s="1036" t="str">
        <f>IFERROR(VLOOKUP(D48,'طلب التصنيع'!$B$42:$N$391,5,0),"")</f>
        <v/>
      </c>
      <c r="H48" s="1037"/>
      <c r="I48" s="1038"/>
      <c r="J48" s="85" t="str">
        <f>IFERROR(VLOOKUP(D48,'طلب التصنيع'!$B$42:$N$391,8,0),"")</f>
        <v/>
      </c>
      <c r="K48" s="86" t="str">
        <f>IFERROR(VLOOKUP(D48,'طلب التصنيع'!$B$42:$N$391,9,0),"")</f>
        <v/>
      </c>
      <c r="L48" s="421" t="str">
        <f>IFERROR(VLOOKUP(D48,'طلب التصنيع'!$B$42:$N$391,11,0),"")</f>
        <v/>
      </c>
      <c r="M48" s="421" t="str">
        <f t="shared" si="3"/>
        <v/>
      </c>
      <c r="N48" s="404" t="str">
        <f>IFERROR(VLOOKUP(D48,'طلب التصنيع'!$B$42:$N$391,13,0),"")</f>
        <v/>
      </c>
      <c r="O48" s="406" t="str">
        <f t="shared" si="4"/>
        <v/>
      </c>
    </row>
    <row r="49" spans="1:15" s="40" customFormat="1" ht="15" customHeight="1" x14ac:dyDescent="0.3">
      <c r="A49" s="40">
        <f t="shared" si="0"/>
        <v>1</v>
      </c>
      <c r="B49" s="40">
        <f>IF(A49=1,SUM($A$42:A49),0)</f>
        <v>1</v>
      </c>
      <c r="C49" s="40" t="s">
        <v>384</v>
      </c>
      <c r="D49" s="84">
        <v>8</v>
      </c>
      <c r="E49" s="1034" t="str">
        <f>IFERROR(VLOOKUP(D49,'طلب التصنيع'!$B$42:$N$391,3,0),"")</f>
        <v/>
      </c>
      <c r="F49" s="1035"/>
      <c r="G49" s="1036" t="str">
        <f>IFERROR(VLOOKUP(D49,'طلب التصنيع'!$B$42:$N$391,5,0),"")</f>
        <v/>
      </c>
      <c r="H49" s="1037"/>
      <c r="I49" s="1038"/>
      <c r="J49" s="85" t="str">
        <f>IFERROR(VLOOKUP(D49,'طلب التصنيع'!$B$42:$N$391,8,0),"")</f>
        <v/>
      </c>
      <c r="K49" s="86" t="str">
        <f>IFERROR(VLOOKUP(D49,'طلب التصنيع'!$B$42:$N$391,9,0),"")</f>
        <v/>
      </c>
      <c r="L49" s="421" t="str">
        <f>IFERROR(VLOOKUP(D49,'طلب التصنيع'!$B$42:$N$391,11,0),"")</f>
        <v/>
      </c>
      <c r="M49" s="421" t="str">
        <f t="shared" si="3"/>
        <v/>
      </c>
      <c r="N49" s="404" t="str">
        <f>IFERROR(VLOOKUP(D49,'طلب التصنيع'!$B$42:$N$391,13,0),"")</f>
        <v/>
      </c>
      <c r="O49" s="406" t="str">
        <f t="shared" si="4"/>
        <v/>
      </c>
    </row>
    <row r="50" spans="1:15" s="40" customFormat="1" ht="15" customHeight="1" x14ac:dyDescent="0.3">
      <c r="A50" s="40">
        <f t="shared" si="0"/>
        <v>0</v>
      </c>
      <c r="B50" s="40">
        <f>IF(A50=1,SUM($A$42:A50),0)</f>
        <v>0</v>
      </c>
      <c r="D50" s="84">
        <v>9</v>
      </c>
      <c r="E50" s="1034" t="str">
        <f>IFERROR(VLOOKUP(D50,'طلب التصنيع'!$B$42:$N$391,3,0),"")</f>
        <v/>
      </c>
      <c r="F50" s="1035"/>
      <c r="G50" s="1036" t="str">
        <f>IFERROR(VLOOKUP(D50,'طلب التصنيع'!$B$42:$N$391,5,0),"")</f>
        <v/>
      </c>
      <c r="H50" s="1037"/>
      <c r="I50" s="1038"/>
      <c r="J50" s="85" t="str">
        <f>IFERROR(VLOOKUP(D50,'طلب التصنيع'!$B$42:$N$391,8,0),"")</f>
        <v/>
      </c>
      <c r="K50" s="86" t="str">
        <f>IFERROR(VLOOKUP(D50,'طلب التصنيع'!$B$42:$N$391,9,0),"")</f>
        <v/>
      </c>
      <c r="L50" s="421" t="str">
        <f>IFERROR(VLOOKUP(D50,'طلب التصنيع'!$B$42:$N$391,11,0),"")</f>
        <v/>
      </c>
      <c r="M50" s="421" t="str">
        <f t="shared" si="3"/>
        <v/>
      </c>
      <c r="N50" s="404" t="str">
        <f>IFERROR(VLOOKUP(D50,'طلب التصنيع'!$B$42:$N$391,13,0),"")</f>
        <v/>
      </c>
      <c r="O50" s="406" t="str">
        <f t="shared" si="4"/>
        <v/>
      </c>
    </row>
    <row r="51" spans="1:15" s="40" customFormat="1" ht="15" customHeight="1" x14ac:dyDescent="0.3">
      <c r="A51" s="40">
        <f t="shared" si="0"/>
        <v>0</v>
      </c>
      <c r="B51" s="40">
        <f>IF(A51=1,SUM($A$42:A51),0)</f>
        <v>0</v>
      </c>
      <c r="D51" s="84">
        <v>10</v>
      </c>
      <c r="E51" s="1034" t="str">
        <f>IFERROR(VLOOKUP(D51,'طلب التصنيع'!$B$42:$N$391,3,0),"")</f>
        <v/>
      </c>
      <c r="F51" s="1035"/>
      <c r="G51" s="1036" t="str">
        <f>IFERROR(VLOOKUP(D51,'طلب التصنيع'!$B$42:$N$391,5,0),"")</f>
        <v/>
      </c>
      <c r="H51" s="1037"/>
      <c r="I51" s="1038"/>
      <c r="J51" s="85" t="str">
        <f>IFERROR(VLOOKUP(D51,'طلب التصنيع'!$B$42:$N$391,8,0),"")</f>
        <v/>
      </c>
      <c r="K51" s="86" t="str">
        <f>IFERROR(VLOOKUP(D51,'طلب التصنيع'!$B$42:$N$391,9,0),"")</f>
        <v/>
      </c>
      <c r="L51" s="421" t="str">
        <f>IFERROR(VLOOKUP(D51,'طلب التصنيع'!$B$42:$N$391,11,0),"")</f>
        <v/>
      </c>
      <c r="M51" s="421" t="str">
        <f t="shared" si="3"/>
        <v/>
      </c>
      <c r="N51" s="404" t="str">
        <f>IFERROR(VLOOKUP(D51,'طلب التصنيع'!$B$42:$N$391,13,0),"")</f>
        <v/>
      </c>
      <c r="O51" s="406" t="str">
        <f t="shared" si="4"/>
        <v/>
      </c>
    </row>
    <row r="52" spans="1:15" s="40" customFormat="1" ht="15" customHeight="1" x14ac:dyDescent="0.3">
      <c r="A52" s="40">
        <f t="shared" si="0"/>
        <v>0</v>
      </c>
      <c r="B52" s="40">
        <f>IF(A52=1,SUM($A$42:A52),0)</f>
        <v>0</v>
      </c>
      <c r="D52" s="84">
        <v>11</v>
      </c>
      <c r="E52" s="1034" t="str">
        <f>IFERROR(VLOOKUP(D52,'طلب التصنيع'!$B$42:$N$391,3,0),"")</f>
        <v/>
      </c>
      <c r="F52" s="1035"/>
      <c r="G52" s="1036" t="str">
        <f>IFERROR(VLOOKUP(D52,'طلب التصنيع'!$B$42:$N$391,5,0),"")</f>
        <v/>
      </c>
      <c r="H52" s="1037"/>
      <c r="I52" s="1038"/>
      <c r="J52" s="85" t="str">
        <f>IFERROR(VLOOKUP(D52,'طلب التصنيع'!$B$42:$N$391,8,0),"")</f>
        <v/>
      </c>
      <c r="K52" s="86" t="str">
        <f>IFERROR(VLOOKUP(D52,'طلب التصنيع'!$B$42:$N$391,9,0),"")</f>
        <v/>
      </c>
      <c r="L52" s="421" t="str">
        <f>IFERROR(VLOOKUP(D52,'طلب التصنيع'!$B$42:$N$391,11,0),"")</f>
        <v/>
      </c>
      <c r="M52" s="421" t="str">
        <f t="shared" si="3"/>
        <v/>
      </c>
      <c r="N52" s="404" t="str">
        <f>IFERROR(VLOOKUP(D52,'طلب التصنيع'!$B$42:$N$391,13,0),"")</f>
        <v/>
      </c>
      <c r="O52" s="406" t="str">
        <f t="shared" si="4"/>
        <v/>
      </c>
    </row>
    <row r="53" spans="1:15" s="40" customFormat="1" ht="15" customHeight="1" x14ac:dyDescent="0.3">
      <c r="A53" s="40">
        <f t="shared" si="0"/>
        <v>0</v>
      </c>
      <c r="B53" s="40">
        <f>IF(A53=1,SUM($A$42:A53),0)</f>
        <v>0</v>
      </c>
      <c r="D53" s="84">
        <v>12</v>
      </c>
      <c r="E53" s="1034" t="str">
        <f>IFERROR(VLOOKUP(D53,'طلب التصنيع'!$B$42:$N$391,3,0),"")</f>
        <v/>
      </c>
      <c r="F53" s="1035"/>
      <c r="G53" s="1036" t="str">
        <f>IFERROR(VLOOKUP(D53,'طلب التصنيع'!$B$42:$N$391,5,0),"")</f>
        <v/>
      </c>
      <c r="H53" s="1037"/>
      <c r="I53" s="1038"/>
      <c r="J53" s="85" t="str">
        <f>IFERROR(VLOOKUP(D53,'طلب التصنيع'!$B$42:$N$391,8,0),"")</f>
        <v/>
      </c>
      <c r="K53" s="86" t="str">
        <f>IFERROR(VLOOKUP(D53,'طلب التصنيع'!$B$42:$N$391,9,0),"")</f>
        <v/>
      </c>
      <c r="L53" s="421" t="str">
        <f>IFERROR(VLOOKUP(D53,'طلب التصنيع'!$B$42:$N$391,11,0),"")</f>
        <v/>
      </c>
      <c r="M53" s="421" t="str">
        <f t="shared" si="3"/>
        <v/>
      </c>
      <c r="N53" s="404" t="str">
        <f>IFERROR(VLOOKUP(D53,'طلب التصنيع'!$B$42:$N$391,13,0),"")</f>
        <v/>
      </c>
      <c r="O53" s="406" t="str">
        <f t="shared" si="4"/>
        <v/>
      </c>
    </row>
    <row r="54" spans="1:15" s="40" customFormat="1" ht="15" customHeight="1" x14ac:dyDescent="0.3">
      <c r="A54" s="40">
        <f t="shared" si="0"/>
        <v>0</v>
      </c>
      <c r="B54" s="40">
        <f>IF(A54=1,SUM($A$42:A54),0)</f>
        <v>0</v>
      </c>
      <c r="D54" s="84">
        <v>13</v>
      </c>
      <c r="E54" s="1034" t="str">
        <f>IFERROR(VLOOKUP(D54,'طلب التصنيع'!$B$42:$N$391,3,0),"")</f>
        <v/>
      </c>
      <c r="F54" s="1035"/>
      <c r="G54" s="1036" t="str">
        <f>IFERROR(VLOOKUP(D54,'طلب التصنيع'!$B$42:$N$391,5,0),"")</f>
        <v/>
      </c>
      <c r="H54" s="1037"/>
      <c r="I54" s="1038"/>
      <c r="J54" s="85" t="str">
        <f>IFERROR(VLOOKUP(D54,'طلب التصنيع'!$B$42:$N$391,8,0),"")</f>
        <v/>
      </c>
      <c r="K54" s="86" t="str">
        <f>IFERROR(VLOOKUP(D54,'طلب التصنيع'!$B$42:$N$391,9,0),"")</f>
        <v/>
      </c>
      <c r="L54" s="421" t="str">
        <f>IFERROR(VLOOKUP(D54,'طلب التصنيع'!$B$42:$N$391,11,0),"")</f>
        <v/>
      </c>
      <c r="M54" s="421" t="str">
        <f t="shared" si="3"/>
        <v/>
      </c>
      <c r="N54" s="404" t="str">
        <f>IFERROR(VLOOKUP(D54,'طلب التصنيع'!$B$42:$N$391,13,0),"")</f>
        <v/>
      </c>
      <c r="O54" s="406" t="str">
        <f t="shared" si="4"/>
        <v/>
      </c>
    </row>
    <row r="55" spans="1:15" s="40" customFormat="1" ht="15" customHeight="1" x14ac:dyDescent="0.3">
      <c r="A55" s="40">
        <f t="shared" si="0"/>
        <v>0</v>
      </c>
      <c r="B55" s="40">
        <f>IF(A55=1,SUM($A$42:A55),0)</f>
        <v>0</v>
      </c>
      <c r="D55" s="84">
        <v>14</v>
      </c>
      <c r="E55" s="1034" t="str">
        <f>IFERROR(VLOOKUP(D55,'طلب التصنيع'!$B$42:$N$391,3,0),"")</f>
        <v/>
      </c>
      <c r="F55" s="1035"/>
      <c r="G55" s="1036" t="str">
        <f>IFERROR(VLOOKUP(D55,'طلب التصنيع'!$B$42:$N$391,5,0),"")</f>
        <v/>
      </c>
      <c r="H55" s="1037"/>
      <c r="I55" s="1038"/>
      <c r="J55" s="85" t="str">
        <f>IFERROR(VLOOKUP(D55,'طلب التصنيع'!$B$42:$N$391,8,0),"")</f>
        <v/>
      </c>
      <c r="K55" s="86" t="str">
        <f>IFERROR(VLOOKUP(D55,'طلب التصنيع'!$B$42:$N$391,9,0),"")</f>
        <v/>
      </c>
      <c r="L55" s="421" t="str">
        <f>IFERROR(VLOOKUP(D55,'طلب التصنيع'!$B$42:$N$391,11,0),"")</f>
        <v/>
      </c>
      <c r="M55" s="421" t="str">
        <f t="shared" si="3"/>
        <v/>
      </c>
      <c r="N55" s="404" t="str">
        <f>IFERROR(VLOOKUP(D55,'طلب التصنيع'!$B$42:$N$391,13,0),"")</f>
        <v/>
      </c>
      <c r="O55" s="406" t="str">
        <f t="shared" si="4"/>
        <v/>
      </c>
    </row>
    <row r="56" spans="1:15" s="40" customFormat="1" ht="15" customHeight="1" x14ac:dyDescent="0.3">
      <c r="A56" s="40">
        <f t="shared" si="0"/>
        <v>0</v>
      </c>
      <c r="B56" s="40">
        <f>IF(A56=1,SUM($A$42:A56),0)</f>
        <v>0</v>
      </c>
      <c r="D56" s="84">
        <v>15</v>
      </c>
      <c r="E56" s="1034" t="str">
        <f>IFERROR(VLOOKUP(D56,'طلب التصنيع'!$B$42:$N$391,3,0),"")</f>
        <v/>
      </c>
      <c r="F56" s="1035"/>
      <c r="G56" s="1036" t="str">
        <f>IFERROR(VLOOKUP(D56,'طلب التصنيع'!$B$42:$N$391,5,0),"")</f>
        <v/>
      </c>
      <c r="H56" s="1037"/>
      <c r="I56" s="1038"/>
      <c r="J56" s="85" t="str">
        <f>IFERROR(VLOOKUP(D56,'طلب التصنيع'!$B$42:$N$391,8,0),"")</f>
        <v/>
      </c>
      <c r="K56" s="86" t="str">
        <f>IFERROR(VLOOKUP(D56,'طلب التصنيع'!$B$42:$N$391,9,0),"")</f>
        <v/>
      </c>
      <c r="L56" s="421" t="str">
        <f>IFERROR(VLOOKUP(D56,'طلب التصنيع'!$B$42:$N$391,11,0),"")</f>
        <v/>
      </c>
      <c r="M56" s="421" t="str">
        <f t="shared" si="3"/>
        <v/>
      </c>
      <c r="N56" s="404" t="str">
        <f>IFERROR(VLOOKUP(D56,'طلب التصنيع'!$B$42:$N$391,13,0),"")</f>
        <v/>
      </c>
      <c r="O56" s="406" t="str">
        <f t="shared" si="4"/>
        <v/>
      </c>
    </row>
    <row r="57" spans="1:15" s="40" customFormat="1" ht="15" customHeight="1" x14ac:dyDescent="0.3">
      <c r="A57" s="40">
        <f t="shared" si="0"/>
        <v>0</v>
      </c>
      <c r="B57" s="40">
        <f>IF(A57=1,SUM($A$42:A57),0)</f>
        <v>0</v>
      </c>
      <c r="D57" s="84">
        <v>16</v>
      </c>
      <c r="E57" s="1034" t="str">
        <f>IFERROR(VLOOKUP(D57,'طلب التصنيع'!$B$42:$N$391,3,0),"")</f>
        <v/>
      </c>
      <c r="F57" s="1035"/>
      <c r="G57" s="1036" t="str">
        <f>IFERROR(VLOOKUP(D57,'طلب التصنيع'!$B$42:$N$391,5,0),"")</f>
        <v/>
      </c>
      <c r="H57" s="1037"/>
      <c r="I57" s="1038"/>
      <c r="J57" s="85" t="str">
        <f>IFERROR(VLOOKUP(D57,'طلب التصنيع'!$B$42:$N$391,8,0),"")</f>
        <v/>
      </c>
      <c r="K57" s="86" t="str">
        <f>IFERROR(VLOOKUP(D57,'طلب التصنيع'!$B$42:$N$391,9,0),"")</f>
        <v/>
      </c>
      <c r="L57" s="421" t="str">
        <f>IFERROR(VLOOKUP(D57,'طلب التصنيع'!$B$42:$N$391,11,0),"")</f>
        <v/>
      </c>
      <c r="M57" s="421" t="str">
        <f t="shared" si="3"/>
        <v/>
      </c>
      <c r="N57" s="404" t="str">
        <f>IFERROR(VLOOKUP(D57,'طلب التصنيع'!$B$42:$N$391,13,0),"")</f>
        <v/>
      </c>
      <c r="O57" s="406" t="str">
        <f t="shared" si="4"/>
        <v/>
      </c>
    </row>
    <row r="58" spans="1:15" s="40" customFormat="1" ht="15" customHeight="1" x14ac:dyDescent="0.3">
      <c r="A58" s="40">
        <f t="shared" si="0"/>
        <v>0</v>
      </c>
      <c r="B58" s="40">
        <f>IF(A58=1,SUM($A$42:A58),0)</f>
        <v>0</v>
      </c>
      <c r="D58" s="84">
        <v>17</v>
      </c>
      <c r="E58" s="1034" t="str">
        <f>IFERROR(VLOOKUP(D58,'طلب التصنيع'!$B$42:$N$391,3,0),"")</f>
        <v/>
      </c>
      <c r="F58" s="1035"/>
      <c r="G58" s="1036" t="str">
        <f>IFERROR(VLOOKUP(D58,'طلب التصنيع'!$B$42:$N$391,5,0),"")</f>
        <v/>
      </c>
      <c r="H58" s="1037"/>
      <c r="I58" s="1038"/>
      <c r="J58" s="85" t="str">
        <f>IFERROR(VLOOKUP(D58,'طلب التصنيع'!$B$42:$N$391,8,0),"")</f>
        <v/>
      </c>
      <c r="K58" s="86" t="str">
        <f>IFERROR(VLOOKUP(D58,'طلب التصنيع'!$B$42:$N$391,9,0),"")</f>
        <v/>
      </c>
      <c r="L58" s="421" t="str">
        <f>IFERROR(VLOOKUP(D58,'طلب التصنيع'!$B$42:$N$391,11,0),"")</f>
        <v/>
      </c>
      <c r="M58" s="421" t="str">
        <f t="shared" si="3"/>
        <v/>
      </c>
      <c r="N58" s="404" t="str">
        <f>IFERROR(VLOOKUP(D58,'طلب التصنيع'!$B$42:$N$391,13,0),"")</f>
        <v/>
      </c>
      <c r="O58" s="406" t="str">
        <f t="shared" si="4"/>
        <v/>
      </c>
    </row>
    <row r="59" spans="1:15" s="40" customFormat="1" ht="15" customHeight="1" x14ac:dyDescent="0.3">
      <c r="A59" s="40">
        <f t="shared" si="0"/>
        <v>0</v>
      </c>
      <c r="B59" s="40">
        <f>IF(A59=1,SUM($A$42:A59),0)</f>
        <v>0</v>
      </c>
      <c r="D59" s="84">
        <v>18</v>
      </c>
      <c r="E59" s="1034" t="str">
        <f>IFERROR(VLOOKUP(D59,'طلب التصنيع'!$B$42:$N$391,3,0),"")</f>
        <v/>
      </c>
      <c r="F59" s="1035"/>
      <c r="G59" s="1036" t="str">
        <f>IFERROR(VLOOKUP(D59,'طلب التصنيع'!$B$42:$N$391,5,0),"")</f>
        <v/>
      </c>
      <c r="H59" s="1037"/>
      <c r="I59" s="1038"/>
      <c r="J59" s="85" t="str">
        <f>IFERROR(VLOOKUP(D59,'طلب التصنيع'!$B$42:$N$391,8,0),"")</f>
        <v/>
      </c>
      <c r="K59" s="86" t="str">
        <f>IFERROR(VLOOKUP(D59,'طلب التصنيع'!$B$42:$N$391,9,0),"")</f>
        <v/>
      </c>
      <c r="L59" s="421" t="str">
        <f>IFERROR(VLOOKUP(D59,'طلب التصنيع'!$B$42:$N$391,11,0),"")</f>
        <v/>
      </c>
      <c r="M59" s="421" t="str">
        <f t="shared" si="3"/>
        <v/>
      </c>
      <c r="N59" s="404" t="str">
        <f>IFERROR(VLOOKUP(D59,'طلب التصنيع'!$B$42:$N$391,13,0),"")</f>
        <v/>
      </c>
      <c r="O59" s="406" t="str">
        <f t="shared" si="4"/>
        <v/>
      </c>
    </row>
    <row r="60" spans="1:15" s="40" customFormat="1" ht="15" customHeight="1" x14ac:dyDescent="0.3">
      <c r="A60" s="40">
        <f t="shared" si="0"/>
        <v>0</v>
      </c>
      <c r="B60" s="40">
        <f>IF(A60=1,SUM($A$42:A60),0)</f>
        <v>0</v>
      </c>
      <c r="D60" s="84">
        <v>19</v>
      </c>
      <c r="E60" s="1034" t="str">
        <f>IFERROR(VLOOKUP(D60,'طلب التصنيع'!$B$42:$N$391,3,0),"")</f>
        <v/>
      </c>
      <c r="F60" s="1035"/>
      <c r="G60" s="1036" t="str">
        <f>IFERROR(VLOOKUP(D60,'طلب التصنيع'!$B$42:$N$391,5,0),"")</f>
        <v/>
      </c>
      <c r="H60" s="1037"/>
      <c r="I60" s="1038"/>
      <c r="J60" s="85" t="str">
        <f>IFERROR(VLOOKUP(D60,'طلب التصنيع'!$B$42:$N$391,8,0),"")</f>
        <v/>
      </c>
      <c r="K60" s="86" t="str">
        <f>IFERROR(VLOOKUP(D60,'طلب التصنيع'!$B$42:$N$391,9,0),"")</f>
        <v/>
      </c>
      <c r="L60" s="421" t="str">
        <f>IFERROR(VLOOKUP(D60,'طلب التصنيع'!$B$42:$N$391,11,0),"")</f>
        <v/>
      </c>
      <c r="M60" s="421" t="str">
        <f t="shared" si="3"/>
        <v/>
      </c>
      <c r="N60" s="404" t="str">
        <f>IFERROR(VLOOKUP(D60,'طلب التصنيع'!$B$42:$N$391,13,0),"")</f>
        <v/>
      </c>
      <c r="O60" s="406" t="str">
        <f t="shared" si="4"/>
        <v/>
      </c>
    </row>
    <row r="61" spans="1:15" s="40" customFormat="1" ht="15" customHeight="1" x14ac:dyDescent="0.3">
      <c r="A61" s="40">
        <f t="shared" si="0"/>
        <v>0</v>
      </c>
      <c r="B61" s="40">
        <f>IF(A61=1,SUM($A$42:A61),0)</f>
        <v>0</v>
      </c>
      <c r="D61" s="84">
        <v>20</v>
      </c>
      <c r="E61" s="1034" t="str">
        <f>IFERROR(VLOOKUP(D61,'طلب التصنيع'!$B$42:$N$391,3,0),"")</f>
        <v/>
      </c>
      <c r="F61" s="1035"/>
      <c r="G61" s="1036" t="str">
        <f>IFERROR(VLOOKUP(D61,'طلب التصنيع'!$B$42:$N$391,5,0),"")</f>
        <v/>
      </c>
      <c r="H61" s="1037"/>
      <c r="I61" s="1038"/>
      <c r="J61" s="85" t="str">
        <f>IFERROR(VLOOKUP(D61,'طلب التصنيع'!$B$42:$N$391,8,0),"")</f>
        <v/>
      </c>
      <c r="K61" s="86" t="str">
        <f>IFERROR(VLOOKUP(D61,'طلب التصنيع'!$B$42:$N$391,9,0),"")</f>
        <v/>
      </c>
      <c r="L61" s="421" t="str">
        <f>IFERROR(VLOOKUP(D61,'طلب التصنيع'!$B$42:$N$391,11,0),"")</f>
        <v/>
      </c>
      <c r="M61" s="421" t="str">
        <f t="shared" si="3"/>
        <v/>
      </c>
      <c r="N61" s="404" t="str">
        <f>IFERROR(VLOOKUP(D61,'طلب التصنيع'!$B$42:$N$391,13,0),"")</f>
        <v/>
      </c>
      <c r="O61" s="406" t="str">
        <f t="shared" si="4"/>
        <v/>
      </c>
    </row>
    <row r="62" spans="1:15" s="40" customFormat="1" ht="15" customHeight="1" x14ac:dyDescent="0.3">
      <c r="A62" s="40">
        <f t="shared" si="0"/>
        <v>0</v>
      </c>
      <c r="B62" s="40">
        <f>IF(A62=1,SUM($A$42:A62),0)</f>
        <v>0</v>
      </c>
      <c r="D62" s="84">
        <v>21</v>
      </c>
      <c r="E62" s="1034" t="str">
        <f>IFERROR(VLOOKUP(D62,'طلب التصنيع'!$B$42:$N$391,3,0),"")</f>
        <v/>
      </c>
      <c r="F62" s="1035"/>
      <c r="G62" s="1036" t="str">
        <f>IFERROR(VLOOKUP(D62,'طلب التصنيع'!$B$42:$N$391,5,0),"")</f>
        <v/>
      </c>
      <c r="H62" s="1037"/>
      <c r="I62" s="1038"/>
      <c r="J62" s="85" t="str">
        <f>IFERROR(VLOOKUP(D62,'طلب التصنيع'!$B$42:$N$391,8,0),"")</f>
        <v/>
      </c>
      <c r="K62" s="86" t="str">
        <f>IFERROR(VLOOKUP(D62,'طلب التصنيع'!$B$42:$N$391,9,0),"")</f>
        <v/>
      </c>
      <c r="L62" s="421" t="str">
        <f>IFERROR(VLOOKUP(D62,'طلب التصنيع'!$B$42:$N$391,11,0),"")</f>
        <v/>
      </c>
      <c r="M62" s="421" t="str">
        <f t="shared" si="3"/>
        <v/>
      </c>
      <c r="N62" s="404" t="str">
        <f>IFERROR(VLOOKUP(D62,'طلب التصنيع'!$B$42:$N$391,13,0),"")</f>
        <v/>
      </c>
      <c r="O62" s="406" t="str">
        <f t="shared" si="4"/>
        <v/>
      </c>
    </row>
    <row r="63" spans="1:15" s="40" customFormat="1" ht="15" customHeight="1" x14ac:dyDescent="0.3">
      <c r="A63" s="40">
        <f t="shared" si="0"/>
        <v>0</v>
      </c>
      <c r="B63" s="40">
        <f>IF(A63=1,SUM($A$42:A63),0)</f>
        <v>0</v>
      </c>
      <c r="D63" s="84">
        <v>22</v>
      </c>
      <c r="E63" s="1034" t="str">
        <f>IFERROR(VLOOKUP(D63,'طلب التصنيع'!$B$42:$N$391,3,0),"")</f>
        <v/>
      </c>
      <c r="F63" s="1035"/>
      <c r="G63" s="1036" t="str">
        <f>IFERROR(VLOOKUP(D63,'طلب التصنيع'!$B$42:$N$391,5,0),"")</f>
        <v/>
      </c>
      <c r="H63" s="1037"/>
      <c r="I63" s="1038"/>
      <c r="J63" s="85" t="str">
        <f>IFERROR(VLOOKUP(D63,'طلب التصنيع'!$B$42:$N$391,8,0),"")</f>
        <v/>
      </c>
      <c r="K63" s="86" t="str">
        <f>IFERROR(VLOOKUP(D63,'طلب التصنيع'!$B$42:$N$391,9,0),"")</f>
        <v/>
      </c>
      <c r="L63" s="421" t="str">
        <f>IFERROR(VLOOKUP(D63,'طلب التصنيع'!$B$42:$N$391,11,0),"")</f>
        <v/>
      </c>
      <c r="M63" s="421" t="str">
        <f t="shared" si="3"/>
        <v/>
      </c>
      <c r="N63" s="404" t="str">
        <f>IFERROR(VLOOKUP(D63,'طلب التصنيع'!$B$42:$N$391,13,0),"")</f>
        <v/>
      </c>
      <c r="O63" s="406" t="str">
        <f t="shared" si="4"/>
        <v/>
      </c>
    </row>
    <row r="64" spans="1:15" s="40" customFormat="1" ht="15" customHeight="1" x14ac:dyDescent="0.3">
      <c r="A64" s="40">
        <f t="shared" si="0"/>
        <v>0</v>
      </c>
      <c r="B64" s="40">
        <f>IF(A64=1,SUM($A$42:A64),0)</f>
        <v>0</v>
      </c>
      <c r="D64" s="84">
        <v>23</v>
      </c>
      <c r="E64" s="1034" t="str">
        <f>IFERROR(VLOOKUP(D64,'طلب التصنيع'!$B$42:$N$391,3,0),"")</f>
        <v/>
      </c>
      <c r="F64" s="1035"/>
      <c r="G64" s="1036" t="str">
        <f>IFERROR(VLOOKUP(D64,'طلب التصنيع'!$B$42:$N$391,5,0),"")</f>
        <v/>
      </c>
      <c r="H64" s="1037"/>
      <c r="I64" s="1038"/>
      <c r="J64" s="85" t="str">
        <f>IFERROR(VLOOKUP(D64,'طلب التصنيع'!$B$42:$N$391,8,0),"")</f>
        <v/>
      </c>
      <c r="K64" s="86" t="str">
        <f>IFERROR(VLOOKUP(D64,'طلب التصنيع'!$B$42:$N$391,9,0),"")</f>
        <v/>
      </c>
      <c r="L64" s="421" t="str">
        <f>IFERROR(VLOOKUP(D64,'طلب التصنيع'!$B$42:$N$391,11,0),"")</f>
        <v/>
      </c>
      <c r="M64" s="421" t="str">
        <f t="shared" si="3"/>
        <v/>
      </c>
      <c r="N64" s="404" t="str">
        <f>IFERROR(VLOOKUP(D64,'طلب التصنيع'!$B$42:$N$391,13,0),"")</f>
        <v/>
      </c>
      <c r="O64" s="406" t="str">
        <f t="shared" si="4"/>
        <v/>
      </c>
    </row>
    <row r="65" spans="1:15" s="40" customFormat="1" ht="15" customHeight="1" x14ac:dyDescent="0.3">
      <c r="A65" s="40">
        <f t="shared" si="0"/>
        <v>0</v>
      </c>
      <c r="B65" s="40">
        <f>IF(A65=1,SUM($A$42:A65),0)</f>
        <v>0</v>
      </c>
      <c r="D65" s="84">
        <v>24</v>
      </c>
      <c r="E65" s="1034" t="str">
        <f>IFERROR(VLOOKUP(D65,'طلب التصنيع'!$B$42:$N$391,3,0),"")</f>
        <v/>
      </c>
      <c r="F65" s="1035"/>
      <c r="G65" s="1036" t="str">
        <f>IFERROR(VLOOKUP(D65,'طلب التصنيع'!$B$42:$N$391,5,0),"")</f>
        <v/>
      </c>
      <c r="H65" s="1037"/>
      <c r="I65" s="1038"/>
      <c r="J65" s="85" t="str">
        <f>IFERROR(VLOOKUP(D65,'طلب التصنيع'!$B$42:$N$391,8,0),"")</f>
        <v/>
      </c>
      <c r="K65" s="86" t="str">
        <f>IFERROR(VLOOKUP(D65,'طلب التصنيع'!$B$42:$N$391,9,0),"")</f>
        <v/>
      </c>
      <c r="L65" s="421" t="str">
        <f>IFERROR(VLOOKUP(D65,'طلب التصنيع'!$B$42:$N$391,11,0),"")</f>
        <v/>
      </c>
      <c r="M65" s="421" t="str">
        <f t="shared" si="3"/>
        <v/>
      </c>
      <c r="N65" s="404" t="str">
        <f>IFERROR(VLOOKUP(D65,'طلب التصنيع'!$B$42:$N$391,13,0),"")</f>
        <v/>
      </c>
      <c r="O65" s="406" t="str">
        <f t="shared" si="4"/>
        <v/>
      </c>
    </row>
    <row r="66" spans="1:15" s="40" customFormat="1" ht="15" customHeight="1" x14ac:dyDescent="0.3">
      <c r="A66" s="40">
        <f t="shared" si="0"/>
        <v>0</v>
      </c>
      <c r="B66" s="40">
        <f>IF(A66=1,SUM($A$42:A66),0)</f>
        <v>0</v>
      </c>
      <c r="D66" s="84">
        <v>25</v>
      </c>
      <c r="E66" s="1034" t="str">
        <f>IFERROR(VLOOKUP(D66,'طلب التصنيع'!$B$42:$N$391,3,0),"")</f>
        <v/>
      </c>
      <c r="F66" s="1035"/>
      <c r="G66" s="1036" t="str">
        <f>IFERROR(VLOOKUP(D66,'طلب التصنيع'!$B$42:$N$391,5,0),"")</f>
        <v/>
      </c>
      <c r="H66" s="1037"/>
      <c r="I66" s="1038"/>
      <c r="J66" s="85" t="str">
        <f>IFERROR(VLOOKUP(D66,'طلب التصنيع'!$B$42:$N$391,8,0),"")</f>
        <v/>
      </c>
      <c r="K66" s="86" t="str">
        <f>IFERROR(VLOOKUP(D66,'طلب التصنيع'!$B$42:$N$391,9,0),"")</f>
        <v/>
      </c>
      <c r="L66" s="421" t="str">
        <f>IFERROR(VLOOKUP(D66,'طلب التصنيع'!$B$42:$N$391,11,0),"")</f>
        <v/>
      </c>
      <c r="M66" s="421" t="str">
        <f t="shared" si="3"/>
        <v/>
      </c>
      <c r="N66" s="404" t="str">
        <f>IFERROR(VLOOKUP(D66,'طلب التصنيع'!$B$42:$N$391,13,0),"")</f>
        <v/>
      </c>
      <c r="O66" s="406" t="str">
        <f t="shared" si="4"/>
        <v/>
      </c>
    </row>
    <row r="67" spans="1:15" s="40" customFormat="1" ht="15" customHeight="1" x14ac:dyDescent="0.3">
      <c r="A67" s="40">
        <f t="shared" si="0"/>
        <v>0</v>
      </c>
      <c r="B67" s="40">
        <f>IF(A67=1,SUM($A$42:A67),0)</f>
        <v>0</v>
      </c>
      <c r="D67" s="84">
        <v>26</v>
      </c>
      <c r="E67" s="1034" t="str">
        <f>IFERROR(VLOOKUP(D67,'طلب التصنيع'!$B$42:$N$391,3,0),"")</f>
        <v/>
      </c>
      <c r="F67" s="1035"/>
      <c r="G67" s="1036" t="str">
        <f>IFERROR(VLOOKUP(D67,'طلب التصنيع'!$B$42:$N$391,5,0),"")</f>
        <v/>
      </c>
      <c r="H67" s="1037"/>
      <c r="I67" s="1038"/>
      <c r="J67" s="85" t="str">
        <f>IFERROR(VLOOKUP(D67,'طلب التصنيع'!$B$42:$N$391,8,0),"")</f>
        <v/>
      </c>
      <c r="K67" s="86" t="str">
        <f>IFERROR(VLOOKUP(D67,'طلب التصنيع'!$B$42:$N$391,9,0),"")</f>
        <v/>
      </c>
      <c r="L67" s="421" t="str">
        <f>IFERROR(VLOOKUP(D67,'طلب التصنيع'!$B$42:$N$391,11,0),"")</f>
        <v/>
      </c>
      <c r="M67" s="421" t="str">
        <f t="shared" si="3"/>
        <v/>
      </c>
      <c r="N67" s="404" t="str">
        <f>IFERROR(VLOOKUP(D67,'طلب التصنيع'!$B$42:$N$391,13,0),"")</f>
        <v/>
      </c>
      <c r="O67" s="406" t="str">
        <f t="shared" si="4"/>
        <v/>
      </c>
    </row>
    <row r="68" spans="1:15" s="40" customFormat="1" ht="15" customHeight="1" x14ac:dyDescent="0.3">
      <c r="A68" s="40">
        <f t="shared" si="0"/>
        <v>0</v>
      </c>
      <c r="B68" s="40">
        <f>IF(A68=1,SUM($A$42:A68),0)</f>
        <v>0</v>
      </c>
      <c r="D68" s="84">
        <v>27</v>
      </c>
      <c r="E68" s="1034" t="str">
        <f>IFERROR(VLOOKUP(D68,'طلب التصنيع'!$B$42:$N$391,3,0),"")</f>
        <v/>
      </c>
      <c r="F68" s="1035"/>
      <c r="G68" s="1036" t="str">
        <f>IFERROR(VLOOKUP(D68,'طلب التصنيع'!$B$42:$N$391,5,0),"")</f>
        <v/>
      </c>
      <c r="H68" s="1037"/>
      <c r="I68" s="1038"/>
      <c r="J68" s="85" t="str">
        <f>IFERROR(VLOOKUP(D68,'طلب التصنيع'!$B$42:$N$391,8,0),"")</f>
        <v/>
      </c>
      <c r="K68" s="86" t="str">
        <f>IFERROR(VLOOKUP(D68,'طلب التصنيع'!$B$42:$N$391,9,0),"")</f>
        <v/>
      </c>
      <c r="L68" s="421" t="str">
        <f>IFERROR(VLOOKUP(D68,'طلب التصنيع'!$B$42:$N$391,11,0),"")</f>
        <v/>
      </c>
      <c r="M68" s="421" t="str">
        <f t="shared" si="3"/>
        <v/>
      </c>
      <c r="N68" s="404" t="str">
        <f>IFERROR(VLOOKUP(D68,'طلب التصنيع'!$B$42:$N$391,13,0),"")</f>
        <v/>
      </c>
      <c r="O68" s="406" t="str">
        <f t="shared" si="4"/>
        <v/>
      </c>
    </row>
    <row r="69" spans="1:15" s="40" customFormat="1" ht="15" customHeight="1" x14ac:dyDescent="0.3">
      <c r="A69" s="40">
        <f t="shared" si="0"/>
        <v>0</v>
      </c>
      <c r="B69" s="40">
        <f>IF(A69=1,SUM($A$42:A69),0)</f>
        <v>0</v>
      </c>
      <c r="D69" s="84">
        <v>28</v>
      </c>
      <c r="E69" s="1034" t="str">
        <f>IFERROR(VLOOKUP(D69,'طلب التصنيع'!$B$42:$N$391,3,0),"")</f>
        <v/>
      </c>
      <c r="F69" s="1035"/>
      <c r="G69" s="1036" t="str">
        <f>IFERROR(VLOOKUP(D69,'طلب التصنيع'!$B$42:$N$391,5,0),"")</f>
        <v/>
      </c>
      <c r="H69" s="1037"/>
      <c r="I69" s="1038"/>
      <c r="J69" s="85" t="str">
        <f>IFERROR(VLOOKUP(D69,'طلب التصنيع'!$B$42:$N$391,8,0),"")</f>
        <v/>
      </c>
      <c r="K69" s="86" t="str">
        <f>IFERROR(VLOOKUP(D69,'طلب التصنيع'!$B$42:$N$391,9,0),"")</f>
        <v/>
      </c>
      <c r="L69" s="421" t="str">
        <f>IFERROR(VLOOKUP(D69,'طلب التصنيع'!$B$42:$N$391,11,0),"")</f>
        <v/>
      </c>
      <c r="M69" s="421" t="str">
        <f t="shared" si="3"/>
        <v/>
      </c>
      <c r="N69" s="404" t="str">
        <f>IFERROR(VLOOKUP(D69,'طلب التصنيع'!$B$42:$N$391,13,0),"")</f>
        <v/>
      </c>
      <c r="O69" s="406" t="str">
        <f t="shared" si="4"/>
        <v/>
      </c>
    </row>
    <row r="70" spans="1:15" s="40" customFormat="1" ht="15" customHeight="1" x14ac:dyDescent="0.3">
      <c r="A70" s="40">
        <f t="shared" si="0"/>
        <v>0</v>
      </c>
      <c r="B70" s="40">
        <f>IF(A70=1,SUM($A$42:A70),0)</f>
        <v>0</v>
      </c>
      <c r="D70" s="84">
        <v>29</v>
      </c>
      <c r="E70" s="1034" t="str">
        <f>IFERROR(VLOOKUP(D70,'طلب التصنيع'!$B$42:$N$391,3,0),"")</f>
        <v/>
      </c>
      <c r="F70" s="1035"/>
      <c r="G70" s="1036" t="str">
        <f>IFERROR(VLOOKUP(D70,'طلب التصنيع'!$B$42:$N$391,5,0),"")</f>
        <v/>
      </c>
      <c r="H70" s="1037"/>
      <c r="I70" s="1038"/>
      <c r="J70" s="85" t="str">
        <f>IFERROR(VLOOKUP(D70,'طلب التصنيع'!$B$42:$N$391,8,0),"")</f>
        <v/>
      </c>
      <c r="K70" s="86" t="str">
        <f>IFERROR(VLOOKUP(D70,'طلب التصنيع'!$B$42:$N$391,9,0),"")</f>
        <v/>
      </c>
      <c r="L70" s="421" t="str">
        <f>IFERROR(VLOOKUP(D70,'طلب التصنيع'!$B$42:$N$391,11,0),"")</f>
        <v/>
      </c>
      <c r="M70" s="421" t="str">
        <f t="shared" si="3"/>
        <v/>
      </c>
      <c r="N70" s="404" t="str">
        <f>IFERROR(VLOOKUP(D70,'طلب التصنيع'!$B$42:$N$391,13,0),"")</f>
        <v/>
      </c>
      <c r="O70" s="406" t="str">
        <f t="shared" si="4"/>
        <v/>
      </c>
    </row>
    <row r="71" spans="1:15" s="40" customFormat="1" ht="15" customHeight="1" x14ac:dyDescent="0.3">
      <c r="A71" s="40">
        <f t="shared" si="0"/>
        <v>0</v>
      </c>
      <c r="B71" s="40">
        <f>IF(A71=1,SUM($A$42:A71),0)</f>
        <v>0</v>
      </c>
      <c r="D71" s="84">
        <v>30</v>
      </c>
      <c r="E71" s="1034" t="str">
        <f>IFERROR(VLOOKUP(D71,'طلب التصنيع'!$B$42:$N$391,3,0),"")</f>
        <v/>
      </c>
      <c r="F71" s="1035"/>
      <c r="G71" s="1036" t="str">
        <f>IFERROR(VLOOKUP(D71,'طلب التصنيع'!$B$42:$N$391,5,0),"")</f>
        <v/>
      </c>
      <c r="H71" s="1037"/>
      <c r="I71" s="1038"/>
      <c r="J71" s="85" t="str">
        <f>IFERROR(VLOOKUP(D71,'طلب التصنيع'!$B$42:$N$391,8,0),"")</f>
        <v/>
      </c>
      <c r="K71" s="86" t="str">
        <f>IFERROR(VLOOKUP(D71,'طلب التصنيع'!$B$42:$N$391,9,0),"")</f>
        <v/>
      </c>
      <c r="L71" s="421" t="str">
        <f>IFERROR(VLOOKUP(D71,'طلب التصنيع'!$B$42:$N$391,11,0),"")</f>
        <v/>
      </c>
      <c r="M71" s="421" t="str">
        <f t="shared" si="3"/>
        <v/>
      </c>
      <c r="N71" s="404" t="str">
        <f>IFERROR(VLOOKUP(D71,'طلب التصنيع'!$B$42:$N$391,13,0),"")</f>
        <v/>
      </c>
      <c r="O71" s="406" t="str">
        <f t="shared" si="4"/>
        <v/>
      </c>
    </row>
    <row r="72" spans="1:15" s="40" customFormat="1" ht="15" customHeight="1" x14ac:dyDescent="0.3">
      <c r="A72" s="40">
        <f t="shared" si="0"/>
        <v>0</v>
      </c>
      <c r="B72" s="40">
        <f>IF(A72=1,SUM($A$42:A72),0)</f>
        <v>0</v>
      </c>
      <c r="D72" s="84">
        <v>31</v>
      </c>
      <c r="E72" s="1034" t="str">
        <f>IFERROR(VLOOKUP(D72,'طلب التصنيع'!$B$42:$N$391,3,0),"")</f>
        <v/>
      </c>
      <c r="F72" s="1035"/>
      <c r="G72" s="1036" t="str">
        <f>IFERROR(VLOOKUP(D72,'طلب التصنيع'!$B$42:$N$391,5,0),"")</f>
        <v/>
      </c>
      <c r="H72" s="1037"/>
      <c r="I72" s="1038"/>
      <c r="J72" s="85" t="str">
        <f>IFERROR(VLOOKUP(D72,'طلب التصنيع'!$B$42:$N$391,8,0),"")</f>
        <v/>
      </c>
      <c r="K72" s="86" t="str">
        <f>IFERROR(VLOOKUP(D72,'طلب التصنيع'!$B$42:$N$391,9,0),"")</f>
        <v/>
      </c>
      <c r="L72" s="421" t="str">
        <f>IFERROR(VLOOKUP(D72,'طلب التصنيع'!$B$42:$N$391,11,0),"")</f>
        <v/>
      </c>
      <c r="M72" s="421" t="str">
        <f t="shared" si="3"/>
        <v/>
      </c>
      <c r="N72" s="404" t="str">
        <f>IFERROR(VLOOKUP(D72,'طلب التصنيع'!$B$42:$N$391,13,0),"")</f>
        <v/>
      </c>
      <c r="O72" s="406" t="str">
        <f t="shared" si="4"/>
        <v/>
      </c>
    </row>
    <row r="73" spans="1:15" s="40" customFormat="1" ht="15" customHeight="1" x14ac:dyDescent="0.3">
      <c r="A73" s="40">
        <f t="shared" si="0"/>
        <v>0</v>
      </c>
      <c r="B73" s="40">
        <f>IF(A73=1,SUM($A$42:A73),0)</f>
        <v>0</v>
      </c>
      <c r="D73" s="84">
        <v>32</v>
      </c>
      <c r="E73" s="1034" t="str">
        <f>IFERROR(VLOOKUP(D73,'طلب التصنيع'!$B$42:$N$391,3,0),"")</f>
        <v/>
      </c>
      <c r="F73" s="1035"/>
      <c r="G73" s="1036" t="str">
        <f>IFERROR(VLOOKUP(D73,'طلب التصنيع'!$B$42:$N$391,5,0),"")</f>
        <v/>
      </c>
      <c r="H73" s="1037"/>
      <c r="I73" s="1038"/>
      <c r="J73" s="85" t="str">
        <f>IFERROR(VLOOKUP(D73,'طلب التصنيع'!$B$42:$N$391,8,0),"")</f>
        <v/>
      </c>
      <c r="K73" s="86" t="str">
        <f>IFERROR(VLOOKUP(D73,'طلب التصنيع'!$B$42:$N$391,9,0),"")</f>
        <v/>
      </c>
      <c r="L73" s="421" t="str">
        <f>IFERROR(VLOOKUP(D73,'طلب التصنيع'!$B$42:$N$391,11,0),"")</f>
        <v/>
      </c>
      <c r="M73" s="421" t="str">
        <f t="shared" si="3"/>
        <v/>
      </c>
      <c r="N73" s="404" t="str">
        <f>IFERROR(VLOOKUP(D73,'طلب التصنيع'!$B$42:$N$391,13,0),"")</f>
        <v/>
      </c>
      <c r="O73" s="406" t="str">
        <f t="shared" si="4"/>
        <v/>
      </c>
    </row>
    <row r="74" spans="1:15" s="40" customFormat="1" ht="15" customHeight="1" x14ac:dyDescent="0.3">
      <c r="A74" s="40">
        <f t="shared" si="0"/>
        <v>0</v>
      </c>
      <c r="B74" s="40">
        <f>IF(A74=1,SUM($A$42:A74),0)</f>
        <v>0</v>
      </c>
      <c r="D74" s="84">
        <v>33</v>
      </c>
      <c r="E74" s="1034" t="str">
        <f>IFERROR(VLOOKUP(D74,'طلب التصنيع'!$B$42:$N$391,3,0),"")</f>
        <v/>
      </c>
      <c r="F74" s="1035"/>
      <c r="G74" s="1036" t="str">
        <f>IFERROR(VLOOKUP(D74,'طلب التصنيع'!$B$42:$N$391,5,0),"")</f>
        <v/>
      </c>
      <c r="H74" s="1037"/>
      <c r="I74" s="1038"/>
      <c r="J74" s="85" t="str">
        <f>IFERROR(VLOOKUP(D74,'طلب التصنيع'!$B$42:$N$391,8,0),"")</f>
        <v/>
      </c>
      <c r="K74" s="86" t="str">
        <f>IFERROR(VLOOKUP(D74,'طلب التصنيع'!$B$42:$N$391,9,0),"")</f>
        <v/>
      </c>
      <c r="L74" s="421" t="str">
        <f>IFERROR(VLOOKUP(D74,'طلب التصنيع'!$B$42:$N$391,11,0),"")</f>
        <v/>
      </c>
      <c r="M74" s="421" t="str">
        <f t="shared" si="3"/>
        <v/>
      </c>
      <c r="N74" s="404" t="str">
        <f>IFERROR(VLOOKUP(D74,'طلب التصنيع'!$B$42:$N$391,13,0),"")</f>
        <v/>
      </c>
      <c r="O74" s="406" t="str">
        <f t="shared" si="4"/>
        <v/>
      </c>
    </row>
    <row r="75" spans="1:15" s="40" customFormat="1" ht="15" customHeight="1" x14ac:dyDescent="0.3">
      <c r="A75" s="40">
        <f t="shared" si="0"/>
        <v>0</v>
      </c>
      <c r="B75" s="40">
        <f>IF(A75=1,SUM($A$42:A75),0)</f>
        <v>0</v>
      </c>
      <c r="D75" s="84">
        <v>34</v>
      </c>
      <c r="E75" s="1034" t="str">
        <f>IFERROR(VLOOKUP(D75,'طلب التصنيع'!$B$42:$N$391,3,0),"")</f>
        <v/>
      </c>
      <c r="F75" s="1035"/>
      <c r="G75" s="1036" t="str">
        <f>IFERROR(VLOOKUP(D75,'طلب التصنيع'!$B$42:$N$391,5,0),"")</f>
        <v/>
      </c>
      <c r="H75" s="1037"/>
      <c r="I75" s="1038"/>
      <c r="J75" s="85" t="str">
        <f>IFERROR(VLOOKUP(D75,'طلب التصنيع'!$B$42:$N$391,8,0),"")</f>
        <v/>
      </c>
      <c r="K75" s="86" t="str">
        <f>IFERROR(VLOOKUP(D75,'طلب التصنيع'!$B$42:$N$391,9,0),"")</f>
        <v/>
      </c>
      <c r="L75" s="421" t="str">
        <f>IFERROR(VLOOKUP(D75,'طلب التصنيع'!$B$42:$N$391,11,0),"")</f>
        <v/>
      </c>
      <c r="M75" s="421" t="str">
        <f t="shared" si="3"/>
        <v/>
      </c>
      <c r="N75" s="404" t="str">
        <f>IFERROR(VLOOKUP(D75,'طلب التصنيع'!$B$42:$N$391,13,0),"")</f>
        <v/>
      </c>
      <c r="O75" s="406" t="str">
        <f t="shared" si="4"/>
        <v/>
      </c>
    </row>
    <row r="76" spans="1:15" s="40" customFormat="1" ht="15" customHeight="1" x14ac:dyDescent="0.3">
      <c r="A76" s="40">
        <f t="shared" si="0"/>
        <v>0</v>
      </c>
      <c r="B76" s="40">
        <f>IF(A76=1,SUM($A$42:A76),0)</f>
        <v>0</v>
      </c>
      <c r="D76" s="84">
        <v>35</v>
      </c>
      <c r="E76" s="1034" t="str">
        <f>IFERROR(VLOOKUP(D76,'طلب التصنيع'!$B$42:$N$391,3,0),"")</f>
        <v/>
      </c>
      <c r="F76" s="1035"/>
      <c r="G76" s="1036" t="str">
        <f>IFERROR(VLOOKUP(D76,'طلب التصنيع'!$B$42:$N$391,5,0),"")</f>
        <v/>
      </c>
      <c r="H76" s="1037"/>
      <c r="I76" s="1038"/>
      <c r="J76" s="85" t="str">
        <f>IFERROR(VLOOKUP(D76,'طلب التصنيع'!$B$42:$N$391,8,0),"")</f>
        <v/>
      </c>
      <c r="K76" s="86" t="str">
        <f>IFERROR(VLOOKUP(D76,'طلب التصنيع'!$B$42:$N$391,9,0),"")</f>
        <v/>
      </c>
      <c r="L76" s="421" t="str">
        <f>IFERROR(VLOOKUP(D76,'طلب التصنيع'!$B$42:$N$391,11,0),"")</f>
        <v/>
      </c>
      <c r="M76" s="421" t="str">
        <f t="shared" si="3"/>
        <v/>
      </c>
      <c r="N76" s="404" t="str">
        <f>IFERROR(VLOOKUP(D76,'طلب التصنيع'!$B$42:$N$391,13,0),"")</f>
        <v/>
      </c>
      <c r="O76" s="406" t="str">
        <f t="shared" si="4"/>
        <v/>
      </c>
    </row>
    <row r="77" spans="1:15" s="40" customFormat="1" ht="15" customHeight="1" x14ac:dyDescent="0.3">
      <c r="A77" s="40">
        <f t="shared" si="0"/>
        <v>0</v>
      </c>
      <c r="B77" s="40">
        <f>IF(A77=1,SUM($A$42:A77),0)</f>
        <v>0</v>
      </c>
      <c r="D77" s="84">
        <v>36</v>
      </c>
      <c r="E77" s="1034" t="str">
        <f>IFERROR(VLOOKUP(D77,'طلب التصنيع'!$B$42:$N$391,3,0),"")</f>
        <v/>
      </c>
      <c r="F77" s="1035"/>
      <c r="G77" s="1036" t="str">
        <f>IFERROR(VLOOKUP(D77,'طلب التصنيع'!$B$42:$N$391,5,0),"")</f>
        <v/>
      </c>
      <c r="H77" s="1037"/>
      <c r="I77" s="1038"/>
      <c r="J77" s="85" t="str">
        <f>IFERROR(VLOOKUP(D77,'طلب التصنيع'!$B$42:$N$391,8,0),"")</f>
        <v/>
      </c>
      <c r="K77" s="86" t="str">
        <f>IFERROR(VLOOKUP(D77,'طلب التصنيع'!$B$42:$N$391,9,0),"")</f>
        <v/>
      </c>
      <c r="L77" s="421" t="str">
        <f>IFERROR(VLOOKUP(D77,'طلب التصنيع'!$B$42:$N$391,11,0),"")</f>
        <v/>
      </c>
      <c r="M77" s="421" t="str">
        <f t="shared" si="3"/>
        <v/>
      </c>
      <c r="N77" s="404" t="str">
        <f>IFERROR(VLOOKUP(D77,'طلب التصنيع'!$B$42:$N$391,13,0),"")</f>
        <v/>
      </c>
      <c r="O77" s="406" t="str">
        <f t="shared" si="4"/>
        <v/>
      </c>
    </row>
    <row r="78" spans="1:15" s="40" customFormat="1" ht="15" customHeight="1" x14ac:dyDescent="0.3">
      <c r="A78" s="40">
        <f t="shared" si="0"/>
        <v>0</v>
      </c>
      <c r="B78" s="40">
        <f>IF(A78=1,SUM($A$42:A78),0)</f>
        <v>0</v>
      </c>
      <c r="D78" s="84">
        <v>37</v>
      </c>
      <c r="E78" s="1034" t="str">
        <f>IFERROR(VLOOKUP(D78,'طلب التصنيع'!$B$42:$N$391,3,0),"")</f>
        <v/>
      </c>
      <c r="F78" s="1035"/>
      <c r="G78" s="1036" t="str">
        <f>IFERROR(VLOOKUP(D78,'طلب التصنيع'!$B$42:$N$391,5,0),"")</f>
        <v/>
      </c>
      <c r="H78" s="1037"/>
      <c r="I78" s="1038"/>
      <c r="J78" s="85" t="str">
        <f>IFERROR(VLOOKUP(D78,'طلب التصنيع'!$B$42:$N$391,8,0),"")</f>
        <v/>
      </c>
      <c r="K78" s="86" t="str">
        <f>IFERROR(VLOOKUP(D78,'طلب التصنيع'!$B$42:$N$391,9,0),"")</f>
        <v/>
      </c>
      <c r="L78" s="421" t="str">
        <f>IFERROR(VLOOKUP(D78,'طلب التصنيع'!$B$42:$N$391,11,0),"")</f>
        <v/>
      </c>
      <c r="M78" s="421" t="str">
        <f t="shared" si="3"/>
        <v/>
      </c>
      <c r="N78" s="404" t="str">
        <f>IFERROR(VLOOKUP(D78,'طلب التصنيع'!$B$42:$N$391,13,0),"")</f>
        <v/>
      </c>
      <c r="O78" s="406" t="str">
        <f t="shared" si="4"/>
        <v/>
      </c>
    </row>
    <row r="79" spans="1:15" s="40" customFormat="1" ht="15" customHeight="1" x14ac:dyDescent="0.3">
      <c r="A79" s="40">
        <f t="shared" ref="A79:A89" si="5">IF(C79="شراء",1,0)</f>
        <v>0</v>
      </c>
      <c r="B79" s="40">
        <f>IF(A79=1,SUM($A$42:A79),0)</f>
        <v>0</v>
      </c>
      <c r="D79" s="84">
        <v>38</v>
      </c>
      <c r="E79" s="1034" t="str">
        <f>IFERROR(VLOOKUP(D79,'طلب التصنيع'!$B$42:$N$391,3,0),"")</f>
        <v/>
      </c>
      <c r="F79" s="1035"/>
      <c r="G79" s="1036" t="str">
        <f>IFERROR(VLOOKUP(D79,'طلب التصنيع'!$B$42:$N$391,5,0),"")</f>
        <v/>
      </c>
      <c r="H79" s="1037"/>
      <c r="I79" s="1038"/>
      <c r="J79" s="85" t="str">
        <f>IFERROR(VLOOKUP(D79,'طلب التصنيع'!$B$42:$N$391,8,0),"")</f>
        <v/>
      </c>
      <c r="K79" s="86" t="str">
        <f>IFERROR(VLOOKUP(D79,'طلب التصنيع'!$B$42:$N$391,9,0),"")</f>
        <v/>
      </c>
      <c r="L79" s="421" t="str">
        <f>IFERROR(VLOOKUP(D79,'طلب التصنيع'!$B$42:$N$391,11,0),"")</f>
        <v/>
      </c>
      <c r="M79" s="421" t="str">
        <f t="shared" si="3"/>
        <v/>
      </c>
      <c r="N79" s="404" t="str">
        <f>IFERROR(VLOOKUP(D79,'طلب التصنيع'!$B$42:$N$391,13,0),"")</f>
        <v/>
      </c>
      <c r="O79" s="406" t="str">
        <f t="shared" si="4"/>
        <v/>
      </c>
    </row>
    <row r="80" spans="1:15" s="40" customFormat="1" ht="15" customHeight="1" x14ac:dyDescent="0.3">
      <c r="A80" s="40">
        <f t="shared" si="5"/>
        <v>0</v>
      </c>
      <c r="B80" s="40">
        <f>IF(A80=1,SUM($A$42:A80),0)</f>
        <v>0</v>
      </c>
      <c r="D80" s="84">
        <v>39</v>
      </c>
      <c r="E80" s="1034" t="str">
        <f>IFERROR(VLOOKUP(D80,'طلب التصنيع'!$B$42:$N$391,3,0),"")</f>
        <v/>
      </c>
      <c r="F80" s="1035"/>
      <c r="G80" s="1036" t="str">
        <f>IFERROR(VLOOKUP(D80,'طلب التصنيع'!$B$42:$N$391,5,0),"")</f>
        <v/>
      </c>
      <c r="H80" s="1037"/>
      <c r="I80" s="1038"/>
      <c r="J80" s="85" t="str">
        <f>IFERROR(VLOOKUP(D80,'طلب التصنيع'!$B$42:$N$391,8,0),"")</f>
        <v/>
      </c>
      <c r="K80" s="86" t="str">
        <f>IFERROR(VLOOKUP(D80,'طلب التصنيع'!$B$42:$N$391,9,0),"")</f>
        <v/>
      </c>
      <c r="L80" s="421" t="str">
        <f>IFERROR(VLOOKUP(D80,'طلب التصنيع'!$B$42:$N$391,11,0),"")</f>
        <v/>
      </c>
      <c r="M80" s="421" t="str">
        <f t="shared" si="3"/>
        <v/>
      </c>
      <c r="N80" s="404" t="str">
        <f>IFERROR(VLOOKUP(D80,'طلب التصنيع'!$B$42:$N$391,13,0),"")</f>
        <v/>
      </c>
      <c r="O80" s="406" t="str">
        <f t="shared" si="4"/>
        <v/>
      </c>
    </row>
    <row r="81" spans="1:16" s="40" customFormat="1" ht="15" customHeight="1" x14ac:dyDescent="0.3">
      <c r="A81" s="40">
        <f t="shared" si="5"/>
        <v>0</v>
      </c>
      <c r="B81" s="40">
        <f>IF(A81=1,SUM($A$42:A81),0)</f>
        <v>0</v>
      </c>
      <c r="D81" s="84">
        <v>40</v>
      </c>
      <c r="E81" s="1034" t="str">
        <f>IFERROR(VLOOKUP(D81,'طلب التصنيع'!$B$42:$N$391,3,0),"")</f>
        <v/>
      </c>
      <c r="F81" s="1035"/>
      <c r="G81" s="1036" t="str">
        <f>IFERROR(VLOOKUP(D81,'طلب التصنيع'!$B$42:$N$391,5,0),"")</f>
        <v/>
      </c>
      <c r="H81" s="1037"/>
      <c r="I81" s="1038"/>
      <c r="J81" s="85" t="str">
        <f>IFERROR(VLOOKUP(D81,'طلب التصنيع'!$B$42:$N$391,8,0),"")</f>
        <v/>
      </c>
      <c r="K81" s="86" t="str">
        <f>IFERROR(VLOOKUP(D81,'طلب التصنيع'!$B$42:$N$391,9,0),"")</f>
        <v/>
      </c>
      <c r="L81" s="421" t="str">
        <f>IFERROR(VLOOKUP(D81,'طلب التصنيع'!$B$42:$N$391,11,0),"")</f>
        <v/>
      </c>
      <c r="M81" s="421" t="str">
        <f t="shared" si="3"/>
        <v/>
      </c>
      <c r="N81" s="404" t="str">
        <f>IFERROR(VLOOKUP(D81,'طلب التصنيع'!$B$42:$N$391,13,0),"")</f>
        <v/>
      </c>
      <c r="O81" s="406" t="str">
        <f t="shared" si="4"/>
        <v/>
      </c>
    </row>
    <row r="82" spans="1:16" s="40" customFormat="1" ht="15" customHeight="1" x14ac:dyDescent="0.3">
      <c r="A82" s="40">
        <f t="shared" si="5"/>
        <v>0</v>
      </c>
      <c r="B82" s="40">
        <f>IF(A82=1,SUM($A$42:A82),0)</f>
        <v>0</v>
      </c>
      <c r="D82" s="84">
        <v>41</v>
      </c>
      <c r="E82" s="1034" t="str">
        <f>IFERROR(VLOOKUP(D82,'طلب التصنيع'!$B$42:$N$391,3,0),"")</f>
        <v/>
      </c>
      <c r="F82" s="1035"/>
      <c r="G82" s="1036" t="str">
        <f>IFERROR(VLOOKUP(D82,'طلب التصنيع'!$B$42:$N$391,5,0),"")</f>
        <v/>
      </c>
      <c r="H82" s="1037"/>
      <c r="I82" s="1038"/>
      <c r="J82" s="85" t="str">
        <f>IFERROR(VLOOKUP(D82,'طلب التصنيع'!$B$42:$N$391,8,0),"")</f>
        <v/>
      </c>
      <c r="K82" s="86" t="str">
        <f>IFERROR(VLOOKUP(D82,'طلب التصنيع'!$B$42:$N$391,9,0),"")</f>
        <v/>
      </c>
      <c r="L82" s="421" t="str">
        <f>IFERROR(VLOOKUP(D82,'طلب التصنيع'!$B$42:$N$391,11,0),"")</f>
        <v/>
      </c>
      <c r="M82" s="421" t="str">
        <f t="shared" si="3"/>
        <v/>
      </c>
      <c r="N82" s="404" t="str">
        <f>IFERROR(VLOOKUP(D82,'طلب التصنيع'!$B$42:$N$391,13,0),"")</f>
        <v/>
      </c>
      <c r="O82" s="406" t="str">
        <f t="shared" si="4"/>
        <v/>
      </c>
    </row>
    <row r="83" spans="1:16" s="40" customFormat="1" ht="15" customHeight="1" x14ac:dyDescent="0.3">
      <c r="A83" s="40">
        <f t="shared" si="5"/>
        <v>0</v>
      </c>
      <c r="B83" s="40">
        <f>IF(A83=1,SUM($A$42:A83),0)</f>
        <v>0</v>
      </c>
      <c r="D83" s="84">
        <v>42</v>
      </c>
      <c r="E83" s="1034" t="str">
        <f>IFERROR(VLOOKUP(D83,'طلب التصنيع'!$B$42:$N$391,3,0),"")</f>
        <v/>
      </c>
      <c r="F83" s="1035"/>
      <c r="G83" s="1036" t="str">
        <f>IFERROR(VLOOKUP(D83,'طلب التصنيع'!$B$42:$N$391,5,0),"")</f>
        <v/>
      </c>
      <c r="H83" s="1037"/>
      <c r="I83" s="1038"/>
      <c r="J83" s="85" t="str">
        <f>IFERROR(VLOOKUP(D83,'طلب التصنيع'!$B$42:$N$391,8,0),"")</f>
        <v/>
      </c>
      <c r="K83" s="86" t="str">
        <f>IFERROR(VLOOKUP(D83,'طلب التصنيع'!$B$42:$N$391,9,0),"")</f>
        <v/>
      </c>
      <c r="L83" s="421" t="str">
        <f>IFERROR(VLOOKUP(D83,'طلب التصنيع'!$B$42:$N$391,11,0),"")</f>
        <v/>
      </c>
      <c r="M83" s="421" t="str">
        <f t="shared" si="3"/>
        <v/>
      </c>
      <c r="N83" s="404" t="str">
        <f>IFERROR(VLOOKUP(D83,'طلب التصنيع'!$B$42:$N$391,13,0),"")</f>
        <v/>
      </c>
      <c r="O83" s="406" t="str">
        <f t="shared" si="4"/>
        <v/>
      </c>
    </row>
    <row r="84" spans="1:16" s="40" customFormat="1" ht="15" customHeight="1" x14ac:dyDescent="0.3">
      <c r="A84" s="40">
        <f t="shared" si="5"/>
        <v>0</v>
      </c>
      <c r="B84" s="40">
        <f>IF(A84=1,SUM($A$42:A84),0)</f>
        <v>0</v>
      </c>
      <c r="D84" s="84">
        <v>43</v>
      </c>
      <c r="E84" s="1034" t="str">
        <f>IFERROR(VLOOKUP(D84,'طلب التصنيع'!$B$42:$N$391,3,0),"")</f>
        <v/>
      </c>
      <c r="F84" s="1035"/>
      <c r="G84" s="1036" t="str">
        <f>IFERROR(VLOOKUP(D84,'طلب التصنيع'!$B$42:$N$391,5,0),"")</f>
        <v/>
      </c>
      <c r="H84" s="1037"/>
      <c r="I84" s="1038"/>
      <c r="J84" s="85" t="str">
        <f>IFERROR(VLOOKUP(D84,'طلب التصنيع'!$B$42:$N$391,8,0),"")</f>
        <v/>
      </c>
      <c r="K84" s="86" t="str">
        <f>IFERROR(VLOOKUP(D84,'طلب التصنيع'!$B$42:$N$391,9,0),"")</f>
        <v/>
      </c>
      <c r="L84" s="421" t="str">
        <f>IFERROR(VLOOKUP(D84,'طلب التصنيع'!$B$42:$N$391,11,0),"")</f>
        <v/>
      </c>
      <c r="M84" s="421" t="str">
        <f t="shared" si="3"/>
        <v/>
      </c>
      <c r="N84" s="404" t="str">
        <f>IFERROR(VLOOKUP(D84,'طلب التصنيع'!$B$42:$N$391,13,0),"")</f>
        <v/>
      </c>
      <c r="O84" s="406" t="str">
        <f t="shared" si="4"/>
        <v/>
      </c>
    </row>
    <row r="85" spans="1:16" s="40" customFormat="1" ht="15" customHeight="1" x14ac:dyDescent="0.3">
      <c r="A85" s="40">
        <f t="shared" si="5"/>
        <v>0</v>
      </c>
      <c r="B85" s="40">
        <f>IF(A85=1,SUM($A$42:A85),0)</f>
        <v>0</v>
      </c>
      <c r="D85" s="84">
        <v>44</v>
      </c>
      <c r="E85" s="1034" t="str">
        <f>IFERROR(VLOOKUP(D85,'طلب التصنيع'!$B$42:$N$391,3,0),"")</f>
        <v/>
      </c>
      <c r="F85" s="1035"/>
      <c r="G85" s="1036" t="str">
        <f>IFERROR(VLOOKUP(D85,'طلب التصنيع'!$B$42:$N$391,5,0),"")</f>
        <v/>
      </c>
      <c r="H85" s="1037"/>
      <c r="I85" s="1038"/>
      <c r="J85" s="85" t="str">
        <f>IFERROR(VLOOKUP(D85,'طلب التصنيع'!$B$42:$N$391,8,0),"")</f>
        <v/>
      </c>
      <c r="K85" s="86" t="str">
        <f>IFERROR(VLOOKUP(D85,'طلب التصنيع'!$B$42:$N$391,9,0),"")</f>
        <v/>
      </c>
      <c r="L85" s="421" t="str">
        <f>IFERROR(VLOOKUP(D85,'طلب التصنيع'!$B$42:$N$391,11,0),"")</f>
        <v/>
      </c>
      <c r="M85" s="421" t="str">
        <f t="shared" si="3"/>
        <v/>
      </c>
      <c r="N85" s="404" t="str">
        <f>IFERROR(VLOOKUP(D85,'طلب التصنيع'!$B$42:$N$391,13,0),"")</f>
        <v/>
      </c>
      <c r="O85" s="406" t="str">
        <f t="shared" si="4"/>
        <v/>
      </c>
    </row>
    <row r="86" spans="1:16" s="40" customFormat="1" ht="15" customHeight="1" x14ac:dyDescent="0.3">
      <c r="A86" s="40">
        <f t="shared" si="5"/>
        <v>0</v>
      </c>
      <c r="B86" s="40">
        <f>IF(A86=1,SUM($A$42:A86),0)</f>
        <v>0</v>
      </c>
      <c r="D86" s="84">
        <v>45</v>
      </c>
      <c r="E86" s="1034" t="str">
        <f>IFERROR(VLOOKUP(D86,'طلب التصنيع'!$B$42:$N$391,3,0),"")</f>
        <v/>
      </c>
      <c r="F86" s="1035"/>
      <c r="G86" s="1036" t="str">
        <f>IFERROR(VLOOKUP(D86,'طلب التصنيع'!$B$42:$N$391,5,0),"")</f>
        <v/>
      </c>
      <c r="H86" s="1037"/>
      <c r="I86" s="1038"/>
      <c r="J86" s="85" t="str">
        <f>IFERROR(VLOOKUP(D86,'طلب التصنيع'!$B$42:$N$391,8,0),"")</f>
        <v/>
      </c>
      <c r="K86" s="86" t="str">
        <f>IFERROR(VLOOKUP(D86,'طلب التصنيع'!$B$42:$N$391,9,0),"")</f>
        <v/>
      </c>
      <c r="L86" s="421" t="str">
        <f>IFERROR(VLOOKUP(D86,'طلب التصنيع'!$B$42:$N$391,11,0),"")</f>
        <v/>
      </c>
      <c r="M86" s="421" t="str">
        <f t="shared" si="3"/>
        <v/>
      </c>
      <c r="N86" s="404" t="str">
        <f>IFERROR(VLOOKUP(D86,'طلب التصنيع'!$B$42:$N$391,13,0),"")</f>
        <v/>
      </c>
      <c r="O86" s="406" t="str">
        <f t="shared" si="4"/>
        <v/>
      </c>
    </row>
    <row r="87" spans="1:16" s="40" customFormat="1" ht="15" customHeight="1" x14ac:dyDescent="0.3">
      <c r="A87" s="40">
        <f t="shared" si="5"/>
        <v>0</v>
      </c>
      <c r="B87" s="40">
        <f>IF(A87=1,SUM($A$42:A87),0)</f>
        <v>0</v>
      </c>
      <c r="D87" s="84">
        <v>46</v>
      </c>
      <c r="E87" s="1034" t="str">
        <f>IFERROR(VLOOKUP(D87,'طلب التصنيع'!$B$42:$N$391,3,0),"")</f>
        <v/>
      </c>
      <c r="F87" s="1035"/>
      <c r="G87" s="1036" t="str">
        <f>IFERROR(VLOOKUP(D87,'طلب التصنيع'!$B$42:$N$391,5,0),"")</f>
        <v/>
      </c>
      <c r="H87" s="1037"/>
      <c r="I87" s="1038"/>
      <c r="J87" s="85" t="str">
        <f>IFERROR(VLOOKUP(D87,'طلب التصنيع'!$B$42:$N$391,8,0),"")</f>
        <v/>
      </c>
      <c r="K87" s="86" t="str">
        <f>IFERROR(VLOOKUP(D87,'طلب التصنيع'!$B$42:$N$391,9,0),"")</f>
        <v/>
      </c>
      <c r="L87" s="421" t="str">
        <f>IFERROR(VLOOKUP(D87,'طلب التصنيع'!$B$42:$N$391,11,0),"")</f>
        <v/>
      </c>
      <c r="M87" s="421" t="str">
        <f t="shared" si="3"/>
        <v/>
      </c>
      <c r="N87" s="404" t="str">
        <f>IFERROR(VLOOKUP(D87,'طلب التصنيع'!$B$42:$N$391,13,0),"")</f>
        <v/>
      </c>
      <c r="O87" s="406" t="str">
        <f t="shared" si="4"/>
        <v/>
      </c>
    </row>
    <row r="88" spans="1:16" s="40" customFormat="1" ht="15" customHeight="1" x14ac:dyDescent="0.3">
      <c r="A88" s="40">
        <f t="shared" si="5"/>
        <v>0</v>
      </c>
      <c r="B88" s="40">
        <f>IF(A88=1,SUM($A$42:A88),0)</f>
        <v>0</v>
      </c>
      <c r="D88" s="84">
        <v>47</v>
      </c>
      <c r="E88" s="1034" t="str">
        <f>IFERROR(VLOOKUP(D88,'طلب التصنيع'!$B$42:$N$391,3,0),"")</f>
        <v/>
      </c>
      <c r="F88" s="1035"/>
      <c r="G88" s="1036" t="str">
        <f>IFERROR(VLOOKUP(D88,'طلب التصنيع'!$B$42:$N$391,5,0),"")</f>
        <v/>
      </c>
      <c r="H88" s="1037"/>
      <c r="I88" s="1038"/>
      <c r="J88" s="85" t="str">
        <f>IFERROR(VLOOKUP(D88,'طلب التصنيع'!$B$42:$N$391,8,0),"")</f>
        <v/>
      </c>
      <c r="K88" s="86" t="str">
        <f>IFERROR(VLOOKUP(D88,'طلب التصنيع'!$B$42:$N$391,9,0),"")</f>
        <v/>
      </c>
      <c r="L88" s="421" t="str">
        <f>IFERROR(VLOOKUP(D88,'طلب التصنيع'!$B$42:$N$391,11,0),"")</f>
        <v/>
      </c>
      <c r="M88" s="421" t="str">
        <f t="shared" si="3"/>
        <v/>
      </c>
      <c r="N88" s="404" t="str">
        <f>IFERROR(VLOOKUP(D88,'طلب التصنيع'!$B$42:$N$391,13,0),"")</f>
        <v/>
      </c>
      <c r="O88" s="406" t="str">
        <f t="shared" si="4"/>
        <v/>
      </c>
    </row>
    <row r="89" spans="1:16" s="40" customFormat="1" ht="15" customHeight="1" x14ac:dyDescent="0.3">
      <c r="A89" s="40">
        <f t="shared" si="5"/>
        <v>0</v>
      </c>
      <c r="B89" s="40">
        <f>IF(A89=1,SUM($A$42:A89),0)</f>
        <v>0</v>
      </c>
      <c r="D89" s="84">
        <v>48</v>
      </c>
      <c r="E89" s="1034" t="str">
        <f>IFERROR(VLOOKUP(D89,'طلب التصنيع'!$B$42:$N$391,3,0),"")</f>
        <v/>
      </c>
      <c r="F89" s="1035"/>
      <c r="G89" s="1036" t="str">
        <f>IFERROR(VLOOKUP(D89,'طلب التصنيع'!$B$42:$N$391,5,0),"")</f>
        <v/>
      </c>
      <c r="H89" s="1037"/>
      <c r="I89" s="1038"/>
      <c r="J89" s="85" t="str">
        <f>IFERROR(VLOOKUP(D89,'طلب التصنيع'!$B$42:$N$391,8,0),"")</f>
        <v/>
      </c>
      <c r="K89" s="86" t="str">
        <f>IFERROR(VLOOKUP(D89,'طلب التصنيع'!$B$42:$N$391,9,0),"")</f>
        <v/>
      </c>
      <c r="L89" s="421" t="str">
        <f>IFERROR(VLOOKUP(D89,'طلب التصنيع'!$B$42:$N$391,11,0),"")</f>
        <v/>
      </c>
      <c r="M89" s="421" t="str">
        <f t="shared" si="3"/>
        <v/>
      </c>
      <c r="N89" s="404" t="str">
        <f>IFERROR(VLOOKUP(D89,'طلب التصنيع'!$B$42:$N$391,13,0),"")</f>
        <v/>
      </c>
      <c r="O89" s="406" t="str">
        <f t="shared" si="4"/>
        <v/>
      </c>
    </row>
    <row r="90" spans="1:16" ht="5.25" customHeight="1" x14ac:dyDescent="0.3">
      <c r="A90" s="40"/>
      <c r="D90" s="1047"/>
      <c r="E90" s="1048"/>
      <c r="F90" s="1048"/>
      <c r="G90" s="1048"/>
      <c r="H90" s="1048"/>
      <c r="I90" s="1048"/>
      <c r="J90" s="1048"/>
      <c r="K90" s="1048"/>
      <c r="L90" s="1048"/>
      <c r="M90" s="1048"/>
      <c r="N90" s="1049"/>
      <c r="O90" s="1050"/>
      <c r="P90" s="77"/>
    </row>
    <row r="91" spans="1:16" ht="20.100000000000001" customHeight="1" x14ac:dyDescent="0.3">
      <c r="A91" s="40"/>
      <c r="D91" s="1065" t="str">
        <f>'طلب التصنيع'!D397</f>
        <v>السعر الإجمالي</v>
      </c>
      <c r="E91" s="1066"/>
      <c r="F91" s="1066"/>
      <c r="G91" s="1066"/>
      <c r="H91" s="1066"/>
      <c r="I91" s="1066"/>
      <c r="J91" s="1066"/>
      <c r="K91" s="1066"/>
      <c r="L91" s="1066"/>
      <c r="M91" s="1066"/>
      <c r="N91" s="1067"/>
      <c r="O91" s="171" t="e">
        <f>SUM(M42:M89,M14:M38)</f>
        <v>#N/A</v>
      </c>
      <c r="P91" s="77"/>
    </row>
    <row r="92" spans="1:16" ht="20.100000000000001" customHeight="1" x14ac:dyDescent="0.3">
      <c r="A92" s="40"/>
      <c r="D92" s="1065" t="s">
        <v>58</v>
      </c>
      <c r="E92" s="1066"/>
      <c r="F92" s="1066"/>
      <c r="G92" s="1066"/>
      <c r="H92" s="1066"/>
      <c r="I92" s="1066"/>
      <c r="J92" s="1066"/>
      <c r="K92" s="1066"/>
      <c r="L92" s="1066"/>
      <c r="M92" s="1066"/>
      <c r="N92" s="1067"/>
      <c r="O92" s="172" t="e">
        <f>O91-O93</f>
        <v>#N/A</v>
      </c>
      <c r="P92" s="77"/>
    </row>
    <row r="93" spans="1:16" ht="23.1" customHeight="1" x14ac:dyDescent="0.3">
      <c r="A93" s="40"/>
      <c r="D93" s="1068" t="s">
        <v>190</v>
      </c>
      <c r="E93" s="1069"/>
      <c r="F93" s="1069"/>
      <c r="G93" s="1069"/>
      <c r="H93" s="1069"/>
      <c r="I93" s="1069"/>
      <c r="J93" s="1069"/>
      <c r="K93" s="1069"/>
      <c r="L93" s="1069"/>
      <c r="M93" s="1069"/>
      <c r="N93" s="1070"/>
      <c r="O93" s="173" t="e">
        <f>SUM(O14:O38,O42:O89)</f>
        <v>#N/A</v>
      </c>
      <c r="P93" s="77"/>
    </row>
    <row r="94" spans="1:16" s="64" customFormat="1" ht="20.25" customHeight="1" x14ac:dyDescent="0.3">
      <c r="A94" s="40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72"/>
      <c r="O94" s="170"/>
    </row>
    <row r="95" spans="1:16" x14ac:dyDescent="0.3">
      <c r="A95" s="40"/>
      <c r="D95" s="1043" t="s">
        <v>44</v>
      </c>
      <c r="E95" s="1044"/>
      <c r="F95" s="1044"/>
      <c r="G95" s="1044"/>
      <c r="H95" s="1044"/>
      <c r="I95" s="1044"/>
      <c r="J95" s="1044"/>
      <c r="K95" s="1044"/>
      <c r="L95" s="1044"/>
      <c r="M95" s="1044"/>
      <c r="N95" s="1045"/>
      <c r="O95" s="1046"/>
      <c r="P95" s="77"/>
    </row>
    <row r="96" spans="1:16" ht="17.100000000000001" customHeight="1" x14ac:dyDescent="0.3">
      <c r="A96" s="40"/>
      <c r="D96" s="1039"/>
      <c r="E96" s="1040"/>
      <c r="F96" s="1040"/>
      <c r="G96" s="1040"/>
      <c r="H96" s="1040"/>
      <c r="I96" s="1040"/>
      <c r="J96" s="1040"/>
      <c r="K96" s="1040"/>
      <c r="L96" s="1040"/>
      <c r="M96" s="1040"/>
      <c r="N96" s="1041"/>
      <c r="O96" s="1042"/>
      <c r="P96" s="77"/>
    </row>
    <row r="97" spans="1:16" ht="17.100000000000001" customHeight="1" x14ac:dyDescent="0.3">
      <c r="A97" s="40"/>
      <c r="D97" s="1039"/>
      <c r="E97" s="1040"/>
      <c r="F97" s="1040"/>
      <c r="G97" s="1040"/>
      <c r="H97" s="1040"/>
      <c r="I97" s="1040"/>
      <c r="J97" s="1040"/>
      <c r="K97" s="1040"/>
      <c r="L97" s="1040"/>
      <c r="M97" s="1040"/>
      <c r="N97" s="1041"/>
      <c r="O97" s="1042"/>
      <c r="P97" s="77"/>
    </row>
    <row r="98" spans="1:16" ht="17.100000000000001" customHeight="1" x14ac:dyDescent="0.3">
      <c r="A98" s="40"/>
      <c r="D98" s="1039"/>
      <c r="E98" s="1040"/>
      <c r="F98" s="1040"/>
      <c r="G98" s="1040"/>
      <c r="H98" s="1040"/>
      <c r="I98" s="1040"/>
      <c r="J98" s="1040"/>
      <c r="K98" s="1040"/>
      <c r="L98" s="1040"/>
      <c r="M98" s="1040"/>
      <c r="N98" s="1041"/>
      <c r="O98" s="1042"/>
      <c r="P98" s="77"/>
    </row>
    <row r="99" spans="1:16" ht="24" customHeight="1" x14ac:dyDescent="0.3">
      <c r="A99" s="40"/>
      <c r="D99" s="1033" t="str">
        <f>IF('طلب التصنيع'!M149&gt;0,"يوجد محرك خارج المواصفات الفنية - يرجى مراجعة الشركة لحل المشكلة","")</f>
        <v/>
      </c>
      <c r="E99" s="1033"/>
      <c r="F99" s="1033"/>
      <c r="G99" s="1033"/>
      <c r="H99" s="1033"/>
      <c r="I99" s="1033"/>
      <c r="J99" s="1033"/>
      <c r="K99" s="1033"/>
      <c r="L99" s="1033"/>
      <c r="M99" s="1033"/>
      <c r="N99" s="1033"/>
      <c r="O99" s="1033"/>
    </row>
    <row r="100" spans="1:16" ht="15" customHeight="1" x14ac:dyDescent="0.3">
      <c r="D100" s="1030" t="s">
        <v>180</v>
      </c>
      <c r="E100" s="1031"/>
      <c r="F100" s="1031"/>
      <c r="G100" s="1032"/>
      <c r="H100" s="1007" t="s">
        <v>204</v>
      </c>
      <c r="I100" s="1008"/>
      <c r="J100" s="1008"/>
      <c r="K100" s="1008"/>
      <c r="L100" s="1008"/>
      <c r="M100" s="1008"/>
      <c r="N100" s="1009"/>
      <c r="O100" s="1010"/>
    </row>
    <row r="101" spans="1:16" s="88" customFormat="1" ht="15" customHeight="1" x14ac:dyDescent="0.3">
      <c r="D101" s="1019" t="s">
        <v>207</v>
      </c>
      <c r="E101" s="1020"/>
      <c r="F101" s="1020"/>
      <c r="G101" s="1021"/>
      <c r="H101" s="1011"/>
      <c r="I101" s="1012"/>
      <c r="J101" s="1012"/>
      <c r="K101" s="1012"/>
      <c r="L101" s="1012"/>
      <c r="M101" s="1012"/>
      <c r="N101" s="1013"/>
      <c r="O101" s="1014"/>
    </row>
    <row r="102" spans="1:16" s="88" customFormat="1" ht="15" hidden="1" customHeight="1" x14ac:dyDescent="0.3">
      <c r="D102" s="1019" t="s">
        <v>206</v>
      </c>
      <c r="E102" s="1020"/>
      <c r="F102" s="1020"/>
      <c r="G102" s="1021"/>
      <c r="H102" s="1015"/>
      <c r="I102" s="1016"/>
      <c r="J102" s="1016"/>
      <c r="K102" s="1016"/>
      <c r="L102" s="1016"/>
      <c r="M102" s="1016"/>
      <c r="N102" s="1017"/>
      <c r="O102" s="1018"/>
    </row>
    <row r="103" spans="1:16" s="88" customFormat="1" ht="15" customHeight="1" x14ac:dyDescent="0.3">
      <c r="C103" s="88" t="s">
        <v>384</v>
      </c>
      <c r="D103" s="1019" t="s">
        <v>208</v>
      </c>
      <c r="E103" s="1020"/>
      <c r="F103" s="1020"/>
      <c r="G103" s="1021"/>
      <c r="H103" s="1015"/>
      <c r="I103" s="1016"/>
      <c r="J103" s="1016"/>
      <c r="K103" s="1016"/>
      <c r="L103" s="1016"/>
      <c r="M103" s="1016"/>
      <c r="N103" s="1017"/>
      <c r="O103" s="1018"/>
    </row>
    <row r="104" spans="1:16" s="87" customFormat="1" ht="15" customHeight="1" x14ac:dyDescent="0.3">
      <c r="D104" s="1019" t="s">
        <v>225</v>
      </c>
      <c r="E104" s="1020"/>
      <c r="F104" s="1020"/>
      <c r="G104" s="1021"/>
      <c r="H104" s="1015"/>
      <c r="I104" s="1016"/>
      <c r="J104" s="1016"/>
      <c r="K104" s="1016"/>
      <c r="L104" s="1016"/>
      <c r="M104" s="1016"/>
      <c r="N104" s="1017"/>
      <c r="O104" s="1018"/>
    </row>
    <row r="105" spans="1:16" s="87" customFormat="1" ht="15" customHeight="1" x14ac:dyDescent="0.3">
      <c r="D105" s="1019" t="s">
        <v>209</v>
      </c>
      <c r="E105" s="1020"/>
      <c r="F105" s="1020"/>
      <c r="G105" s="1020"/>
      <c r="H105" s="1022" t="s">
        <v>226</v>
      </c>
      <c r="I105" s="1023"/>
      <c r="J105" s="1023"/>
      <c r="K105" s="1023"/>
      <c r="L105" s="161"/>
      <c r="M105" s="162"/>
      <c r="N105" s="162"/>
      <c r="O105" s="163"/>
    </row>
    <row r="106" spans="1:16" s="87" customFormat="1" ht="15" customHeight="1" x14ac:dyDescent="0.3">
      <c r="D106" s="1026" t="s">
        <v>210</v>
      </c>
      <c r="E106" s="1027"/>
      <c r="F106" s="153"/>
      <c r="G106" s="158" t="s">
        <v>182</v>
      </c>
      <c r="H106" s="164"/>
      <c r="I106" s="160"/>
      <c r="J106" s="160"/>
      <c r="K106" s="160"/>
      <c r="L106" s="159"/>
      <c r="M106" s="147"/>
      <c r="N106" s="147"/>
      <c r="O106" s="165"/>
    </row>
    <row r="107" spans="1:16" s="87" customFormat="1" ht="15" customHeight="1" x14ac:dyDescent="0.3">
      <c r="D107" s="1028" t="s">
        <v>205</v>
      </c>
      <c r="E107" s="1029"/>
      <c r="F107" s="1029"/>
      <c r="G107" s="1029"/>
      <c r="H107" s="164"/>
      <c r="I107" s="160"/>
      <c r="J107" s="160"/>
      <c r="K107" s="160"/>
      <c r="L107" s="159"/>
      <c r="M107" s="147"/>
      <c r="N107" s="147"/>
      <c r="O107" s="165"/>
    </row>
    <row r="108" spans="1:16" s="87" customFormat="1" ht="15" customHeight="1" x14ac:dyDescent="0.3">
      <c r="D108" s="1019" t="s">
        <v>211</v>
      </c>
      <c r="E108" s="1020"/>
      <c r="F108" s="1020"/>
      <c r="G108" s="1020"/>
      <c r="H108" s="164"/>
      <c r="I108" s="160"/>
      <c r="J108" s="160"/>
      <c r="K108" s="160"/>
      <c r="L108" s="159"/>
      <c r="M108" s="147"/>
      <c r="N108" s="147"/>
      <c r="O108" s="165"/>
    </row>
    <row r="109" spans="1:16" s="87" customFormat="1" ht="15" customHeight="1" x14ac:dyDescent="0.3">
      <c r="D109" s="1024" t="s">
        <v>212</v>
      </c>
      <c r="E109" s="1025"/>
      <c r="F109" s="1025"/>
      <c r="G109" s="1025"/>
      <c r="H109" s="166"/>
      <c r="I109" s="167"/>
      <c r="J109" s="167"/>
      <c r="K109" s="167"/>
      <c r="L109" s="168"/>
      <c r="M109" s="146"/>
      <c r="N109" s="146"/>
      <c r="O109" s="169"/>
    </row>
    <row r="110" spans="1:16" s="87" customFormat="1" x14ac:dyDescent="0.3"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409"/>
      <c r="O110" s="90"/>
    </row>
    <row r="111" spans="1:16" s="87" customFormat="1" x14ac:dyDescent="0.3"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409"/>
      <c r="O111" s="90"/>
    </row>
    <row r="112" spans="1:16" s="87" customFormat="1" x14ac:dyDescent="0.3"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409"/>
      <c r="O112" s="90"/>
    </row>
    <row r="113" spans="4:15" s="87" customFormat="1" x14ac:dyDescent="0.3"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409"/>
      <c r="O113" s="90"/>
    </row>
    <row r="114" spans="4:15" s="87" customFormat="1" x14ac:dyDescent="0.3"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409"/>
      <c r="O114" s="90"/>
    </row>
    <row r="115" spans="4:15" s="87" customFormat="1" x14ac:dyDescent="0.3"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409"/>
      <c r="O115" s="90"/>
    </row>
    <row r="116" spans="4:15" s="87" customFormat="1" x14ac:dyDescent="0.3"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409"/>
      <c r="O116" s="90"/>
    </row>
    <row r="117" spans="4:15" s="87" customFormat="1" x14ac:dyDescent="0.3"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409"/>
      <c r="O117" s="90"/>
    </row>
    <row r="118" spans="4:15" s="87" customFormat="1" x14ac:dyDescent="0.3"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409"/>
      <c r="O118" s="90"/>
    </row>
    <row r="119" spans="4:15" s="87" customFormat="1" x14ac:dyDescent="0.3"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409"/>
      <c r="O119" s="90"/>
    </row>
    <row r="120" spans="4:15" s="87" customFormat="1" x14ac:dyDescent="0.3"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409"/>
      <c r="O120" s="90"/>
    </row>
    <row r="121" spans="4:15" s="87" customFormat="1" x14ac:dyDescent="0.3"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409"/>
      <c r="O121" s="90"/>
    </row>
    <row r="122" spans="4:15" s="87" customFormat="1" x14ac:dyDescent="0.3"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409"/>
      <c r="O122" s="90"/>
    </row>
    <row r="123" spans="4:15" s="87" customFormat="1" x14ac:dyDescent="0.3"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409"/>
      <c r="O123" s="90"/>
    </row>
    <row r="124" spans="4:15" s="87" customFormat="1" x14ac:dyDescent="0.3"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409"/>
      <c r="O124" s="90"/>
    </row>
    <row r="125" spans="4:15" s="87" customFormat="1" x14ac:dyDescent="0.3"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409"/>
      <c r="O125" s="90"/>
    </row>
    <row r="126" spans="4:15" s="87" customFormat="1" x14ac:dyDescent="0.3"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409"/>
      <c r="O126" s="90"/>
    </row>
  </sheetData>
  <sheetProtection formatCells="0" formatColumns="0" formatRows="0" insertColumns="0" insertRows="0" insertHyperlinks="0" deleteColumns="0" deleteRows="0" sort="0" autoFilter="0" pivotTables="0"/>
  <protectedRanges>
    <protectedRange password="CEE3" sqref="D42:D89 D14:D38" name="Range1"/>
  </protectedRanges>
  <mergeCells count="141">
    <mergeCell ref="D91:N91"/>
    <mergeCell ref="D92:N92"/>
    <mergeCell ref="D93:N93"/>
    <mergeCell ref="E86:F86"/>
    <mergeCell ref="G86:I86"/>
    <mergeCell ref="E87:F87"/>
    <mergeCell ref="G87:I87"/>
    <mergeCell ref="E84:F84"/>
    <mergeCell ref="G84:I84"/>
    <mergeCell ref="E85:F85"/>
    <mergeCell ref="G85:I85"/>
    <mergeCell ref="E83:F83"/>
    <mergeCell ref="G83:I83"/>
    <mergeCell ref="E80:F80"/>
    <mergeCell ref="G80:I80"/>
    <mergeCell ref="E81:F81"/>
    <mergeCell ref="G81:I81"/>
    <mergeCell ref="E88:F88"/>
    <mergeCell ref="G88:I88"/>
    <mergeCell ref="E89:F89"/>
    <mergeCell ref="G89:I89"/>
    <mergeCell ref="E78:F78"/>
    <mergeCell ref="G78:I78"/>
    <mergeCell ref="E79:F79"/>
    <mergeCell ref="G79:I79"/>
    <mergeCell ref="E76:F76"/>
    <mergeCell ref="G76:I76"/>
    <mergeCell ref="E77:F77"/>
    <mergeCell ref="G77:I77"/>
    <mergeCell ref="E82:F82"/>
    <mergeCell ref="G82:I82"/>
    <mergeCell ref="E71:F71"/>
    <mergeCell ref="G71:I71"/>
    <mergeCell ref="E68:F68"/>
    <mergeCell ref="G68:I68"/>
    <mergeCell ref="E69:F69"/>
    <mergeCell ref="G69:I69"/>
    <mergeCell ref="E74:F74"/>
    <mergeCell ref="G74:I74"/>
    <mergeCell ref="E75:F75"/>
    <mergeCell ref="G75:I75"/>
    <mergeCell ref="E72:F72"/>
    <mergeCell ref="G72:I72"/>
    <mergeCell ref="E73:F73"/>
    <mergeCell ref="G73:I73"/>
    <mergeCell ref="E66:F66"/>
    <mergeCell ref="G66:I66"/>
    <mergeCell ref="E67:F67"/>
    <mergeCell ref="G67:I67"/>
    <mergeCell ref="E64:F64"/>
    <mergeCell ref="G64:I64"/>
    <mergeCell ref="E65:F65"/>
    <mergeCell ref="G65:I65"/>
    <mergeCell ref="E70:F70"/>
    <mergeCell ref="G70:I70"/>
    <mergeCell ref="E59:F59"/>
    <mergeCell ref="G59:I59"/>
    <mergeCell ref="E56:F56"/>
    <mergeCell ref="G56:I56"/>
    <mergeCell ref="E57:F57"/>
    <mergeCell ref="G57:I57"/>
    <mergeCell ref="E62:F62"/>
    <mergeCell ref="G62:I62"/>
    <mergeCell ref="E63:F63"/>
    <mergeCell ref="G63:I63"/>
    <mergeCell ref="E60:F60"/>
    <mergeCell ref="G60:I60"/>
    <mergeCell ref="E61:F61"/>
    <mergeCell ref="G61:I61"/>
    <mergeCell ref="G43:I43"/>
    <mergeCell ref="E43:F43"/>
    <mergeCell ref="E42:F42"/>
    <mergeCell ref="G42:I42"/>
    <mergeCell ref="E41:F41"/>
    <mergeCell ref="G41:I41"/>
    <mergeCell ref="E50:F50"/>
    <mergeCell ref="G50:I50"/>
    <mergeCell ref="E51:F51"/>
    <mergeCell ref="G51:I51"/>
    <mergeCell ref="E44:F44"/>
    <mergeCell ref="G44:I44"/>
    <mergeCell ref="E45:F45"/>
    <mergeCell ref="G45:I45"/>
    <mergeCell ref="D5:O5"/>
    <mergeCell ref="D6:O6"/>
    <mergeCell ref="D40:O40"/>
    <mergeCell ref="J12:J13"/>
    <mergeCell ref="K12:K13"/>
    <mergeCell ref="M12:M13"/>
    <mergeCell ref="O12:O13"/>
    <mergeCell ref="D12:D13"/>
    <mergeCell ref="E12:E13"/>
    <mergeCell ref="F12:F13"/>
    <mergeCell ref="L12:L13"/>
    <mergeCell ref="D8:E8"/>
    <mergeCell ref="F8:I8"/>
    <mergeCell ref="K8:M8"/>
    <mergeCell ref="D9:E9"/>
    <mergeCell ref="F9:I9"/>
    <mergeCell ref="K9:M9"/>
    <mergeCell ref="H12:I12"/>
    <mergeCell ref="G12:G13"/>
    <mergeCell ref="N12:N13"/>
    <mergeCell ref="N8:O8"/>
    <mergeCell ref="N9:O9"/>
    <mergeCell ref="D99:O99"/>
    <mergeCell ref="E46:F46"/>
    <mergeCell ref="G46:I46"/>
    <mergeCell ref="E47:F47"/>
    <mergeCell ref="G47:I47"/>
    <mergeCell ref="E48:F48"/>
    <mergeCell ref="G48:I48"/>
    <mergeCell ref="E49:F49"/>
    <mergeCell ref="G49:I49"/>
    <mergeCell ref="D98:O98"/>
    <mergeCell ref="D95:O95"/>
    <mergeCell ref="D96:O96"/>
    <mergeCell ref="D90:O90"/>
    <mergeCell ref="G54:I54"/>
    <mergeCell ref="E55:F55"/>
    <mergeCell ref="G55:I55"/>
    <mergeCell ref="E52:F52"/>
    <mergeCell ref="G52:I52"/>
    <mergeCell ref="D97:O97"/>
    <mergeCell ref="E54:F54"/>
    <mergeCell ref="E53:F53"/>
    <mergeCell ref="G53:I53"/>
    <mergeCell ref="E58:F58"/>
    <mergeCell ref="G58:I58"/>
    <mergeCell ref="H100:O104"/>
    <mergeCell ref="D101:G101"/>
    <mergeCell ref="D104:G104"/>
    <mergeCell ref="H105:K105"/>
    <mergeCell ref="D103:G103"/>
    <mergeCell ref="D102:G102"/>
    <mergeCell ref="D105:G105"/>
    <mergeCell ref="D108:G108"/>
    <mergeCell ref="D109:G109"/>
    <mergeCell ref="D106:E106"/>
    <mergeCell ref="D107:G107"/>
    <mergeCell ref="D100:G100"/>
  </mergeCells>
  <conditionalFormatting sqref="D14:O38">
    <cfRule type="cellIs" dxfId="4" priority="15" operator="equal">
      <formula>0</formula>
    </cfRule>
  </conditionalFormatting>
  <conditionalFormatting sqref="D99:O99">
    <cfRule type="cellIs" dxfId="3" priority="18" operator="equal">
      <formula>0</formula>
    </cfRule>
  </conditionalFormatting>
  <conditionalFormatting sqref="F8:I9">
    <cfRule type="cellIs" dxfId="2" priority="13" operator="equal">
      <formula>0</formula>
    </cfRule>
  </conditionalFormatting>
  <dataValidations count="2">
    <dataValidation type="list" allowBlank="1" showInputMessage="1" showErrorMessage="1" sqref="F106" xr:uid="{00000000-0002-0000-0100-000000000000}">
      <formula1>P$9:AI$9</formula1>
    </dataValidation>
    <dataValidation type="list" allowBlank="1" showInputMessage="1" showErrorMessage="1" sqref="C14:C89" xr:uid="{00000000-0002-0000-0100-000001000000}">
      <formula1>$C$103</formula1>
    </dataValidation>
  </dataValidations>
  <printOptions horizontalCentered="1"/>
  <pageMargins left="0" right="0" top="0" bottom="0" header="0" footer="0"/>
  <pageSetup paperSize="9" scale="96" orientation="portrait" r:id="rId1"/>
  <headerFooter>
    <oddFooter>&amp;L&amp;"-,Bold"&amp;P/&amp;N&amp;C&amp;8تاريخ الإصدار: 10/21/2019 تاريخ المراجعة:&amp;R&amp;9رمز الوثيقة: NEW-Vision-001 رقم الإصدار: V3.1.2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0070C0"/>
  </sheetPr>
  <dimension ref="A1:XFC106"/>
  <sheetViews>
    <sheetView rightToLeft="1" topLeftCell="B4" zoomScale="140" zoomScaleNormal="140" zoomScaleSheetLayoutView="115" workbookViewId="0">
      <selection activeCell="F14" sqref="F14:G14"/>
    </sheetView>
  </sheetViews>
  <sheetFormatPr defaultColWidth="0" defaultRowHeight="14.4" x14ac:dyDescent="0.3"/>
  <cols>
    <col min="1" max="1" width="6.44140625" style="77" hidden="1" customWidth="1"/>
    <col min="2" max="2" width="5.109375" style="40" customWidth="1"/>
    <col min="3" max="3" width="22" style="40" customWidth="1"/>
    <col min="4" max="4" width="12" style="40" bestFit="1" customWidth="1"/>
    <col min="5" max="5" width="12.6640625" style="40" customWidth="1"/>
    <col min="6" max="6" width="3.88671875" style="40" customWidth="1"/>
    <col min="7" max="7" width="13.44140625" style="40" customWidth="1"/>
    <col min="8" max="8" width="12.33203125" style="40" customWidth="1"/>
    <col min="9" max="9" width="9.109375" style="87" hidden="1" customWidth="1"/>
    <col min="10" max="11" width="9.109375" style="77" hidden="1" customWidth="1"/>
    <col min="12" max="12" width="12.5546875" style="77" hidden="1" customWidth="1"/>
    <col min="13" max="16377" width="9.109375" style="77" hidden="1"/>
    <col min="16378" max="16378" width="10.5546875" style="77" hidden="1" customWidth="1"/>
    <col min="16379" max="16380" width="10.44140625" style="77" hidden="1" customWidth="1"/>
    <col min="16381" max="16383" width="10.44140625" style="77" hidden="1"/>
    <col min="16384" max="16384" width="17.6640625" style="77" hidden="1"/>
  </cols>
  <sheetData>
    <row r="1" spans="1:28" hidden="1" x14ac:dyDescent="0.3"/>
    <row r="2" spans="1:28" hidden="1" x14ac:dyDescent="0.3">
      <c r="I2" s="76"/>
    </row>
    <row r="3" spans="1:28" hidden="1" x14ac:dyDescent="0.3">
      <c r="I3" s="76"/>
    </row>
    <row r="4" spans="1:28" ht="9.75" customHeight="1" x14ac:dyDescent="0.3">
      <c r="A4" s="77" t="s">
        <v>393</v>
      </c>
      <c r="B4" s="63"/>
      <c r="C4" s="63"/>
      <c r="D4" s="63"/>
      <c r="E4" s="63"/>
      <c r="F4" s="63"/>
      <c r="G4" s="63"/>
      <c r="H4" s="63"/>
      <c r="I4" s="76"/>
    </row>
    <row r="5" spans="1:28" ht="24.75" customHeight="1" x14ac:dyDescent="0.3">
      <c r="A5" s="77" t="s">
        <v>394</v>
      </c>
      <c r="B5" s="1051" t="s">
        <v>381</v>
      </c>
      <c r="C5" s="1051"/>
      <c r="D5" s="1051"/>
      <c r="E5" s="1051"/>
      <c r="F5" s="1051"/>
      <c r="G5" s="1051"/>
      <c r="H5" s="1051"/>
      <c r="I5" s="76"/>
    </row>
    <row r="6" spans="1:28" ht="24.75" customHeight="1" x14ac:dyDescent="0.3">
      <c r="B6" s="1052" t="s">
        <v>154</v>
      </c>
      <c r="C6" s="1052"/>
      <c r="D6" s="1052"/>
      <c r="E6" s="1052"/>
      <c r="F6" s="1052"/>
      <c r="G6" s="1052"/>
      <c r="H6" s="1052"/>
      <c r="I6" s="76"/>
    </row>
    <row r="7" spans="1:28" ht="16.5" customHeight="1" x14ac:dyDescent="0.3">
      <c r="B7" s="220"/>
      <c r="C7" s="220"/>
      <c r="D7" s="220"/>
      <c r="E7" s="220"/>
      <c r="F7" s="220"/>
      <c r="G7" s="220"/>
      <c r="H7" s="220"/>
      <c r="I7" s="76"/>
    </row>
    <row r="8" spans="1:28" ht="18.899999999999999" customHeight="1" x14ac:dyDescent="0.3">
      <c r="B8" s="1057" t="s">
        <v>60</v>
      </c>
      <c r="C8" s="1057"/>
      <c r="D8" s="1058" t="s">
        <v>391</v>
      </c>
      <c r="E8" s="1058"/>
      <c r="F8" s="1058"/>
      <c r="G8" s="119" t="s">
        <v>61</v>
      </c>
      <c r="H8" s="96">
        <f>'طلب التصنيع'!AI6</f>
        <v>0</v>
      </c>
      <c r="I8" s="76" t="s">
        <v>181</v>
      </c>
      <c r="J8" s="40" t="s">
        <v>183</v>
      </c>
    </row>
    <row r="9" spans="1:28" ht="18.899999999999999" customHeight="1" x14ac:dyDescent="0.3">
      <c r="B9" s="1057" t="s">
        <v>152</v>
      </c>
      <c r="C9" s="1057"/>
      <c r="D9" s="1079">
        <f>'طلب التصنيع'!U7</f>
        <v>0</v>
      </c>
      <c r="E9" s="1079"/>
      <c r="F9" s="1079"/>
      <c r="G9" s="119" t="s">
        <v>382</v>
      </c>
      <c r="H9" s="119">
        <f>'عرض السعر'!N9</f>
        <v>0</v>
      </c>
      <c r="I9" s="76" t="s">
        <v>62</v>
      </c>
      <c r="J9" s="76" t="s">
        <v>63</v>
      </c>
      <c r="K9" s="76" t="s">
        <v>64</v>
      </c>
      <c r="L9" s="76" t="s">
        <v>65</v>
      </c>
      <c r="M9" s="76" t="s">
        <v>66</v>
      </c>
      <c r="N9" s="76" t="s">
        <v>67</v>
      </c>
      <c r="O9" s="76" t="s">
        <v>68</v>
      </c>
      <c r="P9" s="76" t="s">
        <v>69</v>
      </c>
      <c r="Q9" s="76" t="s">
        <v>70</v>
      </c>
      <c r="R9" s="76" t="s">
        <v>71</v>
      </c>
      <c r="S9" s="76" t="s">
        <v>72</v>
      </c>
      <c r="T9" s="76" t="s">
        <v>73</v>
      </c>
      <c r="U9" s="76" t="s">
        <v>74</v>
      </c>
      <c r="V9" s="76" t="s">
        <v>75</v>
      </c>
      <c r="W9" s="76" t="s">
        <v>76</v>
      </c>
      <c r="X9" s="76" t="s">
        <v>77</v>
      </c>
      <c r="Y9" s="76" t="s">
        <v>78</v>
      </c>
      <c r="Z9" s="76" t="s">
        <v>79</v>
      </c>
      <c r="AA9" s="76" t="s">
        <v>80</v>
      </c>
      <c r="AB9" s="76" t="s">
        <v>81</v>
      </c>
    </row>
    <row r="10" spans="1:28" ht="10.5" hidden="1" customHeight="1" x14ac:dyDescent="0.3">
      <c r="B10" s="78"/>
      <c r="C10" s="78"/>
      <c r="D10" s="220"/>
      <c r="E10" s="220"/>
      <c r="F10" s="220"/>
      <c r="G10" s="220"/>
      <c r="H10" s="78"/>
      <c r="I10" s="76"/>
    </row>
    <row r="11" spans="1:28" ht="18" customHeight="1" x14ac:dyDescent="0.3">
      <c r="B11" s="220"/>
      <c r="C11" s="398" t="s">
        <v>383</v>
      </c>
      <c r="D11" s="1080"/>
      <c r="E11" s="1080"/>
      <c r="F11" s="220"/>
      <c r="G11" s="220"/>
      <c r="H11" s="220"/>
      <c r="I11" s="76"/>
    </row>
    <row r="12" spans="1:28" s="40" customFormat="1" ht="16.5" customHeight="1" x14ac:dyDescent="0.3">
      <c r="B12" s="1053" t="s">
        <v>386</v>
      </c>
      <c r="C12" s="1053" t="s">
        <v>229</v>
      </c>
      <c r="D12" s="1053" t="s">
        <v>0</v>
      </c>
      <c r="E12" s="1053" t="s">
        <v>385</v>
      </c>
      <c r="F12" s="1075" t="s">
        <v>392</v>
      </c>
      <c r="G12" s="1076"/>
      <c r="H12" s="1053" t="s">
        <v>33</v>
      </c>
      <c r="I12" s="76"/>
    </row>
    <row r="13" spans="1:28" s="40" customFormat="1" ht="36.75" customHeight="1" x14ac:dyDescent="0.3">
      <c r="B13" s="1053"/>
      <c r="C13" s="1053"/>
      <c r="D13" s="1053"/>
      <c r="E13" s="1053"/>
      <c r="F13" s="1077"/>
      <c r="G13" s="1078"/>
      <c r="H13" s="1053"/>
    </row>
    <row r="14" spans="1:28" s="40" customFormat="1" x14ac:dyDescent="0.3">
      <c r="B14" s="79">
        <v>1</v>
      </c>
      <c r="C14" s="79" t="str">
        <f>IFERROR(VLOOKUP(B14,'عرض السعر'!$B$14:$O$38,4,0),"")</f>
        <v/>
      </c>
      <c r="D14" s="79" t="str">
        <f>IFERROR(VLOOKUP(B14,'عرض السعر'!$B$14:$O$38,5,0),"")</f>
        <v/>
      </c>
      <c r="E14" s="79" t="str">
        <f>IFERROR(VLOOKUP(B14,'عرض السعر'!$B$14:$O$38,6,0),"")</f>
        <v/>
      </c>
      <c r="F14" s="1073" t="str">
        <f>IFERROR(VLOOKUP(B14,'عرض السعر'!$B$14:$O$38,7,0),"")</f>
        <v/>
      </c>
      <c r="G14" s="1074"/>
      <c r="H14" s="79" t="str">
        <f>IFERROR(VLOOKUP(B14,'عرض السعر'!$B$14:$O$38,10,0),"")</f>
        <v/>
      </c>
    </row>
    <row r="15" spans="1:28" s="40" customFormat="1" x14ac:dyDescent="0.3">
      <c r="B15" s="79">
        <v>2</v>
      </c>
      <c r="C15" s="79" t="str">
        <f>IFERROR(VLOOKUP(B15,'عرض السعر'!$B$14:$O$38,4,0),"")</f>
        <v/>
      </c>
      <c r="D15" s="79" t="str">
        <f>IFERROR(VLOOKUP(B15,'عرض السعر'!$B$14:$O$38,5,0),"")</f>
        <v/>
      </c>
      <c r="E15" s="79" t="str">
        <f>IFERROR(VLOOKUP(B15,'عرض السعر'!$B$14:$O$38,6,0),"")</f>
        <v/>
      </c>
      <c r="F15" s="1073" t="str">
        <f>IFERROR(VLOOKUP(B15,'عرض السعر'!$B$14:$O$38,7,0),"")</f>
        <v/>
      </c>
      <c r="G15" s="1074"/>
      <c r="H15" s="79" t="str">
        <f>IFERROR(VLOOKUP(B15,'عرض السعر'!$B$14:$O$38,10,0),"")</f>
        <v/>
      </c>
      <c r="I15" s="76"/>
    </row>
    <row r="16" spans="1:28" s="40" customFormat="1" x14ac:dyDescent="0.3">
      <c r="B16" s="79">
        <v>3</v>
      </c>
      <c r="C16" s="79" t="str">
        <f>IFERROR(VLOOKUP(B16,'عرض السعر'!$B$14:$O$38,4,0),"")</f>
        <v/>
      </c>
      <c r="D16" s="79" t="str">
        <f>IFERROR(VLOOKUP(B16,'عرض السعر'!$B$14:$O$38,5,0),"")</f>
        <v/>
      </c>
      <c r="E16" s="79" t="str">
        <f>IFERROR(VLOOKUP(B16,'عرض السعر'!$B$14:$O$38,6,0),"")</f>
        <v/>
      </c>
      <c r="F16" s="1073" t="str">
        <f>IFERROR(VLOOKUP(B16,'عرض السعر'!$B$14:$O$38,7,0),"")</f>
        <v/>
      </c>
      <c r="G16" s="1074"/>
      <c r="H16" s="79" t="str">
        <f>IFERROR(VLOOKUP(B16,'عرض السعر'!$B$14:$O$38,10,0),"")</f>
        <v/>
      </c>
      <c r="I16" s="76"/>
    </row>
    <row r="17" spans="2:9" s="40" customFormat="1" x14ac:dyDescent="0.3">
      <c r="B17" s="79">
        <v>4</v>
      </c>
      <c r="C17" s="79" t="str">
        <f>IFERROR(VLOOKUP(B17,'عرض السعر'!$B$14:$O$38,4,0),"")</f>
        <v/>
      </c>
      <c r="D17" s="79" t="str">
        <f>IFERROR(VLOOKUP(B17,'عرض السعر'!$B$14:$O$38,5,0),"")</f>
        <v/>
      </c>
      <c r="E17" s="79" t="str">
        <f>IFERROR(VLOOKUP(B17,'عرض السعر'!$B$14:$O$38,6,0),"")</f>
        <v/>
      </c>
      <c r="F17" s="1073" t="str">
        <f>IFERROR(VLOOKUP(B17,'عرض السعر'!$B$14:$O$38,7,0),"")</f>
        <v/>
      </c>
      <c r="G17" s="1074"/>
      <c r="H17" s="79" t="str">
        <f>IFERROR(VLOOKUP(B17,'عرض السعر'!$B$14:$O$38,10,0),"")</f>
        <v/>
      </c>
      <c r="I17" s="76"/>
    </row>
    <row r="18" spans="2:9" s="40" customFormat="1" x14ac:dyDescent="0.3">
      <c r="B18" s="79">
        <v>5</v>
      </c>
      <c r="C18" s="79" t="str">
        <f>IFERROR(VLOOKUP(B18,'عرض السعر'!$B$14:$O$38,4,0),"")</f>
        <v/>
      </c>
      <c r="D18" s="79" t="str">
        <f>IFERROR(VLOOKUP(B18,'عرض السعر'!$B$14:$O$38,5,0),"")</f>
        <v/>
      </c>
      <c r="E18" s="79" t="str">
        <f>IFERROR(VLOOKUP(B18,'عرض السعر'!$B$14:$O$38,6,0),"")</f>
        <v/>
      </c>
      <c r="F18" s="1073" t="str">
        <f>IFERROR(VLOOKUP(B18,'عرض السعر'!$B$14:$O$38,7,0),"")</f>
        <v/>
      </c>
      <c r="G18" s="1074"/>
      <c r="H18" s="79" t="str">
        <f>IFERROR(VLOOKUP(B18,'عرض السعر'!$B$14:$O$38,10,0),"")</f>
        <v/>
      </c>
      <c r="I18" s="76"/>
    </row>
    <row r="19" spans="2:9" s="40" customFormat="1" x14ac:dyDescent="0.3">
      <c r="B19" s="79">
        <v>6</v>
      </c>
      <c r="C19" s="79" t="str">
        <f>IFERROR(VLOOKUP(B19,'عرض السعر'!$B$14:$O$38,4,0),"")</f>
        <v/>
      </c>
      <c r="D19" s="79" t="str">
        <f>IFERROR(VLOOKUP(B19,'عرض السعر'!$B$14:$O$38,5,0),"")</f>
        <v/>
      </c>
      <c r="E19" s="79" t="str">
        <f>IFERROR(VLOOKUP(B19,'عرض السعر'!$B$14:$O$38,6,0),"")</f>
        <v/>
      </c>
      <c r="F19" s="1073" t="str">
        <f>IFERROR(VLOOKUP(B19,'عرض السعر'!$B$14:$O$38,7,0),"")</f>
        <v/>
      </c>
      <c r="G19" s="1074"/>
      <c r="H19" s="79" t="str">
        <f>IFERROR(VLOOKUP(B19,'عرض السعر'!$B$14:$O$38,10,0),"")</f>
        <v/>
      </c>
      <c r="I19" s="76"/>
    </row>
    <row r="20" spans="2:9" s="40" customFormat="1" x14ac:dyDescent="0.3">
      <c r="B20" s="79">
        <v>7</v>
      </c>
      <c r="C20" s="79" t="str">
        <f>IFERROR(VLOOKUP(B20,'عرض السعر'!$B$14:$O$38,4,0),"")</f>
        <v/>
      </c>
      <c r="D20" s="79" t="str">
        <f>IFERROR(VLOOKUP(B20,'عرض السعر'!$B$14:$O$38,5,0),"")</f>
        <v/>
      </c>
      <c r="E20" s="79" t="str">
        <f>IFERROR(VLOOKUP(B20,'عرض السعر'!$B$14:$O$38,6,0),"")</f>
        <v/>
      </c>
      <c r="F20" s="1073" t="str">
        <f>IFERROR(VLOOKUP(B20,'عرض السعر'!$B$14:$O$38,7,0),"")</f>
        <v/>
      </c>
      <c r="G20" s="1074"/>
      <c r="H20" s="79" t="str">
        <f>IFERROR(VLOOKUP(B20,'عرض السعر'!$B$14:$O$38,10,0),"")</f>
        <v/>
      </c>
      <c r="I20" s="76"/>
    </row>
    <row r="21" spans="2:9" s="40" customFormat="1" x14ac:dyDescent="0.3">
      <c r="B21" s="79">
        <v>8</v>
      </c>
      <c r="C21" s="79" t="str">
        <f>IFERROR(VLOOKUP(B21,'عرض السعر'!$B$14:$O$38,4,0),"")</f>
        <v/>
      </c>
      <c r="D21" s="79" t="str">
        <f>IFERROR(VLOOKUP(B21,'عرض السعر'!$B$14:$O$38,5,0),"")</f>
        <v/>
      </c>
      <c r="E21" s="79" t="str">
        <f>IFERROR(VLOOKUP(B21,'عرض السعر'!$B$14:$O$38,6,0),"")</f>
        <v/>
      </c>
      <c r="F21" s="1073" t="str">
        <f>IFERROR(VLOOKUP(B21,'عرض السعر'!$B$14:$O$38,7,0),"")</f>
        <v/>
      </c>
      <c r="G21" s="1074"/>
      <c r="H21" s="79" t="str">
        <f>IFERROR(VLOOKUP(B21,'عرض السعر'!$B$14:$O$38,10,0),"")</f>
        <v/>
      </c>
      <c r="I21" s="76"/>
    </row>
    <row r="22" spans="2:9" s="40" customFormat="1" x14ac:dyDescent="0.3">
      <c r="B22" s="79">
        <v>9</v>
      </c>
      <c r="C22" s="79" t="str">
        <f>IFERROR(VLOOKUP(B22,'عرض السعر'!$B$14:$O$38,4,0),"")</f>
        <v/>
      </c>
      <c r="D22" s="79" t="str">
        <f>IFERROR(VLOOKUP(B22,'عرض السعر'!$B$14:$O$38,5,0),"")</f>
        <v/>
      </c>
      <c r="E22" s="79" t="str">
        <f>IFERROR(VLOOKUP(B22,'عرض السعر'!$B$14:$O$38,6,0),"")</f>
        <v/>
      </c>
      <c r="F22" s="1073" t="str">
        <f>IFERROR(VLOOKUP(B22,'عرض السعر'!$B$14:$O$38,7,0),"")</f>
        <v/>
      </c>
      <c r="G22" s="1074"/>
      <c r="H22" s="79" t="str">
        <f>IFERROR(VLOOKUP(B22,'عرض السعر'!$B$14:$O$38,10,0),"")</f>
        <v/>
      </c>
      <c r="I22" s="76"/>
    </row>
    <row r="23" spans="2:9" s="40" customFormat="1" x14ac:dyDescent="0.3">
      <c r="B23" s="79">
        <v>10</v>
      </c>
      <c r="C23" s="79" t="str">
        <f>IFERROR(VLOOKUP(B23,'عرض السعر'!$B$14:$O$38,4,0),"")</f>
        <v/>
      </c>
      <c r="D23" s="79" t="str">
        <f>IFERROR(VLOOKUP(B23,'عرض السعر'!$B$14:$O$38,5,0),"")</f>
        <v/>
      </c>
      <c r="E23" s="79" t="str">
        <f>IFERROR(VLOOKUP(B23,'عرض السعر'!$B$14:$O$38,6,0),"")</f>
        <v/>
      </c>
      <c r="F23" s="1073" t="str">
        <f>IFERROR(VLOOKUP(B23,'عرض السعر'!$B$14:$O$38,7,0),"")</f>
        <v/>
      </c>
      <c r="G23" s="1074"/>
      <c r="H23" s="79" t="str">
        <f>IFERROR(VLOOKUP(B23,'عرض السعر'!$B$14:$O$38,10,0),"")</f>
        <v/>
      </c>
      <c r="I23" s="76"/>
    </row>
    <row r="24" spans="2:9" s="40" customFormat="1" x14ac:dyDescent="0.3">
      <c r="B24" s="79">
        <v>11</v>
      </c>
      <c r="C24" s="79" t="str">
        <f>IFERROR(VLOOKUP(B24,'عرض السعر'!$B$14:$O$38,4,0),"")</f>
        <v/>
      </c>
      <c r="D24" s="79" t="str">
        <f>IFERROR(VLOOKUP(B24,'عرض السعر'!$B$14:$O$38,5,0),"")</f>
        <v/>
      </c>
      <c r="E24" s="79" t="str">
        <f>IFERROR(VLOOKUP(B24,'عرض السعر'!$B$14:$O$38,6,0),"")</f>
        <v/>
      </c>
      <c r="F24" s="1073" t="str">
        <f>IFERROR(VLOOKUP(B24,'عرض السعر'!$B$14:$O$38,7,0),"")</f>
        <v/>
      </c>
      <c r="G24" s="1074"/>
      <c r="H24" s="79" t="str">
        <f>IFERROR(VLOOKUP(B24,'عرض السعر'!$B$14:$O$38,10,0),"")</f>
        <v/>
      </c>
      <c r="I24" s="76"/>
    </row>
    <row r="25" spans="2:9" s="40" customFormat="1" x14ac:dyDescent="0.3">
      <c r="B25" s="79">
        <v>12</v>
      </c>
      <c r="C25" s="79" t="str">
        <f>IFERROR(VLOOKUP(B25,'عرض السعر'!$B$14:$O$38,4,0),"")</f>
        <v/>
      </c>
      <c r="D25" s="79" t="str">
        <f>IFERROR(VLOOKUP(B25,'عرض السعر'!$B$14:$O$38,5,0),"")</f>
        <v/>
      </c>
      <c r="E25" s="79" t="str">
        <f>IFERROR(VLOOKUP(B25,'عرض السعر'!$B$14:$O$38,6,0),"")</f>
        <v/>
      </c>
      <c r="F25" s="1073" t="str">
        <f>IFERROR(VLOOKUP(B25,'عرض السعر'!$B$14:$O$38,7,0),"")</f>
        <v/>
      </c>
      <c r="G25" s="1074"/>
      <c r="H25" s="79" t="str">
        <f>IFERROR(VLOOKUP(B25,'عرض السعر'!$B$14:$O$38,10,0),"")</f>
        <v/>
      </c>
      <c r="I25" s="76"/>
    </row>
    <row r="26" spans="2:9" s="40" customFormat="1" x14ac:dyDescent="0.3">
      <c r="B26" s="79">
        <v>13</v>
      </c>
      <c r="C26" s="79" t="str">
        <f>IFERROR(VLOOKUP(B26,'عرض السعر'!$B$14:$O$38,4,0),"")</f>
        <v/>
      </c>
      <c r="D26" s="79" t="str">
        <f>IFERROR(VLOOKUP(B26,'عرض السعر'!$B$14:$O$38,5,0),"")</f>
        <v/>
      </c>
      <c r="E26" s="79" t="str">
        <f>IFERROR(VLOOKUP(B26,'عرض السعر'!$B$14:$O$38,6,0),"")</f>
        <v/>
      </c>
      <c r="F26" s="1073" t="str">
        <f>IFERROR(VLOOKUP(B26,'عرض السعر'!$B$14:$O$38,7,0),"")</f>
        <v/>
      </c>
      <c r="G26" s="1074"/>
      <c r="H26" s="79" t="str">
        <f>IFERROR(VLOOKUP(B26,'عرض السعر'!$B$14:$O$38,10,0),"")</f>
        <v/>
      </c>
      <c r="I26" s="76"/>
    </row>
    <row r="27" spans="2:9" s="40" customFormat="1" x14ac:dyDescent="0.3">
      <c r="B27" s="79">
        <v>14</v>
      </c>
      <c r="C27" s="79" t="str">
        <f>IFERROR(VLOOKUP(B27,'عرض السعر'!$B$14:$O$38,4,0),"")</f>
        <v/>
      </c>
      <c r="D27" s="79" t="str">
        <f>IFERROR(VLOOKUP(B27,'عرض السعر'!$B$14:$O$38,5,0),"")</f>
        <v/>
      </c>
      <c r="E27" s="79" t="str">
        <f>IFERROR(VLOOKUP(B27,'عرض السعر'!$B$14:$O$38,6,0),"")</f>
        <v/>
      </c>
      <c r="F27" s="1073" t="str">
        <f>IFERROR(VLOOKUP(B27,'عرض السعر'!$B$14:$O$38,7,0),"")</f>
        <v/>
      </c>
      <c r="G27" s="1074"/>
      <c r="H27" s="79" t="str">
        <f>IFERROR(VLOOKUP(B27,'عرض السعر'!$B$14:$O$38,10,0),"")</f>
        <v/>
      </c>
      <c r="I27" s="76"/>
    </row>
    <row r="28" spans="2:9" s="40" customFormat="1" x14ac:dyDescent="0.3">
      <c r="B28" s="79">
        <v>15</v>
      </c>
      <c r="C28" s="79" t="str">
        <f>IFERROR(VLOOKUP(B28,'عرض السعر'!$B$14:$O$38,4,0),"")</f>
        <v/>
      </c>
      <c r="D28" s="79" t="str">
        <f>IFERROR(VLOOKUP(B28,'عرض السعر'!$B$14:$O$38,5,0),"")</f>
        <v/>
      </c>
      <c r="E28" s="79" t="str">
        <f>IFERROR(VLOOKUP(B28,'عرض السعر'!$B$14:$O$38,6,0),"")</f>
        <v/>
      </c>
      <c r="F28" s="1073" t="str">
        <f>IFERROR(VLOOKUP(B28,'عرض السعر'!$B$14:$O$38,7,0),"")</f>
        <v/>
      </c>
      <c r="G28" s="1074"/>
      <c r="H28" s="79" t="str">
        <f>IFERROR(VLOOKUP(B28,'عرض السعر'!$B$14:$O$38,10,0),"")</f>
        <v/>
      </c>
      <c r="I28" s="76"/>
    </row>
    <row r="29" spans="2:9" s="40" customFormat="1" ht="20.100000000000001" customHeight="1" x14ac:dyDescent="0.3">
      <c r="B29" s="79">
        <v>16</v>
      </c>
      <c r="C29" s="79" t="str">
        <f>IFERROR(VLOOKUP(B29,'عرض السعر'!$B$14:$O$38,4,0),"")</f>
        <v/>
      </c>
      <c r="D29" s="79" t="str">
        <f>IFERROR(VLOOKUP(B29,'عرض السعر'!$B$14:$O$38,5,0),"")</f>
        <v/>
      </c>
      <c r="E29" s="79" t="str">
        <f>IFERROR(VLOOKUP(B29,'عرض السعر'!$B$14:$O$38,6,0),"")</f>
        <v/>
      </c>
      <c r="F29" s="1073" t="str">
        <f>IFERROR(VLOOKUP(B29,'عرض السعر'!$B$14:$O$38,7,0),"")</f>
        <v/>
      </c>
      <c r="G29" s="1074"/>
      <c r="H29" s="79" t="str">
        <f>IFERROR(VLOOKUP(B29,'عرض السعر'!$B$14:$O$38,10,0),"")</f>
        <v/>
      </c>
      <c r="I29" s="76"/>
    </row>
    <row r="30" spans="2:9" s="40" customFormat="1" ht="20.100000000000001" customHeight="1" x14ac:dyDescent="0.3">
      <c r="B30" s="79">
        <v>17</v>
      </c>
      <c r="C30" s="79" t="str">
        <f>IFERROR(VLOOKUP(B30,'عرض السعر'!$B$14:$O$38,4,0),"")</f>
        <v/>
      </c>
      <c r="D30" s="79" t="str">
        <f>IFERROR(VLOOKUP(B30,'عرض السعر'!$B$14:$O$38,5,0),"")</f>
        <v/>
      </c>
      <c r="E30" s="79" t="str">
        <f>IFERROR(VLOOKUP(B30,'عرض السعر'!$B$14:$O$38,6,0),"")</f>
        <v/>
      </c>
      <c r="F30" s="1073" t="str">
        <f>IFERROR(VLOOKUP(B30,'عرض السعر'!$B$14:$O$38,7,0),"")</f>
        <v/>
      </c>
      <c r="G30" s="1074"/>
      <c r="H30" s="79" t="str">
        <f>IFERROR(VLOOKUP(B30,'عرض السعر'!$B$14:$O$38,10,0),"")</f>
        <v/>
      </c>
      <c r="I30" s="76"/>
    </row>
    <row r="31" spans="2:9" s="40" customFormat="1" ht="20.100000000000001" customHeight="1" x14ac:dyDescent="0.3">
      <c r="B31" s="79">
        <v>18</v>
      </c>
      <c r="C31" s="79" t="str">
        <f>IFERROR(VLOOKUP(B31,'عرض السعر'!$B$14:$O$38,4,0),"")</f>
        <v/>
      </c>
      <c r="D31" s="79" t="str">
        <f>IFERROR(VLOOKUP(B31,'عرض السعر'!$B$14:$O$38,5,0),"")</f>
        <v/>
      </c>
      <c r="E31" s="79" t="str">
        <f>IFERROR(VLOOKUP(B31,'عرض السعر'!$B$14:$O$38,6,0),"")</f>
        <v/>
      </c>
      <c r="F31" s="1073" t="str">
        <f>IFERROR(VLOOKUP(B31,'عرض السعر'!$B$14:$O$38,7,0),"")</f>
        <v/>
      </c>
      <c r="G31" s="1074"/>
      <c r="H31" s="79" t="str">
        <f>IFERROR(VLOOKUP(B31,'عرض السعر'!$B$14:$O$38,10,0),"")</f>
        <v/>
      </c>
      <c r="I31" s="76"/>
    </row>
    <row r="32" spans="2:9" s="40" customFormat="1" ht="20.100000000000001" customHeight="1" x14ac:dyDescent="0.3">
      <c r="B32" s="79">
        <v>19</v>
      </c>
      <c r="C32" s="79" t="str">
        <f>IFERROR(VLOOKUP(B32,'عرض السعر'!$B$14:$O$38,4,0),"")</f>
        <v/>
      </c>
      <c r="D32" s="79" t="str">
        <f>IFERROR(VLOOKUP(B32,'عرض السعر'!$B$14:$O$38,5,0),"")</f>
        <v/>
      </c>
      <c r="E32" s="79" t="str">
        <f>IFERROR(VLOOKUP(B32,'عرض السعر'!$B$14:$O$38,6,0),"")</f>
        <v/>
      </c>
      <c r="F32" s="1073" t="str">
        <f>IFERROR(VLOOKUP(B32,'عرض السعر'!$B$14:$O$38,7,0),"")</f>
        <v/>
      </c>
      <c r="G32" s="1074"/>
      <c r="H32" s="79" t="str">
        <f>IFERROR(VLOOKUP(B32,'عرض السعر'!$B$14:$O$38,10,0),"")</f>
        <v/>
      </c>
      <c r="I32" s="76"/>
    </row>
    <row r="33" spans="2:9" s="40" customFormat="1" ht="20.100000000000001" customHeight="1" x14ac:dyDescent="0.3">
      <c r="B33" s="79">
        <v>20</v>
      </c>
      <c r="C33" s="79" t="str">
        <f>IFERROR(VLOOKUP(B33,'عرض السعر'!$B$14:$O$38,4,0),"")</f>
        <v/>
      </c>
      <c r="D33" s="79" t="str">
        <f>IFERROR(VLOOKUP(B33,'عرض السعر'!$B$14:$O$38,5,0),"")</f>
        <v/>
      </c>
      <c r="E33" s="79" t="str">
        <f>IFERROR(VLOOKUP(B33,'عرض السعر'!$B$14:$O$38,6,0),"")</f>
        <v/>
      </c>
      <c r="F33" s="1073" t="str">
        <f>IFERROR(VLOOKUP(B33,'عرض السعر'!$B$14:$O$38,7,0),"")</f>
        <v/>
      </c>
      <c r="G33" s="1074"/>
      <c r="H33" s="79" t="str">
        <f>IFERROR(VLOOKUP(B33,'عرض السعر'!$B$14:$O$38,10,0),"")</f>
        <v/>
      </c>
      <c r="I33" s="76"/>
    </row>
    <row r="34" spans="2:9" s="40" customFormat="1" ht="20.100000000000001" customHeight="1" x14ac:dyDescent="0.3">
      <c r="B34" s="79">
        <v>21</v>
      </c>
      <c r="C34" s="79" t="str">
        <f>IFERROR(VLOOKUP(B34,'عرض السعر'!$B$14:$O$38,4,0),"")</f>
        <v/>
      </c>
      <c r="D34" s="79" t="str">
        <f>IFERROR(VLOOKUP(B34,'عرض السعر'!$B$14:$O$38,5,0),"")</f>
        <v/>
      </c>
      <c r="E34" s="79" t="str">
        <f>IFERROR(VLOOKUP(B34,'عرض السعر'!$B$14:$O$38,6,0),"")</f>
        <v/>
      </c>
      <c r="F34" s="1073" t="str">
        <f>IFERROR(VLOOKUP(B34,'عرض السعر'!$B$14:$O$38,7,0),"")</f>
        <v/>
      </c>
      <c r="G34" s="1074"/>
      <c r="H34" s="79" t="str">
        <f>IFERROR(VLOOKUP(B34,'عرض السعر'!$B$14:$O$38,10,0),"")</f>
        <v/>
      </c>
      <c r="I34" s="76"/>
    </row>
    <row r="35" spans="2:9" s="40" customFormat="1" ht="20.100000000000001" customHeight="1" x14ac:dyDescent="0.3">
      <c r="B35" s="79">
        <v>22</v>
      </c>
      <c r="C35" s="79" t="str">
        <f>IFERROR(VLOOKUP(B35,'عرض السعر'!$B$14:$O$38,4,0),"")</f>
        <v/>
      </c>
      <c r="D35" s="79" t="str">
        <f>IFERROR(VLOOKUP(B35,'عرض السعر'!$B$14:$O$38,5,0),"")</f>
        <v/>
      </c>
      <c r="E35" s="79" t="str">
        <f>IFERROR(VLOOKUP(B35,'عرض السعر'!$B$14:$O$38,6,0),"")</f>
        <v/>
      </c>
      <c r="F35" s="1073" t="str">
        <f>IFERROR(VLOOKUP(B35,'عرض السعر'!$B$14:$O$38,7,0),"")</f>
        <v/>
      </c>
      <c r="G35" s="1074"/>
      <c r="H35" s="79" t="str">
        <f>IFERROR(VLOOKUP(B35,'عرض السعر'!$B$14:$O$38,10,0),"")</f>
        <v/>
      </c>
      <c r="I35" s="76"/>
    </row>
    <row r="36" spans="2:9" s="40" customFormat="1" ht="20.100000000000001" customHeight="1" x14ac:dyDescent="0.3">
      <c r="B36" s="79">
        <v>23</v>
      </c>
      <c r="C36" s="79" t="str">
        <f>IFERROR(VLOOKUP(B36,'عرض السعر'!$B$14:$O$38,4,0),"")</f>
        <v/>
      </c>
      <c r="D36" s="79" t="str">
        <f>IFERROR(VLOOKUP(B36,'عرض السعر'!$B$14:$O$38,5,0),"")</f>
        <v/>
      </c>
      <c r="E36" s="79" t="str">
        <f>IFERROR(VLOOKUP(B36,'عرض السعر'!$B$14:$O$38,6,0),"")</f>
        <v/>
      </c>
      <c r="F36" s="1073" t="str">
        <f>IFERROR(VLOOKUP(B36,'عرض السعر'!$B$14:$O$38,7,0),"")</f>
        <v/>
      </c>
      <c r="G36" s="1074"/>
      <c r="H36" s="79" t="str">
        <f>IFERROR(VLOOKUP(B36,'عرض السعر'!$B$14:$O$38,10,0),"")</f>
        <v/>
      </c>
      <c r="I36" s="76"/>
    </row>
    <row r="37" spans="2:9" s="40" customFormat="1" ht="20.100000000000001" customHeight="1" x14ac:dyDescent="0.3">
      <c r="B37" s="79">
        <v>24</v>
      </c>
      <c r="C37" s="79" t="str">
        <f>IFERROR(VLOOKUP(B37,'عرض السعر'!$B$14:$O$38,4,0),"")</f>
        <v/>
      </c>
      <c r="D37" s="79" t="str">
        <f>IFERROR(VLOOKUP(B37,'عرض السعر'!$B$14:$O$38,5,0),"")</f>
        <v/>
      </c>
      <c r="E37" s="79" t="str">
        <f>IFERROR(VLOOKUP(B37,'عرض السعر'!$B$14:$O$38,6,0),"")</f>
        <v/>
      </c>
      <c r="F37" s="1073" t="str">
        <f>IFERROR(VLOOKUP(B37,'عرض السعر'!$B$14:$O$38,7,0),"")</f>
        <v/>
      </c>
      <c r="G37" s="1074"/>
      <c r="H37" s="79" t="str">
        <f>IFERROR(VLOOKUP(B37,'عرض السعر'!$B$14:$O$38,10,0),"")</f>
        <v/>
      </c>
      <c r="I37" s="76"/>
    </row>
    <row r="38" spans="2:9" s="40" customFormat="1" ht="20.100000000000001" customHeight="1" x14ac:dyDescent="0.3">
      <c r="B38" s="79">
        <v>25</v>
      </c>
      <c r="C38" s="79" t="str">
        <f>IFERROR(VLOOKUP(B38,'عرض السعر'!$B$14:$O$38,4,0),"")</f>
        <v/>
      </c>
      <c r="D38" s="79" t="str">
        <f>IFERROR(VLOOKUP(B38,'عرض السعر'!$B$14:$O$38,5,0),"")</f>
        <v/>
      </c>
      <c r="E38" s="79" t="str">
        <f>IFERROR(VLOOKUP(B38,'عرض السعر'!$B$14:$O$38,6,0),"")</f>
        <v/>
      </c>
      <c r="F38" s="1073" t="str">
        <f>IFERROR(VLOOKUP(B38,'عرض السعر'!$B$14:$O$38,7,0),"")</f>
        <v/>
      </c>
      <c r="G38" s="1074"/>
      <c r="H38" s="79" t="str">
        <f>IFERROR(VLOOKUP(B38,'عرض السعر'!$B$14:$O$38,10,0),"")</f>
        <v/>
      </c>
      <c r="I38" s="76"/>
    </row>
    <row r="39" spans="2:9" s="40" customFormat="1" ht="15" customHeight="1" x14ac:dyDescent="0.3">
      <c r="B39" s="79" t="str">
        <f>IF('عرض السعر'!$C39='عرض السعر'!$C$103,'عرض السعر'!D39,"")</f>
        <v/>
      </c>
      <c r="C39" s="79" t="str">
        <f>IF('عرض السعر'!$C39='عرض السعر'!$C$103,'عرض السعر'!E39,"")</f>
        <v/>
      </c>
      <c r="D39" s="79" t="str">
        <f>IF('عرض السعر'!$C39='عرض السعر'!$C$103,'عرض السعر'!F39,"")</f>
        <v/>
      </c>
      <c r="E39" s="79" t="str">
        <f>IF('عرض السعر'!$C39='عرض السعر'!$C$103,'عرض السعر'!G39,"")</f>
        <v/>
      </c>
      <c r="F39" s="1073"/>
      <c r="G39" s="1074"/>
      <c r="H39" s="79" t="str">
        <f>IF('عرض السعر'!$C39='عرض السعر'!$C$103,'عرض السعر'!K39,"")</f>
        <v/>
      </c>
    </row>
    <row r="40" spans="2:9" s="40" customFormat="1" ht="18" customHeight="1" x14ac:dyDescent="0.3">
      <c r="B40" s="809" t="s">
        <v>25</v>
      </c>
      <c r="C40" s="810"/>
      <c r="D40" s="810"/>
      <c r="E40" s="810"/>
      <c r="F40" s="810"/>
      <c r="G40" s="810"/>
      <c r="H40" s="810"/>
    </row>
    <row r="41" spans="2:9" s="40" customFormat="1" ht="30" customHeight="1" x14ac:dyDescent="0.3">
      <c r="B41" s="82" t="s">
        <v>28</v>
      </c>
      <c r="C41" s="1063" t="s">
        <v>10</v>
      </c>
      <c r="D41" s="1063"/>
      <c r="E41" s="1064" t="s">
        <v>40</v>
      </c>
      <c r="F41" s="1064"/>
      <c r="G41" s="397" t="s">
        <v>31</v>
      </c>
      <c r="H41" s="82" t="s">
        <v>33</v>
      </c>
    </row>
    <row r="42" spans="2:9" s="40" customFormat="1" ht="15" customHeight="1" x14ac:dyDescent="0.3">
      <c r="B42" s="84">
        <v>1</v>
      </c>
      <c r="C42" s="1071" t="str">
        <f>IFERROR(VLOOKUP(B42,'عرض السعر'!$B$42:$O$89,4,0),"")</f>
        <v/>
      </c>
      <c r="D42" s="1071"/>
      <c r="E42" s="1072" t="str">
        <f>IFERROR(VLOOKUP(B42,'عرض السعر'!$B$42:$O$89,6,0),"")</f>
        <v/>
      </c>
      <c r="F42" s="1072"/>
      <c r="G42" s="399" t="str">
        <f>IFERROR(VLOOKUP(B42,'عرض السعر'!$B$42:$O$89,9,0),"")</f>
        <v/>
      </c>
      <c r="H42" s="86" t="str">
        <f>IFERROR(VLOOKUP(B42,'عرض السعر'!$B$42:$O$89,10,0),"")</f>
        <v/>
      </c>
    </row>
    <row r="43" spans="2:9" s="40" customFormat="1" ht="15" customHeight="1" x14ac:dyDescent="0.3">
      <c r="B43" s="84">
        <v>2</v>
      </c>
      <c r="C43" s="1071" t="str">
        <f>IFERROR(VLOOKUP(B43,'عرض السعر'!$B$42:$O$89,4,0),"")</f>
        <v/>
      </c>
      <c r="D43" s="1071"/>
      <c r="E43" s="1072" t="str">
        <f>IFERROR(VLOOKUP(B43,'عرض السعر'!$B$42:$O$89,6,0),"")</f>
        <v/>
      </c>
      <c r="F43" s="1072"/>
      <c r="G43" s="399" t="str">
        <f>IFERROR(VLOOKUP(B43,'عرض السعر'!$B$42:$O$89,9,0),"")</f>
        <v/>
      </c>
      <c r="H43" s="86" t="str">
        <f>IFERROR(VLOOKUP(B43,'عرض السعر'!$B$42:$O$89,10,0),"")</f>
        <v/>
      </c>
    </row>
    <row r="44" spans="2:9" s="40" customFormat="1" ht="15" customHeight="1" x14ac:dyDescent="0.3">
      <c r="B44" s="84">
        <v>3</v>
      </c>
      <c r="C44" s="1071" t="str">
        <f>IFERROR(VLOOKUP(B44,'عرض السعر'!$B$42:$O$89,4,0),"")</f>
        <v/>
      </c>
      <c r="D44" s="1071"/>
      <c r="E44" s="1072" t="str">
        <f>IFERROR(VLOOKUP(B44,'عرض السعر'!$B$42:$O$89,6,0),"")</f>
        <v/>
      </c>
      <c r="F44" s="1072"/>
      <c r="G44" s="399" t="str">
        <f>IFERROR(VLOOKUP(B44,'عرض السعر'!$B$42:$O$89,9,0),"")</f>
        <v/>
      </c>
      <c r="H44" s="86" t="str">
        <f>IFERROR(VLOOKUP(B44,'عرض السعر'!$B$42:$O$89,10,0),"")</f>
        <v/>
      </c>
    </row>
    <row r="45" spans="2:9" s="40" customFormat="1" ht="15" customHeight="1" x14ac:dyDescent="0.3">
      <c r="B45" s="84">
        <v>4</v>
      </c>
      <c r="C45" s="1071" t="str">
        <f>IFERROR(VLOOKUP(B45,'عرض السعر'!$B$42:$O$89,4,0),"")</f>
        <v/>
      </c>
      <c r="D45" s="1071"/>
      <c r="E45" s="1072" t="str">
        <f>IFERROR(VLOOKUP(B45,'عرض السعر'!$B$42:$O$89,6,0),"")</f>
        <v/>
      </c>
      <c r="F45" s="1072"/>
      <c r="G45" s="399" t="str">
        <f>IFERROR(VLOOKUP(B45,'عرض السعر'!$B$42:$O$89,9,0),"")</f>
        <v/>
      </c>
      <c r="H45" s="86" t="str">
        <f>IFERROR(VLOOKUP(B45,'عرض السعر'!$B$42:$O$89,10,0),"")</f>
        <v/>
      </c>
    </row>
    <row r="46" spans="2:9" s="40" customFormat="1" ht="15" customHeight="1" x14ac:dyDescent="0.3">
      <c r="B46" s="84">
        <v>5</v>
      </c>
      <c r="C46" s="1071" t="str">
        <f>IFERROR(VLOOKUP(B46,'عرض السعر'!$B$42:$O$89,4,0),"")</f>
        <v/>
      </c>
      <c r="D46" s="1071"/>
      <c r="E46" s="1072" t="str">
        <f>IFERROR(VLOOKUP(B46,'عرض السعر'!$B$42:$O$89,6,0),"")</f>
        <v/>
      </c>
      <c r="F46" s="1072"/>
      <c r="G46" s="399" t="str">
        <f>IFERROR(VLOOKUP(B46,'عرض السعر'!$B$42:$O$89,9,0),"")</f>
        <v/>
      </c>
      <c r="H46" s="86" t="str">
        <f>IFERROR(VLOOKUP(B46,'عرض السعر'!$B$42:$O$89,10,0),"")</f>
        <v/>
      </c>
    </row>
    <row r="47" spans="2:9" s="40" customFormat="1" ht="15" customHeight="1" x14ac:dyDescent="0.3">
      <c r="B47" s="84">
        <v>6</v>
      </c>
      <c r="C47" s="1071" t="str">
        <f>IFERROR(VLOOKUP(B47,'عرض السعر'!$B$42:$O$89,4,0),"")</f>
        <v/>
      </c>
      <c r="D47" s="1071"/>
      <c r="E47" s="1072" t="str">
        <f>IFERROR(VLOOKUP(B47,'عرض السعر'!$B$42:$O$89,6,0),"")</f>
        <v/>
      </c>
      <c r="F47" s="1072"/>
      <c r="G47" s="399" t="str">
        <f>IFERROR(VLOOKUP(B47,'عرض السعر'!$B$42:$O$89,9,0),"")</f>
        <v/>
      </c>
      <c r="H47" s="86" t="str">
        <f>IFERROR(VLOOKUP(B47,'عرض السعر'!$B$42:$O$89,10,0),"")</f>
        <v/>
      </c>
    </row>
    <row r="48" spans="2:9" s="40" customFormat="1" ht="15" customHeight="1" x14ac:dyDescent="0.3">
      <c r="B48" s="84">
        <v>7</v>
      </c>
      <c r="C48" s="1071" t="str">
        <f>IFERROR(VLOOKUP(B48,'عرض السعر'!$B$42:$O$89,4,0),"")</f>
        <v/>
      </c>
      <c r="D48" s="1071"/>
      <c r="E48" s="1072" t="str">
        <f>IFERROR(VLOOKUP(B48,'عرض السعر'!$B$42:$O$89,6,0),"")</f>
        <v/>
      </c>
      <c r="F48" s="1072"/>
      <c r="G48" s="399" t="str">
        <f>IFERROR(VLOOKUP(B48,'عرض السعر'!$B$42:$O$89,9,0),"")</f>
        <v/>
      </c>
      <c r="H48" s="86" t="str">
        <f>IFERROR(VLOOKUP(B48,'عرض السعر'!$B$42:$O$89,10,0),"")</f>
        <v/>
      </c>
    </row>
    <row r="49" spans="2:8" s="40" customFormat="1" ht="15" customHeight="1" x14ac:dyDescent="0.3">
      <c r="B49" s="84">
        <v>8</v>
      </c>
      <c r="C49" s="1071" t="str">
        <f>IFERROR(VLOOKUP(B49,'عرض السعر'!$B$42:$O$89,4,0),"")</f>
        <v/>
      </c>
      <c r="D49" s="1071"/>
      <c r="E49" s="1072" t="str">
        <f>IFERROR(VLOOKUP(B49,'عرض السعر'!$B$42:$O$89,6,0),"")</f>
        <v/>
      </c>
      <c r="F49" s="1072"/>
      <c r="G49" s="399" t="str">
        <f>IFERROR(VLOOKUP(B49,'عرض السعر'!$B$42:$O$89,9,0),"")</f>
        <v/>
      </c>
      <c r="H49" s="86" t="str">
        <f>IFERROR(VLOOKUP(B49,'عرض السعر'!$B$42:$O$89,10,0),"")</f>
        <v/>
      </c>
    </row>
    <row r="50" spans="2:8" s="40" customFormat="1" ht="15" customHeight="1" x14ac:dyDescent="0.3">
      <c r="B50" s="84">
        <v>9</v>
      </c>
      <c r="C50" s="1071" t="str">
        <f>IFERROR(VLOOKUP(B50,'عرض السعر'!$B$42:$O$89,4,0),"")</f>
        <v/>
      </c>
      <c r="D50" s="1071"/>
      <c r="E50" s="1072" t="str">
        <f>IFERROR(VLOOKUP(B50,'عرض السعر'!$B$42:$O$89,6,0),"")</f>
        <v/>
      </c>
      <c r="F50" s="1072"/>
      <c r="G50" s="399" t="str">
        <f>IFERROR(VLOOKUP(B50,'عرض السعر'!$B$42:$O$89,9,0),"")</f>
        <v/>
      </c>
      <c r="H50" s="86" t="str">
        <f>IFERROR(VLOOKUP(B50,'عرض السعر'!$B$42:$O$89,10,0),"")</f>
        <v/>
      </c>
    </row>
    <row r="51" spans="2:8" s="40" customFormat="1" ht="15" customHeight="1" x14ac:dyDescent="0.3">
      <c r="B51" s="84">
        <v>10</v>
      </c>
      <c r="C51" s="1071" t="str">
        <f>IFERROR(VLOOKUP(B51,'عرض السعر'!$B$42:$O$89,4,0),"")</f>
        <v/>
      </c>
      <c r="D51" s="1071"/>
      <c r="E51" s="1072" t="str">
        <f>IFERROR(VLOOKUP(B51,'عرض السعر'!$B$42:$O$89,6,0),"")</f>
        <v/>
      </c>
      <c r="F51" s="1072"/>
      <c r="G51" s="399" t="str">
        <f>IFERROR(VLOOKUP(B51,'عرض السعر'!$B$42:$O$89,9,0),"")</f>
        <v/>
      </c>
      <c r="H51" s="86" t="str">
        <f>IFERROR(VLOOKUP(B51,'عرض السعر'!$B$42:$O$89,10,0),"")</f>
        <v/>
      </c>
    </row>
    <row r="52" spans="2:8" s="40" customFormat="1" ht="15" customHeight="1" x14ac:dyDescent="0.3">
      <c r="B52" s="84">
        <v>11</v>
      </c>
      <c r="C52" s="1071" t="str">
        <f>IFERROR(VLOOKUP(B52,'عرض السعر'!$B$42:$O$89,4,0),"")</f>
        <v/>
      </c>
      <c r="D52" s="1071"/>
      <c r="E52" s="1072" t="str">
        <f>IFERROR(VLOOKUP(B52,'عرض السعر'!$B$42:$O$89,6,0),"")</f>
        <v/>
      </c>
      <c r="F52" s="1072"/>
      <c r="G52" s="399" t="str">
        <f>IFERROR(VLOOKUP(B52,'عرض السعر'!$B$42:$O$89,9,0),"")</f>
        <v/>
      </c>
      <c r="H52" s="86" t="str">
        <f>IFERROR(VLOOKUP(B52,'عرض السعر'!$B$42:$O$89,10,0),"")</f>
        <v/>
      </c>
    </row>
    <row r="53" spans="2:8" s="40" customFormat="1" ht="15" customHeight="1" x14ac:dyDescent="0.3">
      <c r="B53" s="84">
        <v>12</v>
      </c>
      <c r="C53" s="1071" t="str">
        <f>IFERROR(VLOOKUP(B53,'عرض السعر'!$B$42:$O$89,4,0),"")</f>
        <v/>
      </c>
      <c r="D53" s="1071"/>
      <c r="E53" s="1072" t="str">
        <f>IFERROR(VLOOKUP(B53,'عرض السعر'!$B$42:$O$89,6,0),"")</f>
        <v/>
      </c>
      <c r="F53" s="1072"/>
      <c r="G53" s="399" t="str">
        <f>IFERROR(VLOOKUP(B53,'عرض السعر'!$B$42:$O$89,9,0),"")</f>
        <v/>
      </c>
      <c r="H53" s="86" t="str">
        <f>IFERROR(VLOOKUP(B53,'عرض السعر'!$B$42:$O$89,10,0),"")</f>
        <v/>
      </c>
    </row>
    <row r="54" spans="2:8" s="40" customFormat="1" ht="15" customHeight="1" x14ac:dyDescent="0.3">
      <c r="B54" s="84">
        <v>13</v>
      </c>
      <c r="C54" s="1071" t="str">
        <f>IFERROR(VLOOKUP(B54,'عرض السعر'!$B$42:$O$89,4,0),"")</f>
        <v/>
      </c>
      <c r="D54" s="1071"/>
      <c r="E54" s="1072" t="str">
        <f>IFERROR(VLOOKUP(B54,'عرض السعر'!$B$42:$O$89,6,0),"")</f>
        <v/>
      </c>
      <c r="F54" s="1072"/>
      <c r="G54" s="399" t="str">
        <f>IFERROR(VLOOKUP(B54,'عرض السعر'!$B$42:$O$89,9,0),"")</f>
        <v/>
      </c>
      <c r="H54" s="86" t="str">
        <f>IFERROR(VLOOKUP(B54,'عرض السعر'!$B$42:$O$89,10,0),"")</f>
        <v/>
      </c>
    </row>
    <row r="55" spans="2:8" s="40" customFormat="1" ht="15" customHeight="1" x14ac:dyDescent="0.3">
      <c r="B55" s="84">
        <v>14</v>
      </c>
      <c r="C55" s="1071" t="str">
        <f>IFERROR(VLOOKUP(B55,'عرض السعر'!$B$42:$O$89,4,0),"")</f>
        <v/>
      </c>
      <c r="D55" s="1071"/>
      <c r="E55" s="1072" t="str">
        <f>IFERROR(VLOOKUP(B55,'عرض السعر'!$B$42:$O$89,6,0),"")</f>
        <v/>
      </c>
      <c r="F55" s="1072"/>
      <c r="G55" s="399" t="str">
        <f>IFERROR(VLOOKUP(B55,'عرض السعر'!$B$42:$O$89,9,0),"")</f>
        <v/>
      </c>
      <c r="H55" s="86" t="str">
        <f>IFERROR(VLOOKUP(B55,'عرض السعر'!$B$42:$O$89,10,0),"")</f>
        <v/>
      </c>
    </row>
    <row r="56" spans="2:8" s="40" customFormat="1" ht="15" customHeight="1" x14ac:dyDescent="0.3">
      <c r="B56" s="84">
        <v>15</v>
      </c>
      <c r="C56" s="1071" t="str">
        <f>IFERROR(VLOOKUP(B56,'عرض السعر'!$B$42:$O$89,4,0),"")</f>
        <v/>
      </c>
      <c r="D56" s="1071"/>
      <c r="E56" s="1072" t="str">
        <f>IFERROR(VLOOKUP(B56,'عرض السعر'!$B$42:$O$89,6,0),"")</f>
        <v/>
      </c>
      <c r="F56" s="1072"/>
      <c r="G56" s="399" t="str">
        <f>IFERROR(VLOOKUP(B56,'عرض السعر'!$B$42:$O$89,9,0),"")</f>
        <v/>
      </c>
      <c r="H56" s="86" t="str">
        <f>IFERROR(VLOOKUP(B56,'عرض السعر'!$B$42:$O$89,10,0),"")</f>
        <v/>
      </c>
    </row>
    <row r="57" spans="2:8" s="40" customFormat="1" ht="15" customHeight="1" x14ac:dyDescent="0.3">
      <c r="B57" s="84">
        <v>16</v>
      </c>
      <c r="C57" s="1071" t="str">
        <f>IFERROR(VLOOKUP(B57,'عرض السعر'!$B$42:$O$89,4,0),"")</f>
        <v/>
      </c>
      <c r="D57" s="1071"/>
      <c r="E57" s="1072" t="str">
        <f>IFERROR(VLOOKUP(B57,'عرض السعر'!$B$42:$O$89,6,0),"")</f>
        <v/>
      </c>
      <c r="F57" s="1072"/>
      <c r="G57" s="399" t="str">
        <f>IFERROR(VLOOKUP(B57,'عرض السعر'!$B$42:$O$89,9,0),"")</f>
        <v/>
      </c>
      <c r="H57" s="86" t="str">
        <f>IFERROR(VLOOKUP(B57,'عرض السعر'!$B$42:$O$89,10,0),"")</f>
        <v/>
      </c>
    </row>
    <row r="58" spans="2:8" s="40" customFormat="1" ht="15" customHeight="1" x14ac:dyDescent="0.3">
      <c r="B58" s="84">
        <v>17</v>
      </c>
      <c r="C58" s="1071" t="str">
        <f>IFERROR(VLOOKUP(B58,'عرض السعر'!$B$42:$O$89,4,0),"")</f>
        <v/>
      </c>
      <c r="D58" s="1071"/>
      <c r="E58" s="1072" t="str">
        <f>IFERROR(VLOOKUP(B58,'عرض السعر'!$B$42:$O$89,6,0),"")</f>
        <v/>
      </c>
      <c r="F58" s="1072"/>
      <c r="G58" s="399" t="str">
        <f>IFERROR(VLOOKUP(B58,'عرض السعر'!$B$42:$O$89,9,0),"")</f>
        <v/>
      </c>
      <c r="H58" s="86" t="str">
        <f>IFERROR(VLOOKUP(B58,'عرض السعر'!$B$42:$O$89,10,0),"")</f>
        <v/>
      </c>
    </row>
    <row r="59" spans="2:8" s="40" customFormat="1" ht="15" customHeight="1" x14ac:dyDescent="0.3">
      <c r="B59" s="84">
        <v>18</v>
      </c>
      <c r="C59" s="1071" t="str">
        <f>IFERROR(VLOOKUP(B59,'عرض السعر'!$B$42:$O$89,4,0),"")</f>
        <v/>
      </c>
      <c r="D59" s="1071"/>
      <c r="E59" s="1072" t="str">
        <f>IFERROR(VLOOKUP(B59,'عرض السعر'!$B$42:$O$89,6,0),"")</f>
        <v/>
      </c>
      <c r="F59" s="1072"/>
      <c r="G59" s="399" t="str">
        <f>IFERROR(VLOOKUP(B59,'عرض السعر'!$B$42:$O$89,9,0),"")</f>
        <v/>
      </c>
      <c r="H59" s="86" t="str">
        <f>IFERROR(VLOOKUP(B59,'عرض السعر'!$B$42:$O$89,10,0),"")</f>
        <v/>
      </c>
    </row>
    <row r="60" spans="2:8" s="40" customFormat="1" ht="15" customHeight="1" x14ac:dyDescent="0.3">
      <c r="B60" s="84">
        <v>19</v>
      </c>
      <c r="C60" s="1071" t="str">
        <f>IFERROR(VLOOKUP(B60,'عرض السعر'!$B$42:$O$89,4,0),"")</f>
        <v/>
      </c>
      <c r="D60" s="1071"/>
      <c r="E60" s="1072" t="str">
        <f>IFERROR(VLOOKUP(B60,'عرض السعر'!$B$42:$O$89,6,0),"")</f>
        <v/>
      </c>
      <c r="F60" s="1072"/>
      <c r="G60" s="399" t="str">
        <f>IFERROR(VLOOKUP(B60,'عرض السعر'!$B$42:$O$89,9,0),"")</f>
        <v/>
      </c>
      <c r="H60" s="86" t="str">
        <f>IFERROR(VLOOKUP(B60,'عرض السعر'!$B$42:$O$89,10,0),"")</f>
        <v/>
      </c>
    </row>
    <row r="61" spans="2:8" s="40" customFormat="1" ht="15" customHeight="1" x14ac:dyDescent="0.3">
      <c r="B61" s="84">
        <v>20</v>
      </c>
      <c r="C61" s="1071" t="str">
        <f>IFERROR(VLOOKUP(B61,'عرض السعر'!$B$42:$O$89,4,0),"")</f>
        <v/>
      </c>
      <c r="D61" s="1071"/>
      <c r="E61" s="1072" t="str">
        <f>IFERROR(VLOOKUP(B61,'عرض السعر'!$B$42:$O$89,6,0),"")</f>
        <v/>
      </c>
      <c r="F61" s="1072"/>
      <c r="G61" s="399" t="str">
        <f>IFERROR(VLOOKUP(B61,'عرض السعر'!$B$42:$O$89,9,0),"")</f>
        <v/>
      </c>
      <c r="H61" s="86" t="str">
        <f>IFERROR(VLOOKUP(B61,'عرض السعر'!$B$42:$O$89,10,0),"")</f>
        <v/>
      </c>
    </row>
    <row r="62" spans="2:8" s="40" customFormat="1" ht="15" customHeight="1" x14ac:dyDescent="0.3">
      <c r="B62" s="84">
        <v>21</v>
      </c>
      <c r="C62" s="1071" t="str">
        <f>IFERROR(VLOOKUP(B62,'عرض السعر'!$B$42:$O$89,4,0),"")</f>
        <v/>
      </c>
      <c r="D62" s="1071"/>
      <c r="E62" s="1072" t="str">
        <f>IFERROR(VLOOKUP(B62,'عرض السعر'!$B$42:$O$89,6,0),"")</f>
        <v/>
      </c>
      <c r="F62" s="1072"/>
      <c r="G62" s="399" t="str">
        <f>IFERROR(VLOOKUP(B62,'عرض السعر'!$B$42:$O$89,9,0),"")</f>
        <v/>
      </c>
      <c r="H62" s="86" t="str">
        <f>IFERROR(VLOOKUP(B62,'عرض السعر'!$B$42:$O$89,10,0),"")</f>
        <v/>
      </c>
    </row>
    <row r="63" spans="2:8" s="40" customFormat="1" ht="15" customHeight="1" x14ac:dyDescent="0.3">
      <c r="B63" s="84">
        <v>22</v>
      </c>
      <c r="C63" s="1071" t="str">
        <f>IFERROR(VLOOKUP(B63,'عرض السعر'!$B$42:$O$89,4,0),"")</f>
        <v/>
      </c>
      <c r="D63" s="1071"/>
      <c r="E63" s="1072" t="str">
        <f>IFERROR(VLOOKUP(B63,'عرض السعر'!$B$42:$O$89,6,0),"")</f>
        <v/>
      </c>
      <c r="F63" s="1072"/>
      <c r="G63" s="399" t="str">
        <f>IFERROR(VLOOKUP(B63,'عرض السعر'!$B$42:$O$89,9,0),"")</f>
        <v/>
      </c>
      <c r="H63" s="86" t="str">
        <f>IFERROR(VLOOKUP(B63,'عرض السعر'!$B$42:$O$89,10,0),"")</f>
        <v/>
      </c>
    </row>
    <row r="64" spans="2:8" s="40" customFormat="1" ht="15" customHeight="1" x14ac:dyDescent="0.3">
      <c r="B64" s="84">
        <v>23</v>
      </c>
      <c r="C64" s="1071" t="str">
        <f>IFERROR(VLOOKUP(B64,'عرض السعر'!$B$42:$O$89,4,0),"")</f>
        <v/>
      </c>
      <c r="D64" s="1071"/>
      <c r="E64" s="1072" t="str">
        <f>IFERROR(VLOOKUP(B64,'عرض السعر'!$B$42:$O$89,6,0),"")</f>
        <v/>
      </c>
      <c r="F64" s="1072"/>
      <c r="G64" s="399" t="str">
        <f>IFERROR(VLOOKUP(B64,'عرض السعر'!$B$42:$O$89,9,0),"")</f>
        <v/>
      </c>
      <c r="H64" s="86" t="str">
        <f>IFERROR(VLOOKUP(B64,'عرض السعر'!$B$42:$O$89,10,0),"")</f>
        <v/>
      </c>
    </row>
    <row r="65" spans="2:8" s="40" customFormat="1" ht="15" customHeight="1" x14ac:dyDescent="0.3">
      <c r="B65" s="84">
        <v>24</v>
      </c>
      <c r="C65" s="1071" t="str">
        <f>IFERROR(VLOOKUP(B65,'عرض السعر'!$B$42:$O$89,4,0),"")</f>
        <v/>
      </c>
      <c r="D65" s="1071"/>
      <c r="E65" s="1072" t="str">
        <f>IFERROR(VLOOKUP(B65,'عرض السعر'!$B$42:$O$89,6,0),"")</f>
        <v/>
      </c>
      <c r="F65" s="1072"/>
      <c r="G65" s="399" t="str">
        <f>IFERROR(VLOOKUP(B65,'عرض السعر'!$B$42:$O$89,9,0),"")</f>
        <v/>
      </c>
      <c r="H65" s="86" t="str">
        <f>IFERROR(VLOOKUP(B65,'عرض السعر'!$B$42:$O$89,10,0),"")</f>
        <v/>
      </c>
    </row>
    <row r="66" spans="2:8" s="40" customFormat="1" ht="15" customHeight="1" x14ac:dyDescent="0.3">
      <c r="B66" s="84">
        <v>25</v>
      </c>
      <c r="C66" s="1071" t="str">
        <f>IFERROR(VLOOKUP(B66,'عرض السعر'!$B$42:$O$89,4,0),"")</f>
        <v/>
      </c>
      <c r="D66" s="1071"/>
      <c r="E66" s="1072" t="str">
        <f>IFERROR(VLOOKUP(B66,'عرض السعر'!$B$42:$O$89,6,0),"")</f>
        <v/>
      </c>
      <c r="F66" s="1072"/>
      <c r="G66" s="399" t="str">
        <f>IFERROR(VLOOKUP(B66,'عرض السعر'!$B$42:$O$89,9,0),"")</f>
        <v/>
      </c>
      <c r="H66" s="86" t="str">
        <f>IFERROR(VLOOKUP(B66,'عرض السعر'!$B$42:$O$89,10,0),"")</f>
        <v/>
      </c>
    </row>
    <row r="67" spans="2:8" s="40" customFormat="1" ht="15" customHeight="1" x14ac:dyDescent="0.3">
      <c r="B67" s="84">
        <v>26</v>
      </c>
      <c r="C67" s="1071" t="str">
        <f>IFERROR(VLOOKUP(B67,'عرض السعر'!$B$42:$O$89,4,0),"")</f>
        <v/>
      </c>
      <c r="D67" s="1071"/>
      <c r="E67" s="1072" t="str">
        <f>IFERROR(VLOOKUP(B67,'عرض السعر'!$B$42:$O$89,6,0),"")</f>
        <v/>
      </c>
      <c r="F67" s="1072"/>
      <c r="G67" s="399" t="str">
        <f>IFERROR(VLOOKUP(B67,'عرض السعر'!$B$42:$O$89,9,0),"")</f>
        <v/>
      </c>
      <c r="H67" s="86" t="str">
        <f>IFERROR(VLOOKUP(B67,'عرض السعر'!$B$42:$O$89,10,0),"")</f>
        <v/>
      </c>
    </row>
    <row r="68" spans="2:8" s="40" customFormat="1" ht="15" customHeight="1" x14ac:dyDescent="0.3">
      <c r="B68" s="84">
        <v>27</v>
      </c>
      <c r="C68" s="1071" t="str">
        <f>IFERROR(VLOOKUP(B68,'عرض السعر'!$B$42:$O$89,4,0),"")</f>
        <v/>
      </c>
      <c r="D68" s="1071"/>
      <c r="E68" s="1072" t="str">
        <f>IFERROR(VLOOKUP(B68,'عرض السعر'!$B$42:$O$89,6,0),"")</f>
        <v/>
      </c>
      <c r="F68" s="1072"/>
      <c r="G68" s="399" t="str">
        <f>IFERROR(VLOOKUP(B68,'عرض السعر'!$B$42:$O$89,9,0),"")</f>
        <v/>
      </c>
      <c r="H68" s="86" t="str">
        <f>IFERROR(VLOOKUP(B68,'عرض السعر'!$B$42:$O$89,10,0),"")</f>
        <v/>
      </c>
    </row>
    <row r="69" spans="2:8" s="40" customFormat="1" ht="15" customHeight="1" x14ac:dyDescent="0.3">
      <c r="B69" s="84">
        <v>28</v>
      </c>
      <c r="C69" s="1071" t="str">
        <f>IFERROR(VLOOKUP(B69,'عرض السعر'!$B$42:$O$89,4,0),"")</f>
        <v/>
      </c>
      <c r="D69" s="1071"/>
      <c r="E69" s="1072" t="str">
        <f>IFERROR(VLOOKUP(B69,'عرض السعر'!$B$42:$O$89,6,0),"")</f>
        <v/>
      </c>
      <c r="F69" s="1072"/>
      <c r="G69" s="399" t="str">
        <f>IFERROR(VLOOKUP(B69,'عرض السعر'!$B$42:$O$89,9,0),"")</f>
        <v/>
      </c>
      <c r="H69" s="86" t="str">
        <f>IFERROR(VLOOKUP(B69,'عرض السعر'!$B$42:$O$89,10,0),"")</f>
        <v/>
      </c>
    </row>
    <row r="70" spans="2:8" s="40" customFormat="1" ht="15" customHeight="1" x14ac:dyDescent="0.3">
      <c r="B70" s="84">
        <v>29</v>
      </c>
      <c r="C70" s="1071" t="str">
        <f>IFERROR(VLOOKUP(B70,'عرض السعر'!$B$42:$O$89,4,0),"")</f>
        <v/>
      </c>
      <c r="D70" s="1071"/>
      <c r="E70" s="1072" t="str">
        <f>IFERROR(VLOOKUP(B70,'عرض السعر'!$B$42:$O$89,6,0),"")</f>
        <v/>
      </c>
      <c r="F70" s="1072"/>
      <c r="G70" s="399" t="str">
        <f>IFERROR(VLOOKUP(B70,'عرض السعر'!$B$42:$O$89,9,0),"")</f>
        <v/>
      </c>
      <c r="H70" s="86" t="str">
        <f>IFERROR(VLOOKUP(B70,'عرض السعر'!$B$42:$O$89,10,0),"")</f>
        <v/>
      </c>
    </row>
    <row r="71" spans="2:8" s="40" customFormat="1" ht="15" customHeight="1" x14ac:dyDescent="0.3">
      <c r="B71" s="84">
        <v>30</v>
      </c>
      <c r="C71" s="1071" t="str">
        <f>IFERROR(VLOOKUP(B71,'عرض السعر'!$B$42:$O$89,4,0),"")</f>
        <v/>
      </c>
      <c r="D71" s="1071"/>
      <c r="E71" s="1072" t="str">
        <f>IFERROR(VLOOKUP(B71,'عرض السعر'!$B$42:$O$89,6,0),"")</f>
        <v/>
      </c>
      <c r="F71" s="1072"/>
      <c r="G71" s="399" t="str">
        <f>IFERROR(VLOOKUP(B71,'عرض السعر'!$B$42:$O$89,9,0),"")</f>
        <v/>
      </c>
      <c r="H71" s="86" t="str">
        <f>IFERROR(VLOOKUP(B71,'عرض السعر'!$B$42:$O$89,10,0),"")</f>
        <v/>
      </c>
    </row>
    <row r="72" spans="2:8" s="40" customFormat="1" ht="15" customHeight="1" x14ac:dyDescent="0.3">
      <c r="B72" s="84">
        <v>31</v>
      </c>
      <c r="C72" s="1071" t="str">
        <f>IFERROR(VLOOKUP(B72,'عرض السعر'!$B$42:$O$89,4,0),"")</f>
        <v/>
      </c>
      <c r="D72" s="1071"/>
      <c r="E72" s="1072" t="str">
        <f>IFERROR(VLOOKUP(B72,'عرض السعر'!$B$42:$O$89,6,0),"")</f>
        <v/>
      </c>
      <c r="F72" s="1072"/>
      <c r="G72" s="399" t="str">
        <f>IFERROR(VLOOKUP(B72,'عرض السعر'!$B$42:$O$89,9,0),"")</f>
        <v/>
      </c>
      <c r="H72" s="86" t="str">
        <f>IFERROR(VLOOKUP(B72,'عرض السعر'!$B$42:$O$89,10,0),"")</f>
        <v/>
      </c>
    </row>
    <row r="73" spans="2:8" s="40" customFormat="1" ht="15" customHeight="1" x14ac:dyDescent="0.3">
      <c r="B73" s="84">
        <v>32</v>
      </c>
      <c r="C73" s="1071" t="str">
        <f>IFERROR(VLOOKUP(B73,'عرض السعر'!$B$42:$O$89,4,0),"")</f>
        <v/>
      </c>
      <c r="D73" s="1071"/>
      <c r="E73" s="1072" t="str">
        <f>IFERROR(VLOOKUP(B73,'عرض السعر'!$B$42:$O$89,6,0),"")</f>
        <v/>
      </c>
      <c r="F73" s="1072"/>
      <c r="G73" s="399" t="str">
        <f>IFERROR(VLOOKUP(B73,'عرض السعر'!$B$42:$O$89,9,0),"")</f>
        <v/>
      </c>
      <c r="H73" s="86" t="str">
        <f>IFERROR(VLOOKUP(B73,'عرض السعر'!$B$42:$O$89,10,0),"")</f>
        <v/>
      </c>
    </row>
    <row r="74" spans="2:8" s="40" customFormat="1" ht="15" customHeight="1" x14ac:dyDescent="0.3">
      <c r="B74" s="84">
        <v>33</v>
      </c>
      <c r="C74" s="1071" t="str">
        <f>IFERROR(VLOOKUP(B74,'عرض السعر'!$B$42:$O$89,4,0),"")</f>
        <v/>
      </c>
      <c r="D74" s="1071"/>
      <c r="E74" s="1072" t="str">
        <f>IFERROR(VLOOKUP(B74,'عرض السعر'!$B$42:$O$89,6,0),"")</f>
        <v/>
      </c>
      <c r="F74" s="1072"/>
      <c r="G74" s="399" t="str">
        <f>IFERROR(VLOOKUP(B74,'عرض السعر'!$B$42:$O$89,9,0),"")</f>
        <v/>
      </c>
      <c r="H74" s="86" t="str">
        <f>IFERROR(VLOOKUP(B74,'عرض السعر'!$B$42:$O$89,10,0),"")</f>
        <v/>
      </c>
    </row>
    <row r="75" spans="2:8" s="40" customFormat="1" ht="15" customHeight="1" x14ac:dyDescent="0.3">
      <c r="B75" s="84">
        <v>34</v>
      </c>
      <c r="C75" s="1071" t="str">
        <f>IFERROR(VLOOKUP(B75,'عرض السعر'!$B$42:$O$89,4,0),"")</f>
        <v/>
      </c>
      <c r="D75" s="1071"/>
      <c r="E75" s="1072" t="str">
        <f>IFERROR(VLOOKUP(B75,'عرض السعر'!$B$42:$O$89,6,0),"")</f>
        <v/>
      </c>
      <c r="F75" s="1072"/>
      <c r="G75" s="399" t="str">
        <f>IFERROR(VLOOKUP(B75,'عرض السعر'!$B$42:$O$89,9,0),"")</f>
        <v/>
      </c>
      <c r="H75" s="86" t="str">
        <f>IFERROR(VLOOKUP(B75,'عرض السعر'!$B$42:$O$89,10,0),"")</f>
        <v/>
      </c>
    </row>
    <row r="76" spans="2:8" s="40" customFormat="1" ht="15" customHeight="1" x14ac:dyDescent="0.3">
      <c r="B76" s="84">
        <v>35</v>
      </c>
      <c r="C76" s="1071" t="str">
        <f>IFERROR(VLOOKUP(B76,'عرض السعر'!$B$42:$O$89,4,0),"")</f>
        <v/>
      </c>
      <c r="D76" s="1071"/>
      <c r="E76" s="1072" t="str">
        <f>IFERROR(VLOOKUP(B76,'عرض السعر'!$B$42:$O$89,6,0),"")</f>
        <v/>
      </c>
      <c r="F76" s="1072"/>
      <c r="G76" s="399" t="str">
        <f>IFERROR(VLOOKUP(B76,'عرض السعر'!$B$42:$O$89,9,0),"")</f>
        <v/>
      </c>
      <c r="H76" s="86" t="str">
        <f>IFERROR(VLOOKUP(B76,'عرض السعر'!$B$42:$O$89,10,0),"")</f>
        <v/>
      </c>
    </row>
    <row r="77" spans="2:8" s="40" customFormat="1" ht="15" customHeight="1" x14ac:dyDescent="0.3">
      <c r="B77" s="84">
        <v>36</v>
      </c>
      <c r="C77" s="1071" t="str">
        <f>IFERROR(VLOOKUP(B77,'عرض السعر'!$B$42:$O$89,4,0),"")</f>
        <v/>
      </c>
      <c r="D77" s="1071"/>
      <c r="E77" s="1072" t="str">
        <f>IFERROR(VLOOKUP(B77,'عرض السعر'!$B$42:$O$89,6,0),"")</f>
        <v/>
      </c>
      <c r="F77" s="1072"/>
      <c r="G77" s="399" t="str">
        <f>IFERROR(VLOOKUP(B77,'عرض السعر'!$B$42:$O$89,9,0),"")</f>
        <v/>
      </c>
      <c r="H77" s="86" t="str">
        <f>IFERROR(VLOOKUP(B77,'عرض السعر'!$B$42:$O$89,10,0),"")</f>
        <v/>
      </c>
    </row>
    <row r="78" spans="2:8" s="40" customFormat="1" ht="15" customHeight="1" x14ac:dyDescent="0.3">
      <c r="B78" s="84">
        <v>37</v>
      </c>
      <c r="C78" s="1071" t="str">
        <f>IFERROR(VLOOKUP(B78,'عرض السعر'!$B$42:$O$89,4,0),"")</f>
        <v/>
      </c>
      <c r="D78" s="1071"/>
      <c r="E78" s="1072" t="str">
        <f>IFERROR(VLOOKUP(B78,'عرض السعر'!$B$42:$O$89,6,0),"")</f>
        <v/>
      </c>
      <c r="F78" s="1072"/>
      <c r="G78" s="399" t="str">
        <f>IFERROR(VLOOKUP(B78,'عرض السعر'!$B$42:$O$89,9,0),"")</f>
        <v/>
      </c>
      <c r="H78" s="86" t="str">
        <f>IFERROR(VLOOKUP(B78,'عرض السعر'!$B$42:$O$89,10,0),"")</f>
        <v/>
      </c>
    </row>
    <row r="79" spans="2:8" s="40" customFormat="1" ht="15" customHeight="1" x14ac:dyDescent="0.3">
      <c r="B79" s="84">
        <v>38</v>
      </c>
      <c r="C79" s="1071" t="str">
        <f>IFERROR(VLOOKUP(B79,'عرض السعر'!$B$42:$O$89,4,0),"")</f>
        <v/>
      </c>
      <c r="D79" s="1071"/>
      <c r="E79" s="1072" t="str">
        <f>IFERROR(VLOOKUP(B79,'عرض السعر'!$B$42:$O$89,6,0),"")</f>
        <v/>
      </c>
      <c r="F79" s="1072"/>
      <c r="G79" s="399" t="str">
        <f>IFERROR(VLOOKUP(B79,'عرض السعر'!$B$42:$O$89,9,0),"")</f>
        <v/>
      </c>
      <c r="H79" s="86" t="str">
        <f>IFERROR(VLOOKUP(B79,'عرض السعر'!$B$42:$O$89,10,0),"")</f>
        <v/>
      </c>
    </row>
    <row r="80" spans="2:8" s="40" customFormat="1" ht="15" customHeight="1" x14ac:dyDescent="0.3">
      <c r="B80" s="84">
        <v>39</v>
      </c>
      <c r="C80" s="1071" t="str">
        <f>IFERROR(VLOOKUP(B80,'عرض السعر'!$B$42:$O$89,4,0),"")</f>
        <v/>
      </c>
      <c r="D80" s="1071"/>
      <c r="E80" s="1072" t="str">
        <f>IFERROR(VLOOKUP(B80,'عرض السعر'!$B$42:$O$89,6,0),"")</f>
        <v/>
      </c>
      <c r="F80" s="1072"/>
      <c r="G80" s="399" t="str">
        <f>IFERROR(VLOOKUP(B80,'عرض السعر'!$B$42:$O$89,9,0),"")</f>
        <v/>
      </c>
      <c r="H80" s="86" t="str">
        <f>IFERROR(VLOOKUP(B80,'عرض السعر'!$B$42:$O$89,10,0),"")</f>
        <v/>
      </c>
    </row>
    <row r="81" spans="2:8" s="40" customFormat="1" ht="15" customHeight="1" x14ac:dyDescent="0.3">
      <c r="B81" s="84">
        <v>40</v>
      </c>
      <c r="C81" s="1071" t="str">
        <f>IFERROR(VLOOKUP(B81,'عرض السعر'!$B$42:$O$89,4,0),"")</f>
        <v/>
      </c>
      <c r="D81" s="1071"/>
      <c r="E81" s="1072" t="str">
        <f>IFERROR(VLOOKUP(B81,'عرض السعر'!$B$42:$O$89,6,0),"")</f>
        <v/>
      </c>
      <c r="F81" s="1072"/>
      <c r="G81" s="399" t="str">
        <f>IFERROR(VLOOKUP(B81,'عرض السعر'!$B$42:$O$89,9,0),"")</f>
        <v/>
      </c>
      <c r="H81" s="86" t="str">
        <f>IFERROR(VLOOKUP(B81,'عرض السعر'!$B$42:$O$89,10,0),"")</f>
        <v/>
      </c>
    </row>
    <row r="82" spans="2:8" s="40" customFormat="1" ht="15" customHeight="1" x14ac:dyDescent="0.3">
      <c r="B82" s="84">
        <v>41</v>
      </c>
      <c r="C82" s="1071" t="str">
        <f>IFERROR(VLOOKUP(B82,'عرض السعر'!$B$42:$O$89,4,0),"")</f>
        <v/>
      </c>
      <c r="D82" s="1071"/>
      <c r="E82" s="1072" t="str">
        <f>IFERROR(VLOOKUP(B82,'عرض السعر'!$B$42:$O$89,6,0),"")</f>
        <v/>
      </c>
      <c r="F82" s="1072"/>
      <c r="G82" s="399" t="str">
        <f>IFERROR(VLOOKUP(B82,'عرض السعر'!$B$42:$O$89,9,0),"")</f>
        <v/>
      </c>
      <c r="H82" s="86" t="str">
        <f>IFERROR(VLOOKUP(B82,'عرض السعر'!$B$42:$O$89,10,0),"")</f>
        <v/>
      </c>
    </row>
    <row r="83" spans="2:8" s="40" customFormat="1" ht="15" customHeight="1" x14ac:dyDescent="0.3">
      <c r="B83" s="84">
        <v>42</v>
      </c>
      <c r="C83" s="1071" t="str">
        <f>IFERROR(VLOOKUP(B83,'عرض السعر'!$B$42:$O$89,4,0),"")</f>
        <v/>
      </c>
      <c r="D83" s="1071"/>
      <c r="E83" s="1072" t="str">
        <f>IFERROR(VLOOKUP(B83,'عرض السعر'!$B$42:$O$89,6,0),"")</f>
        <v/>
      </c>
      <c r="F83" s="1072"/>
      <c r="G83" s="399" t="str">
        <f>IFERROR(VLOOKUP(B83,'عرض السعر'!$B$42:$O$89,9,0),"")</f>
        <v/>
      </c>
      <c r="H83" s="86" t="str">
        <f>IFERROR(VLOOKUP(B83,'عرض السعر'!$B$42:$O$89,10,0),"")</f>
        <v/>
      </c>
    </row>
    <row r="84" spans="2:8" s="40" customFormat="1" ht="15" customHeight="1" x14ac:dyDescent="0.3">
      <c r="B84" s="84">
        <v>43</v>
      </c>
      <c r="C84" s="1071" t="str">
        <f>IFERROR(VLOOKUP(B84,'عرض السعر'!$B$42:$O$89,4,0),"")</f>
        <v/>
      </c>
      <c r="D84" s="1071"/>
      <c r="E84" s="1072" t="str">
        <f>IFERROR(VLOOKUP(B84,'عرض السعر'!$B$42:$O$89,6,0),"")</f>
        <v/>
      </c>
      <c r="F84" s="1072"/>
      <c r="G84" s="399" t="str">
        <f>IFERROR(VLOOKUP(B84,'عرض السعر'!$B$42:$O$89,9,0),"")</f>
        <v/>
      </c>
      <c r="H84" s="86" t="str">
        <f>IFERROR(VLOOKUP(B84,'عرض السعر'!$B$42:$O$89,10,0),"")</f>
        <v/>
      </c>
    </row>
    <row r="85" spans="2:8" s="40" customFormat="1" ht="15" customHeight="1" x14ac:dyDescent="0.3">
      <c r="B85" s="84">
        <v>44</v>
      </c>
      <c r="C85" s="1071" t="str">
        <f>IFERROR(VLOOKUP(B85,'عرض السعر'!$B$42:$O$89,4,0),"")</f>
        <v/>
      </c>
      <c r="D85" s="1071"/>
      <c r="E85" s="1072" t="str">
        <f>IFERROR(VLOOKUP(B85,'عرض السعر'!$B$42:$O$89,6,0),"")</f>
        <v/>
      </c>
      <c r="F85" s="1072"/>
      <c r="G85" s="399" t="str">
        <f>IFERROR(VLOOKUP(B85,'عرض السعر'!$B$42:$O$89,9,0),"")</f>
        <v/>
      </c>
      <c r="H85" s="86" t="str">
        <f>IFERROR(VLOOKUP(B85,'عرض السعر'!$B$42:$O$89,10,0),"")</f>
        <v/>
      </c>
    </row>
    <row r="86" spans="2:8" s="40" customFormat="1" ht="15" customHeight="1" x14ac:dyDescent="0.3">
      <c r="B86" s="84">
        <v>45</v>
      </c>
      <c r="C86" s="1071" t="str">
        <f>IFERROR(VLOOKUP(B86,'عرض السعر'!$B$42:$O$89,4,0),"")</f>
        <v/>
      </c>
      <c r="D86" s="1071"/>
      <c r="E86" s="1072" t="str">
        <f>IFERROR(VLOOKUP(B86,'عرض السعر'!$B$42:$O$89,6,0),"")</f>
        <v/>
      </c>
      <c r="F86" s="1072"/>
      <c r="G86" s="399" t="str">
        <f>IFERROR(VLOOKUP(B86,'عرض السعر'!$B$42:$O$89,9,0),"")</f>
        <v/>
      </c>
      <c r="H86" s="86" t="str">
        <f>IFERROR(VLOOKUP(B86,'عرض السعر'!$B$42:$O$89,10,0),"")</f>
        <v/>
      </c>
    </row>
    <row r="87" spans="2:8" s="40" customFormat="1" ht="15" customHeight="1" x14ac:dyDescent="0.3">
      <c r="B87" s="84">
        <v>46</v>
      </c>
      <c r="C87" s="1071" t="str">
        <f>IFERROR(VLOOKUP(B87,'عرض السعر'!$B$42:$O$89,4,0),"")</f>
        <v/>
      </c>
      <c r="D87" s="1071"/>
      <c r="E87" s="1072" t="str">
        <f>IFERROR(VLOOKUP(B87,'عرض السعر'!$B$42:$O$89,6,0),"")</f>
        <v/>
      </c>
      <c r="F87" s="1072"/>
      <c r="G87" s="399" t="str">
        <f>IFERROR(VLOOKUP(B87,'عرض السعر'!$B$42:$O$89,9,0),"")</f>
        <v/>
      </c>
      <c r="H87" s="86" t="str">
        <f>IFERROR(VLOOKUP(B87,'عرض السعر'!$B$42:$O$89,10,0),"")</f>
        <v/>
      </c>
    </row>
    <row r="88" spans="2:8" s="40" customFormat="1" ht="15" customHeight="1" x14ac:dyDescent="0.3">
      <c r="B88" s="84">
        <v>47</v>
      </c>
      <c r="C88" s="1071" t="str">
        <f>IFERROR(VLOOKUP(B88,'عرض السعر'!$B$42:$O$89,4,0),"")</f>
        <v/>
      </c>
      <c r="D88" s="1071"/>
      <c r="E88" s="1072" t="str">
        <f>IFERROR(VLOOKUP(B88,'عرض السعر'!$B$42:$O$89,6,0),"")</f>
        <v/>
      </c>
      <c r="F88" s="1072"/>
      <c r="G88" s="399" t="str">
        <f>IFERROR(VLOOKUP(B88,'عرض السعر'!$B$42:$O$89,9,0),"")</f>
        <v/>
      </c>
      <c r="H88" s="86" t="str">
        <f>IFERROR(VLOOKUP(B88,'عرض السعر'!$B$42:$O$89,10,0),"")</f>
        <v/>
      </c>
    </row>
    <row r="89" spans="2:8" s="40" customFormat="1" ht="15" customHeight="1" x14ac:dyDescent="0.3">
      <c r="B89" s="84">
        <v>48</v>
      </c>
      <c r="C89" s="1071" t="str">
        <f>IFERROR(VLOOKUP(B89,'عرض السعر'!$B$42:$O$89,4,0),"")</f>
        <v/>
      </c>
      <c r="D89" s="1071"/>
      <c r="E89" s="1072" t="str">
        <f>IFERROR(VLOOKUP(B89,'عرض السعر'!$B$42:$O$89,6,0),"")</f>
        <v/>
      </c>
      <c r="F89" s="1072"/>
      <c r="G89" s="399" t="str">
        <f>IFERROR(VLOOKUP(B89,'عرض السعر'!$B$42:$O$89,9,0),"")</f>
        <v/>
      </c>
      <c r="H89" s="86" t="str">
        <f>IFERROR(VLOOKUP(B89,'عرض السعر'!$B$42:$O$89,10,0),"")</f>
        <v/>
      </c>
    </row>
    <row r="90" spans="2:8" s="87" customFormat="1" x14ac:dyDescent="0.3">
      <c r="B90" s="89"/>
      <c r="C90" s="89"/>
      <c r="D90" s="89"/>
      <c r="E90" s="89"/>
      <c r="F90" s="89"/>
      <c r="G90" s="89"/>
      <c r="H90" s="89"/>
    </row>
    <row r="91" spans="2:8" s="87" customFormat="1" x14ac:dyDescent="0.3">
      <c r="B91" s="89"/>
      <c r="C91" s="89"/>
      <c r="D91" s="89"/>
      <c r="E91" s="89"/>
      <c r="F91" s="89"/>
      <c r="G91" s="89"/>
      <c r="H91" s="89"/>
    </row>
    <row r="92" spans="2:8" s="87" customFormat="1" x14ac:dyDescent="0.3">
      <c r="B92" s="89"/>
      <c r="C92" s="89"/>
      <c r="D92" s="89"/>
      <c r="E92" s="89"/>
      <c r="F92" s="89"/>
      <c r="G92" s="89"/>
      <c r="H92" s="89"/>
    </row>
    <row r="93" spans="2:8" s="87" customFormat="1" x14ac:dyDescent="0.3">
      <c r="B93" s="89"/>
      <c r="C93" s="89"/>
      <c r="D93" s="89"/>
      <c r="E93" s="89"/>
      <c r="F93" s="89"/>
      <c r="G93" s="89"/>
      <c r="H93" s="89"/>
    </row>
    <row r="94" spans="2:8" s="87" customFormat="1" x14ac:dyDescent="0.3">
      <c r="B94" s="89"/>
      <c r="C94" s="89"/>
      <c r="D94" s="89"/>
      <c r="E94" s="89"/>
      <c r="F94" s="89"/>
      <c r="G94" s="89"/>
      <c r="H94" s="89"/>
    </row>
    <row r="95" spans="2:8" s="87" customFormat="1" x14ac:dyDescent="0.3">
      <c r="B95" s="89"/>
      <c r="C95" s="89"/>
      <c r="D95" s="89"/>
      <c r="E95" s="89"/>
      <c r="F95" s="89"/>
      <c r="G95" s="89"/>
      <c r="H95" s="89"/>
    </row>
    <row r="96" spans="2:8" s="87" customFormat="1" x14ac:dyDescent="0.3">
      <c r="B96" s="89"/>
      <c r="C96" s="89"/>
      <c r="D96" s="89"/>
      <c r="E96" s="89"/>
      <c r="F96" s="89"/>
      <c r="G96" s="89"/>
      <c r="H96" s="89"/>
    </row>
    <row r="97" spans="2:8" s="87" customFormat="1" x14ac:dyDescent="0.3">
      <c r="B97" s="89"/>
      <c r="C97" s="89"/>
      <c r="D97" s="89"/>
      <c r="E97" s="89"/>
      <c r="F97" s="89"/>
      <c r="G97" s="89"/>
      <c r="H97" s="89"/>
    </row>
    <row r="98" spans="2:8" s="87" customFormat="1" x14ac:dyDescent="0.3">
      <c r="B98" s="89"/>
      <c r="C98" s="89"/>
      <c r="D98" s="89"/>
      <c r="E98" s="89"/>
      <c r="F98" s="89"/>
      <c r="G98" s="89"/>
      <c r="H98" s="89"/>
    </row>
    <row r="99" spans="2:8" s="87" customFormat="1" x14ac:dyDescent="0.3">
      <c r="B99" s="89"/>
      <c r="C99" s="89"/>
      <c r="D99" s="89"/>
      <c r="E99" s="89"/>
      <c r="F99" s="89"/>
      <c r="G99" s="89"/>
      <c r="H99" s="89"/>
    </row>
    <row r="100" spans="2:8" s="87" customFormat="1" x14ac:dyDescent="0.3">
      <c r="B100" s="89"/>
      <c r="C100" s="89"/>
      <c r="D100" s="89"/>
      <c r="E100" s="89"/>
      <c r="F100" s="89"/>
      <c r="G100" s="89"/>
      <c r="H100" s="89"/>
    </row>
    <row r="101" spans="2:8" s="87" customFormat="1" x14ac:dyDescent="0.3">
      <c r="B101" s="89"/>
      <c r="C101" s="89"/>
      <c r="D101" s="89"/>
      <c r="E101" s="89"/>
      <c r="F101" s="89"/>
      <c r="G101" s="89"/>
      <c r="H101" s="89"/>
    </row>
    <row r="102" spans="2:8" s="87" customFormat="1" x14ac:dyDescent="0.3">
      <c r="B102" s="89"/>
      <c r="C102" s="89"/>
      <c r="D102" s="89"/>
      <c r="E102" s="89"/>
      <c r="F102" s="89"/>
      <c r="G102" s="89"/>
      <c r="H102" s="89"/>
    </row>
    <row r="103" spans="2:8" s="87" customFormat="1" x14ac:dyDescent="0.3">
      <c r="B103" s="89"/>
      <c r="C103" s="89"/>
      <c r="D103" s="89"/>
      <c r="E103" s="89"/>
      <c r="F103" s="89"/>
      <c r="G103" s="89"/>
      <c r="H103" s="89"/>
    </row>
    <row r="104" spans="2:8" s="87" customFormat="1" x14ac:dyDescent="0.3">
      <c r="B104" s="89"/>
      <c r="C104" s="89"/>
      <c r="D104" s="89"/>
      <c r="E104" s="89"/>
      <c r="F104" s="89"/>
      <c r="G104" s="89"/>
      <c r="H104" s="89"/>
    </row>
    <row r="105" spans="2:8" s="87" customFormat="1" x14ac:dyDescent="0.3">
      <c r="B105" s="89"/>
      <c r="C105" s="89"/>
      <c r="D105" s="89"/>
      <c r="E105" s="89"/>
      <c r="F105" s="89"/>
      <c r="G105" s="89"/>
      <c r="H105" s="89"/>
    </row>
    <row r="106" spans="2:8" s="87" customFormat="1" x14ac:dyDescent="0.3">
      <c r="B106" s="89"/>
      <c r="C106" s="89"/>
      <c r="D106" s="89"/>
      <c r="E106" s="89"/>
      <c r="F106" s="89"/>
      <c r="G106" s="89"/>
      <c r="H106" s="89"/>
    </row>
  </sheetData>
  <sheetProtection formatCells="0" formatColumns="0" formatRows="0" insertColumns="0" insertRows="0" insertHyperlinks="0" deleteColumns="0" deleteRows="0" sort="0" autoFilter="0" pivotTables="0"/>
  <protectedRanges>
    <protectedRange password="CEE3" sqref="B42:B89 B14:H39" name="Range1"/>
  </protectedRanges>
  <mergeCells count="138">
    <mergeCell ref="F21:G21"/>
    <mergeCell ref="F22:G22"/>
    <mergeCell ref="F23:G23"/>
    <mergeCell ref="F17:G17"/>
    <mergeCell ref="F18:G18"/>
    <mergeCell ref="F19:G19"/>
    <mergeCell ref="F20:G20"/>
    <mergeCell ref="B5:H5"/>
    <mergeCell ref="B6:H6"/>
    <mergeCell ref="B8:C8"/>
    <mergeCell ref="B9:C9"/>
    <mergeCell ref="F12:G13"/>
    <mergeCell ref="D8:F8"/>
    <mergeCell ref="D9:F9"/>
    <mergeCell ref="B12:B13"/>
    <mergeCell ref="C12:C13"/>
    <mergeCell ref="D12:D13"/>
    <mergeCell ref="E12:E13"/>
    <mergeCell ref="F14:G14"/>
    <mergeCell ref="F15:G15"/>
    <mergeCell ref="F16:G16"/>
    <mergeCell ref="D11:E11"/>
    <mergeCell ref="F24:G24"/>
    <mergeCell ref="H12:H13"/>
    <mergeCell ref="F27:G27"/>
    <mergeCell ref="F28:G28"/>
    <mergeCell ref="F29:G29"/>
    <mergeCell ref="C46:D46"/>
    <mergeCell ref="C47:D47"/>
    <mergeCell ref="C44:D44"/>
    <mergeCell ref="C45:D45"/>
    <mergeCell ref="F25:G25"/>
    <mergeCell ref="E44:F44"/>
    <mergeCell ref="E45:F45"/>
    <mergeCell ref="E46:F46"/>
    <mergeCell ref="E47:F47"/>
    <mergeCell ref="F26:G26"/>
    <mergeCell ref="C42:D42"/>
    <mergeCell ref="C43:D43"/>
    <mergeCell ref="F35:G35"/>
    <mergeCell ref="F36:G36"/>
    <mergeCell ref="F37:G37"/>
    <mergeCell ref="F38:G38"/>
    <mergeCell ref="F39:G39"/>
    <mergeCell ref="E41:F41"/>
    <mergeCell ref="E42:F42"/>
    <mergeCell ref="F30:G30"/>
    <mergeCell ref="F31:G31"/>
    <mergeCell ref="F32:G32"/>
    <mergeCell ref="F33:G33"/>
    <mergeCell ref="F34:G34"/>
    <mergeCell ref="C50:D50"/>
    <mergeCell ref="C51:D51"/>
    <mergeCell ref="C48:D48"/>
    <mergeCell ref="C49:D49"/>
    <mergeCell ref="E43:F43"/>
    <mergeCell ref="B40:H40"/>
    <mergeCell ref="C41:D41"/>
    <mergeCell ref="C54:D54"/>
    <mergeCell ref="C55:D55"/>
    <mergeCell ref="C52:D52"/>
    <mergeCell ref="C53:D53"/>
    <mergeCell ref="E52:F52"/>
    <mergeCell ref="E53:F53"/>
    <mergeCell ref="E54:F54"/>
    <mergeCell ref="E55:F55"/>
    <mergeCell ref="E48:F48"/>
    <mergeCell ref="E49:F49"/>
    <mergeCell ref="E50:F50"/>
    <mergeCell ref="E51:F51"/>
    <mergeCell ref="C58:D58"/>
    <mergeCell ref="C59:D59"/>
    <mergeCell ref="C56:D56"/>
    <mergeCell ref="C57:D57"/>
    <mergeCell ref="E56:F56"/>
    <mergeCell ref="E57:F57"/>
    <mergeCell ref="E58:F58"/>
    <mergeCell ref="E59:F59"/>
    <mergeCell ref="C62:D62"/>
    <mergeCell ref="C63:D63"/>
    <mergeCell ref="C60:D60"/>
    <mergeCell ref="C61:D61"/>
    <mergeCell ref="E60:F60"/>
    <mergeCell ref="E61:F61"/>
    <mergeCell ref="E62:F62"/>
    <mergeCell ref="E63:F63"/>
    <mergeCell ref="C66:D66"/>
    <mergeCell ref="C67:D67"/>
    <mergeCell ref="C64:D64"/>
    <mergeCell ref="C65:D65"/>
    <mergeCell ref="E64:F64"/>
    <mergeCell ref="E65:F65"/>
    <mergeCell ref="E66:F66"/>
    <mergeCell ref="E67:F67"/>
    <mergeCell ref="C70:D70"/>
    <mergeCell ref="C71:D71"/>
    <mergeCell ref="C68:D68"/>
    <mergeCell ref="C69:D69"/>
    <mergeCell ref="E68:F68"/>
    <mergeCell ref="E69:F69"/>
    <mergeCell ref="E70:F70"/>
    <mergeCell ref="E71:F71"/>
    <mergeCell ref="C74:D74"/>
    <mergeCell ref="C75:D75"/>
    <mergeCell ref="C72:D72"/>
    <mergeCell ref="C73:D73"/>
    <mergeCell ref="E72:F72"/>
    <mergeCell ref="E73:F73"/>
    <mergeCell ref="E74:F74"/>
    <mergeCell ref="E75:F75"/>
    <mergeCell ref="C78:D78"/>
    <mergeCell ref="C79:D79"/>
    <mergeCell ref="C76:D76"/>
    <mergeCell ref="C77:D77"/>
    <mergeCell ref="E76:F76"/>
    <mergeCell ref="E77:F77"/>
    <mergeCell ref="E78:F78"/>
    <mergeCell ref="E79:F79"/>
    <mergeCell ref="C82:D82"/>
    <mergeCell ref="C83:D83"/>
    <mergeCell ref="C80:D80"/>
    <mergeCell ref="C81:D81"/>
    <mergeCell ref="E80:F80"/>
    <mergeCell ref="E81:F81"/>
    <mergeCell ref="E82:F82"/>
    <mergeCell ref="E83:F83"/>
    <mergeCell ref="C86:D86"/>
    <mergeCell ref="C87:D87"/>
    <mergeCell ref="C84:D84"/>
    <mergeCell ref="C85:D85"/>
    <mergeCell ref="E84:F84"/>
    <mergeCell ref="E85:F85"/>
    <mergeCell ref="E86:F86"/>
    <mergeCell ref="E87:F87"/>
    <mergeCell ref="C88:D88"/>
    <mergeCell ref="C89:D89"/>
    <mergeCell ref="E88:F88"/>
    <mergeCell ref="E89:F89"/>
  </mergeCells>
  <conditionalFormatting sqref="B14:F39 H14:H39">
    <cfRule type="cellIs" dxfId="1" priority="3" operator="equal">
      <formula>0</formula>
    </cfRule>
  </conditionalFormatting>
  <conditionalFormatting sqref="D8:D9">
    <cfRule type="cellIs" dxfId="0" priority="1" operator="equal">
      <formula>0</formula>
    </cfRule>
  </conditionalFormatting>
  <dataValidations count="1">
    <dataValidation type="list" allowBlank="1" showInputMessage="1" sqref="D11" xr:uid="{00000000-0002-0000-0400-000000000000}">
      <formula1>$A$4:$A$5</formula1>
    </dataValidation>
  </dataValidations>
  <printOptions horizontalCentered="1"/>
  <pageMargins left="0" right="0" top="0" bottom="0" header="0" footer="0"/>
  <pageSetup paperSize="9" scale="96" orientation="portrait" r:id="rId1"/>
  <headerFooter>
    <oddFooter>&amp;L&amp;"-,Bold"&amp;P/&amp;N&amp;C&amp;8تاريخ الإصدار: 14/2/2019 تاريخ المراجعة:&amp;R&amp;9رمز الوثيقة: NEW-Vision-001 رقم الإصدار: V 2.0.0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>
    <tabColor theme="1"/>
    <pageSetUpPr autoPageBreaks="0"/>
  </sheetPr>
  <dimension ref="B1:AA412"/>
  <sheetViews>
    <sheetView rightToLeft="1" view="pageBreakPreview" zoomScale="130" zoomScaleNormal="100" zoomScaleSheetLayoutView="130" workbookViewId="0">
      <selection activeCell="C89" sqref="C89"/>
    </sheetView>
  </sheetViews>
  <sheetFormatPr defaultColWidth="11" defaultRowHeight="14.4" x14ac:dyDescent="0.3"/>
  <cols>
    <col min="1" max="1" width="17.33203125" customWidth="1"/>
    <col min="2" max="2" width="15.33203125" customWidth="1"/>
    <col min="3" max="3" width="21.33203125" customWidth="1"/>
    <col min="4" max="4" width="28.88671875" customWidth="1"/>
    <col min="8" max="8" width="36.5546875" style="2" hidden="1" customWidth="1"/>
    <col min="27" max="27" width="22.44140625" style="2" customWidth="1"/>
  </cols>
  <sheetData>
    <row r="1" spans="2:27" ht="15" customHeight="1" x14ac:dyDescent="0.3">
      <c r="B1" s="1"/>
      <c r="C1" s="1"/>
      <c r="D1" s="1"/>
      <c r="E1" s="1"/>
      <c r="F1" s="1"/>
      <c r="G1" s="1"/>
      <c r="AA1" s="408"/>
    </row>
    <row r="2" spans="2:27" ht="15" customHeight="1" x14ac:dyDescent="0.3">
      <c r="B2" s="1"/>
      <c r="C2" s="1"/>
      <c r="D2" s="1"/>
      <c r="E2" s="1"/>
      <c r="F2" s="1"/>
      <c r="G2" s="1"/>
      <c r="AA2" s="408"/>
    </row>
    <row r="3" spans="2:27" ht="15" customHeight="1" x14ac:dyDescent="0.3">
      <c r="B3" s="1"/>
      <c r="C3" s="385" t="s">
        <v>367</v>
      </c>
      <c r="D3" s="386">
        <f>'طلب التصنيع'!T5</f>
        <v>0</v>
      </c>
      <c r="E3" s="1"/>
      <c r="F3" s="1"/>
      <c r="G3" s="1"/>
      <c r="AA3" s="408"/>
    </row>
    <row r="4" spans="2:27" ht="15" customHeight="1" x14ac:dyDescent="0.3">
      <c r="B4" s="1"/>
      <c r="C4" s="1"/>
      <c r="D4" s="1"/>
      <c r="E4" s="1"/>
      <c r="F4" s="1"/>
      <c r="G4" s="1"/>
      <c r="AA4" s="408" t="s">
        <v>363</v>
      </c>
    </row>
    <row r="5" spans="2:27" ht="15" customHeight="1" x14ac:dyDescent="0.3">
      <c r="B5" s="1"/>
      <c r="C5" s="1"/>
      <c r="D5" s="1"/>
      <c r="E5" s="1"/>
      <c r="F5" s="1"/>
      <c r="G5" s="1"/>
      <c r="AA5" s="408" t="s">
        <v>365</v>
      </c>
    </row>
    <row r="6" spans="2:27" ht="15" customHeight="1" x14ac:dyDescent="0.3">
      <c r="B6" s="1"/>
      <c r="C6" s="1"/>
      <c r="D6" s="1"/>
      <c r="E6" s="1"/>
      <c r="F6" s="1"/>
      <c r="G6" s="1"/>
      <c r="AA6" s="408" t="s">
        <v>366</v>
      </c>
    </row>
    <row r="7" spans="2:27" ht="15" customHeight="1" x14ac:dyDescent="0.3">
      <c r="B7" s="1"/>
      <c r="C7" s="1"/>
      <c r="D7" s="1"/>
      <c r="E7" s="1"/>
      <c r="F7" s="1"/>
      <c r="G7" s="1"/>
      <c r="AA7" s="408" t="s">
        <v>400</v>
      </c>
    </row>
    <row r="8" spans="2:27" ht="46.2" x14ac:dyDescent="0.85">
      <c r="B8" s="1081" t="s">
        <v>231</v>
      </c>
      <c r="C8" s="1081"/>
      <c r="D8" s="1081"/>
      <c r="E8" s="1081"/>
      <c r="F8" s="1081"/>
      <c r="G8" s="175"/>
      <c r="H8" s="175"/>
      <c r="AA8" s="408" t="s">
        <v>401</v>
      </c>
    </row>
    <row r="9" spans="2:27" ht="23.4" x14ac:dyDescent="0.3">
      <c r="B9" s="1"/>
      <c r="C9" s="1"/>
      <c r="D9" s="1"/>
      <c r="E9" s="1"/>
      <c r="F9" s="1"/>
      <c r="G9" s="1"/>
      <c r="AA9" s="408" t="s">
        <v>368</v>
      </c>
    </row>
    <row r="10" spans="2:27" ht="26.25" customHeight="1" x14ac:dyDescent="0.3">
      <c r="B10" s="1"/>
      <c r="C10" s="1"/>
      <c r="D10" s="1083">
        <v>42826</v>
      </c>
      <c r="E10" s="1084"/>
      <c r="F10" s="1084"/>
      <c r="G10" s="174"/>
      <c r="H10" s="174"/>
      <c r="AA10" s="408"/>
    </row>
    <row r="11" spans="2:27" ht="15" customHeight="1" x14ac:dyDescent="0.3">
      <c r="B11" s="1"/>
      <c r="C11" s="1"/>
      <c r="D11" s="1"/>
      <c r="E11" s="1"/>
      <c r="F11" s="1"/>
      <c r="G11" s="1"/>
    </row>
    <row r="12" spans="2:27" ht="21" customHeight="1" x14ac:dyDescent="0.3">
      <c r="B12" s="1"/>
      <c r="C12" s="1"/>
      <c r="D12" s="176" t="s">
        <v>10</v>
      </c>
      <c r="E12" s="176" t="s">
        <v>11</v>
      </c>
      <c r="F12" s="176" t="s">
        <v>12</v>
      </c>
      <c r="G12" s="176"/>
      <c r="H12" s="407" t="s">
        <v>12</v>
      </c>
    </row>
    <row r="13" spans="2:27" ht="15.75" customHeight="1" x14ac:dyDescent="0.3">
      <c r="B13" s="1"/>
      <c r="C13" s="216" t="s">
        <v>418</v>
      </c>
      <c r="D13" s="244" t="s">
        <v>446</v>
      </c>
      <c r="E13" s="244" t="s">
        <v>1</v>
      </c>
      <c r="F13" s="245">
        <v>1</v>
      </c>
      <c r="G13" s="246">
        <v>4.5999999999999996</v>
      </c>
      <c r="H13" s="370" t="s">
        <v>160</v>
      </c>
    </row>
    <row r="14" spans="2:27" ht="15.75" customHeight="1" x14ac:dyDescent="0.3">
      <c r="B14" s="1"/>
      <c r="C14" s="216" t="s">
        <v>234</v>
      </c>
      <c r="D14" s="244" t="s">
        <v>257</v>
      </c>
      <c r="E14" s="244" t="s">
        <v>1</v>
      </c>
      <c r="F14" s="245">
        <v>1</v>
      </c>
      <c r="G14" s="247">
        <v>5.8</v>
      </c>
      <c r="H14" s="370" t="s">
        <v>160</v>
      </c>
    </row>
    <row r="15" spans="2:27" ht="15.75" customHeight="1" x14ac:dyDescent="0.3">
      <c r="B15" s="1"/>
      <c r="C15" s="217" t="s">
        <v>235</v>
      </c>
      <c r="D15" s="244" t="s">
        <v>258</v>
      </c>
      <c r="E15" s="244" t="s">
        <v>1</v>
      </c>
      <c r="F15" s="245">
        <v>1</v>
      </c>
      <c r="G15" s="247">
        <v>5.5</v>
      </c>
      <c r="H15" s="370" t="s">
        <v>160</v>
      </c>
    </row>
    <row r="16" spans="2:27" ht="15.75" customHeight="1" x14ac:dyDescent="0.3">
      <c r="B16" s="1"/>
      <c r="C16" s="217" t="s">
        <v>236</v>
      </c>
      <c r="D16" s="244" t="s">
        <v>259</v>
      </c>
      <c r="E16" s="244" t="s">
        <v>1</v>
      </c>
      <c r="F16" s="245">
        <v>1</v>
      </c>
      <c r="G16" s="247">
        <v>5.5</v>
      </c>
      <c r="H16" s="370" t="s">
        <v>160</v>
      </c>
    </row>
    <row r="17" spans="2:8" ht="15.75" customHeight="1" x14ac:dyDescent="0.3">
      <c r="B17" s="1"/>
      <c r="C17" s="217" t="s">
        <v>237</v>
      </c>
      <c r="D17" s="244" t="s">
        <v>260</v>
      </c>
      <c r="E17" s="244" t="s">
        <v>1</v>
      </c>
      <c r="F17" s="245">
        <v>1</v>
      </c>
      <c r="G17" s="247">
        <v>5.5</v>
      </c>
      <c r="H17" s="370" t="s">
        <v>160</v>
      </c>
    </row>
    <row r="18" spans="2:8" ht="15.75" customHeight="1" x14ac:dyDescent="0.3">
      <c r="B18" s="1"/>
      <c r="C18" s="217" t="s">
        <v>238</v>
      </c>
      <c r="D18" s="244" t="s">
        <v>261</v>
      </c>
      <c r="E18" s="244" t="s">
        <v>1</v>
      </c>
      <c r="F18" s="245">
        <v>1</v>
      </c>
      <c r="G18" s="247">
        <v>4.25</v>
      </c>
      <c r="H18" s="370" t="s">
        <v>160</v>
      </c>
    </row>
    <row r="19" spans="2:8" ht="15.75" customHeight="1" x14ac:dyDescent="0.3">
      <c r="B19" s="1"/>
      <c r="C19" s="216" t="s">
        <v>239</v>
      </c>
      <c r="D19" s="244" t="s">
        <v>262</v>
      </c>
      <c r="E19" s="244" t="s">
        <v>1</v>
      </c>
      <c r="F19" s="245">
        <v>1</v>
      </c>
      <c r="G19" s="246">
        <v>5.5</v>
      </c>
      <c r="H19" s="370" t="s">
        <v>160</v>
      </c>
    </row>
    <row r="20" spans="2:8" ht="15.75" customHeight="1" x14ac:dyDescent="0.3">
      <c r="B20" s="1"/>
      <c r="C20" s="216" t="s">
        <v>240</v>
      </c>
      <c r="D20" s="244" t="s">
        <v>263</v>
      </c>
      <c r="E20" s="244" t="s">
        <v>1</v>
      </c>
      <c r="F20" s="245">
        <v>1</v>
      </c>
      <c r="G20" s="246">
        <v>3.9</v>
      </c>
      <c r="H20" s="370" t="s">
        <v>160</v>
      </c>
    </row>
    <row r="21" spans="2:8" ht="15.75" customHeight="1" x14ac:dyDescent="0.3">
      <c r="B21" s="1"/>
      <c r="C21" s="217" t="s">
        <v>241</v>
      </c>
      <c r="D21" s="244" t="s">
        <v>264</v>
      </c>
      <c r="E21" s="244" t="s">
        <v>1</v>
      </c>
      <c r="F21" s="245">
        <v>1</v>
      </c>
      <c r="G21" s="246">
        <v>5.5</v>
      </c>
      <c r="H21" s="370" t="s">
        <v>160</v>
      </c>
    </row>
    <row r="22" spans="2:8" ht="15.75" customHeight="1" x14ac:dyDescent="0.3">
      <c r="B22" s="1"/>
      <c r="C22" s="218" t="s">
        <v>242</v>
      </c>
      <c r="D22" s="244" t="s">
        <v>265</v>
      </c>
      <c r="E22" s="244" t="s">
        <v>1</v>
      </c>
      <c r="F22" s="245">
        <v>1</v>
      </c>
      <c r="G22" s="246">
        <v>4.25</v>
      </c>
      <c r="H22" s="370" t="s">
        <v>160</v>
      </c>
    </row>
    <row r="23" spans="2:8" ht="15.75" customHeight="1" x14ac:dyDescent="0.3">
      <c r="B23" s="1"/>
      <c r="C23" s="218" t="s">
        <v>243</v>
      </c>
      <c r="D23" s="244" t="s">
        <v>266</v>
      </c>
      <c r="E23" s="244" t="s">
        <v>1</v>
      </c>
      <c r="F23" s="245">
        <v>1</v>
      </c>
      <c r="G23" s="246">
        <v>5.5</v>
      </c>
      <c r="H23" s="370" t="s">
        <v>160</v>
      </c>
    </row>
    <row r="24" spans="2:8" ht="15.75" customHeight="1" x14ac:dyDescent="0.3">
      <c r="B24" s="1"/>
      <c r="C24" s="218" t="s">
        <v>244</v>
      </c>
      <c r="D24" s="244" t="s">
        <v>267</v>
      </c>
      <c r="E24" s="244" t="s">
        <v>1</v>
      </c>
      <c r="F24" s="245">
        <v>1</v>
      </c>
      <c r="G24" s="246">
        <v>4.5</v>
      </c>
      <c r="H24" s="370" t="s">
        <v>160</v>
      </c>
    </row>
    <row r="25" spans="2:8" ht="15.75" customHeight="1" x14ac:dyDescent="0.3">
      <c r="B25" s="1"/>
      <c r="C25" s="218" t="s">
        <v>245</v>
      </c>
      <c r="D25" s="244" t="s">
        <v>268</v>
      </c>
      <c r="E25" s="244" t="s">
        <v>1</v>
      </c>
      <c r="F25" s="245">
        <v>1</v>
      </c>
      <c r="G25" s="246">
        <v>5.5</v>
      </c>
      <c r="H25" s="370" t="s">
        <v>160</v>
      </c>
    </row>
    <row r="26" spans="2:8" ht="15.75" customHeight="1" x14ac:dyDescent="0.3">
      <c r="B26" s="1"/>
      <c r="C26" s="218" t="s">
        <v>246</v>
      </c>
      <c r="D26" s="244" t="s">
        <v>269</v>
      </c>
      <c r="E26" s="244" t="s">
        <v>1</v>
      </c>
      <c r="F26" s="245">
        <v>1</v>
      </c>
      <c r="G26" s="246">
        <v>4.5</v>
      </c>
      <c r="H26" s="370" t="s">
        <v>160</v>
      </c>
    </row>
    <row r="27" spans="2:8" ht="15.75" customHeight="1" x14ac:dyDescent="0.3">
      <c r="B27" s="1"/>
      <c r="C27" s="593" t="s">
        <v>247</v>
      </c>
      <c r="D27" s="244" t="s">
        <v>270</v>
      </c>
      <c r="E27" s="244" t="s">
        <v>1</v>
      </c>
      <c r="F27" s="245">
        <v>1</v>
      </c>
      <c r="G27" s="246">
        <v>5.5</v>
      </c>
      <c r="H27" s="370" t="s">
        <v>160</v>
      </c>
    </row>
    <row r="28" spans="2:8" ht="15.75" customHeight="1" x14ac:dyDescent="0.3">
      <c r="B28" s="1"/>
      <c r="C28" s="594" t="s">
        <v>419</v>
      </c>
      <c r="D28" s="244" t="s">
        <v>448</v>
      </c>
      <c r="E28" s="244" t="s">
        <v>1</v>
      </c>
      <c r="F28" s="245">
        <v>1</v>
      </c>
      <c r="G28" s="246">
        <v>5</v>
      </c>
      <c r="H28" s="370"/>
    </row>
    <row r="29" spans="2:8" ht="15.75" customHeight="1" x14ac:dyDescent="0.3">
      <c r="B29" s="1"/>
      <c r="C29" s="594" t="s">
        <v>420</v>
      </c>
      <c r="D29" s="244" t="s">
        <v>449</v>
      </c>
      <c r="E29" s="244" t="s">
        <v>1</v>
      </c>
      <c r="F29" s="245">
        <v>1</v>
      </c>
      <c r="G29" s="246">
        <v>5</v>
      </c>
      <c r="H29" s="370"/>
    </row>
    <row r="30" spans="2:8" ht="15.75" customHeight="1" x14ac:dyDescent="0.3">
      <c r="B30" s="1"/>
      <c r="C30" s="594" t="s">
        <v>421</v>
      </c>
      <c r="D30" s="244" t="s">
        <v>461</v>
      </c>
      <c r="E30" s="244" t="s">
        <v>1</v>
      </c>
      <c r="F30" s="245">
        <v>1</v>
      </c>
      <c r="G30" s="246">
        <v>5.5</v>
      </c>
      <c r="H30" s="370"/>
    </row>
    <row r="31" spans="2:8" ht="15.75" customHeight="1" x14ac:dyDescent="0.3">
      <c r="B31" s="1"/>
      <c r="C31" s="594" t="s">
        <v>422</v>
      </c>
      <c r="D31" s="244" t="s">
        <v>450</v>
      </c>
      <c r="E31" s="244" t="s">
        <v>1</v>
      </c>
      <c r="F31" s="245">
        <v>1</v>
      </c>
      <c r="G31" s="246">
        <v>5.5</v>
      </c>
      <c r="H31" s="370"/>
    </row>
    <row r="32" spans="2:8" ht="15.75" customHeight="1" x14ac:dyDescent="0.3">
      <c r="B32" s="1"/>
      <c r="C32" s="594" t="s">
        <v>423</v>
      </c>
      <c r="D32" s="244" t="s">
        <v>451</v>
      </c>
      <c r="E32" s="244" t="s">
        <v>1</v>
      </c>
      <c r="F32" s="245">
        <v>1</v>
      </c>
      <c r="G32" s="246">
        <v>5.8</v>
      </c>
      <c r="H32" s="370"/>
    </row>
    <row r="33" spans="2:8" ht="15.75" customHeight="1" x14ac:dyDescent="0.3">
      <c r="B33" s="1"/>
      <c r="C33" s="594" t="s">
        <v>424</v>
      </c>
      <c r="D33" s="244" t="s">
        <v>462</v>
      </c>
      <c r="E33" s="244" t="s">
        <v>1</v>
      </c>
      <c r="F33" s="245">
        <v>1</v>
      </c>
      <c r="G33" s="246">
        <v>5.8</v>
      </c>
      <c r="H33" s="370"/>
    </row>
    <row r="34" spans="2:8" ht="15.75" customHeight="1" x14ac:dyDescent="0.3">
      <c r="B34" s="1"/>
      <c r="C34" s="594" t="s">
        <v>432</v>
      </c>
      <c r="D34" s="244" t="s">
        <v>452</v>
      </c>
      <c r="E34" s="244" t="s">
        <v>1</v>
      </c>
      <c r="F34" s="245">
        <v>1</v>
      </c>
      <c r="G34" s="246">
        <v>5</v>
      </c>
      <c r="H34" s="370"/>
    </row>
    <row r="35" spans="2:8" ht="15.75" customHeight="1" x14ac:dyDescent="0.3">
      <c r="B35" s="1"/>
      <c r="C35" s="594" t="s">
        <v>425</v>
      </c>
      <c r="D35" s="244" t="s">
        <v>453</v>
      </c>
      <c r="E35" s="244" t="s">
        <v>1</v>
      </c>
      <c r="F35" s="245">
        <v>1</v>
      </c>
      <c r="G35" s="246">
        <v>5</v>
      </c>
      <c r="H35" s="370"/>
    </row>
    <row r="36" spans="2:8" ht="15.75" customHeight="1" x14ac:dyDescent="0.3">
      <c r="B36" s="1"/>
      <c r="C36" s="594" t="s">
        <v>426</v>
      </c>
      <c r="D36" s="244" t="s">
        <v>463</v>
      </c>
      <c r="E36" s="244" t="s">
        <v>1</v>
      </c>
      <c r="F36" s="245">
        <v>1</v>
      </c>
      <c r="G36" s="246">
        <v>5.5</v>
      </c>
      <c r="H36" s="370"/>
    </row>
    <row r="37" spans="2:8" ht="15.75" customHeight="1" x14ac:dyDescent="0.3">
      <c r="B37" s="1"/>
      <c r="C37" s="594" t="s">
        <v>427</v>
      </c>
      <c r="D37" s="244" t="s">
        <v>454</v>
      </c>
      <c r="E37" s="244" t="s">
        <v>1</v>
      </c>
      <c r="F37" s="245">
        <v>1</v>
      </c>
      <c r="G37" s="246">
        <v>5.8</v>
      </c>
      <c r="H37" s="370"/>
    </row>
    <row r="38" spans="2:8" ht="15.75" customHeight="1" x14ac:dyDescent="0.3">
      <c r="B38" s="1"/>
      <c r="C38" s="594" t="s">
        <v>428</v>
      </c>
      <c r="D38" s="244" t="s">
        <v>455</v>
      </c>
      <c r="E38" s="244" t="s">
        <v>1</v>
      </c>
      <c r="F38" s="245">
        <v>1</v>
      </c>
      <c r="G38" s="246">
        <v>4</v>
      </c>
      <c r="H38" s="370"/>
    </row>
    <row r="39" spans="2:8" ht="15.75" customHeight="1" x14ac:dyDescent="0.3">
      <c r="B39" s="1"/>
      <c r="C39" s="594" t="s">
        <v>429</v>
      </c>
      <c r="D39" s="244" t="s">
        <v>456</v>
      </c>
      <c r="E39" s="244" t="s">
        <v>1</v>
      </c>
      <c r="F39" s="245">
        <v>1</v>
      </c>
      <c r="G39" s="246">
        <v>5</v>
      </c>
      <c r="H39" s="370"/>
    </row>
    <row r="40" spans="2:8" ht="15.75" customHeight="1" x14ac:dyDescent="0.3">
      <c r="B40" s="1"/>
      <c r="C40" s="594" t="s">
        <v>430</v>
      </c>
      <c r="D40" s="244" t="s">
        <v>464</v>
      </c>
      <c r="E40" s="244" t="s">
        <v>1</v>
      </c>
      <c r="F40" s="245">
        <v>1</v>
      </c>
      <c r="G40" s="246">
        <v>5.6</v>
      </c>
      <c r="H40" s="370"/>
    </row>
    <row r="41" spans="2:8" ht="15.75" customHeight="1" x14ac:dyDescent="0.3">
      <c r="B41" s="1"/>
      <c r="C41" s="594" t="s">
        <v>431</v>
      </c>
      <c r="D41" s="244" t="s">
        <v>465</v>
      </c>
      <c r="E41" s="244" t="s">
        <v>1</v>
      </c>
      <c r="F41" s="245">
        <v>1</v>
      </c>
      <c r="G41" s="246">
        <v>4.5</v>
      </c>
      <c r="H41" s="370"/>
    </row>
    <row r="42" spans="2:8" ht="15.75" customHeight="1" x14ac:dyDescent="0.3">
      <c r="B42" s="1"/>
      <c r="C42" s="594" t="s">
        <v>434</v>
      </c>
      <c r="D42" s="244" t="s">
        <v>466</v>
      </c>
      <c r="E42" s="244" t="s">
        <v>1</v>
      </c>
      <c r="F42" s="245">
        <v>1</v>
      </c>
      <c r="G42" s="246">
        <v>5.5</v>
      </c>
      <c r="H42" s="370"/>
    </row>
    <row r="43" spans="2:8" ht="15.75" customHeight="1" x14ac:dyDescent="0.3">
      <c r="B43" s="1"/>
      <c r="C43" s="594" t="s">
        <v>433</v>
      </c>
      <c r="D43" s="244" t="s">
        <v>467</v>
      </c>
      <c r="E43" s="244" t="s">
        <v>1</v>
      </c>
      <c r="F43" s="245">
        <v>1</v>
      </c>
      <c r="G43" s="246">
        <v>4.3</v>
      </c>
      <c r="H43" s="370"/>
    </row>
    <row r="44" spans="2:8" ht="15.75" customHeight="1" x14ac:dyDescent="0.3">
      <c r="B44" s="1"/>
      <c r="C44" s="594" t="s">
        <v>435</v>
      </c>
      <c r="D44" s="244" t="s">
        <v>468</v>
      </c>
      <c r="E44" s="244" t="s">
        <v>1</v>
      </c>
      <c r="F44" s="245">
        <v>1</v>
      </c>
      <c r="G44" s="246">
        <v>5.5</v>
      </c>
      <c r="H44" s="370"/>
    </row>
    <row r="45" spans="2:8" ht="15.75" customHeight="1" x14ac:dyDescent="0.3">
      <c r="B45" s="1"/>
      <c r="C45" s="595" t="s">
        <v>436</v>
      </c>
      <c r="D45" s="244" t="s">
        <v>469</v>
      </c>
      <c r="E45" s="244" t="s">
        <v>1</v>
      </c>
      <c r="F45" s="245">
        <v>1</v>
      </c>
      <c r="G45" s="246">
        <v>5</v>
      </c>
      <c r="H45" s="370"/>
    </row>
    <row r="46" spans="2:8" ht="15.75" customHeight="1" x14ac:dyDescent="0.3">
      <c r="B46" s="1"/>
      <c r="C46" s="592"/>
      <c r="D46" s="244"/>
      <c r="E46" s="244"/>
      <c r="F46" s="245"/>
      <c r="G46" s="246"/>
      <c r="H46" s="370"/>
    </row>
    <row r="47" spans="2:8" ht="15.75" customHeight="1" x14ac:dyDescent="0.3">
      <c r="B47" s="1"/>
      <c r="C47" s="592"/>
      <c r="D47" s="244"/>
      <c r="E47" s="244"/>
      <c r="F47" s="245"/>
      <c r="G47" s="246"/>
      <c r="H47" s="370"/>
    </row>
    <row r="48" spans="2:8" ht="15.75" customHeight="1" x14ac:dyDescent="0.3">
      <c r="B48" s="1"/>
      <c r="C48" s="1087" t="s">
        <v>143</v>
      </c>
      <c r="D48" s="248" t="s">
        <v>256</v>
      </c>
      <c r="E48" s="248" t="s">
        <v>1</v>
      </c>
      <c r="F48" s="245">
        <v>1</v>
      </c>
      <c r="G48" s="249">
        <v>4.5</v>
      </c>
      <c r="H48" s="371" t="s">
        <v>160</v>
      </c>
    </row>
    <row r="49" spans="2:8" ht="15.75" customHeight="1" x14ac:dyDescent="0.3">
      <c r="B49" s="1"/>
      <c r="C49" s="1087"/>
      <c r="D49" s="248" t="s">
        <v>257</v>
      </c>
      <c r="E49" s="248" t="s">
        <v>1</v>
      </c>
      <c r="F49" s="245">
        <v>1</v>
      </c>
      <c r="G49" s="250">
        <v>5.8</v>
      </c>
      <c r="H49" s="371" t="s">
        <v>160</v>
      </c>
    </row>
    <row r="50" spans="2:8" ht="15.75" customHeight="1" x14ac:dyDescent="0.3">
      <c r="B50" s="1"/>
      <c r="C50" s="1087"/>
      <c r="D50" s="248" t="s">
        <v>258</v>
      </c>
      <c r="E50" s="248" t="s">
        <v>1</v>
      </c>
      <c r="F50" s="245">
        <v>1</v>
      </c>
      <c r="G50" s="250">
        <v>5.5</v>
      </c>
      <c r="H50" s="371" t="s">
        <v>160</v>
      </c>
    </row>
    <row r="51" spans="2:8" ht="15.75" customHeight="1" x14ac:dyDescent="0.3">
      <c r="B51" s="1"/>
      <c r="C51" s="1087"/>
      <c r="D51" s="248" t="s">
        <v>259</v>
      </c>
      <c r="E51" s="248" t="s">
        <v>1</v>
      </c>
      <c r="F51" s="245">
        <v>1</v>
      </c>
      <c r="G51" s="250">
        <v>5.5</v>
      </c>
      <c r="H51" s="371" t="s">
        <v>160</v>
      </c>
    </row>
    <row r="52" spans="2:8" ht="15.75" customHeight="1" x14ac:dyDescent="0.3">
      <c r="B52" s="1"/>
      <c r="C52" s="1087"/>
      <c r="D52" s="248" t="s">
        <v>260</v>
      </c>
      <c r="E52" s="248" t="s">
        <v>1</v>
      </c>
      <c r="F52" s="245">
        <v>1</v>
      </c>
      <c r="G52" s="250">
        <v>5.5</v>
      </c>
      <c r="H52" s="371" t="s">
        <v>160</v>
      </c>
    </row>
    <row r="53" spans="2:8" ht="15.75" customHeight="1" x14ac:dyDescent="0.3">
      <c r="B53" s="1"/>
      <c r="C53" s="1087"/>
      <c r="D53" s="248" t="s">
        <v>261</v>
      </c>
      <c r="E53" s="248" t="s">
        <v>1</v>
      </c>
      <c r="F53" s="245">
        <v>1</v>
      </c>
      <c r="G53" s="250">
        <v>4.25</v>
      </c>
      <c r="H53" s="371" t="s">
        <v>160</v>
      </c>
    </row>
    <row r="54" spans="2:8" ht="15.75" customHeight="1" x14ac:dyDescent="0.3">
      <c r="B54" s="1"/>
      <c r="C54" s="1087"/>
      <c r="D54" s="248" t="s">
        <v>262</v>
      </c>
      <c r="E54" s="248" t="s">
        <v>1</v>
      </c>
      <c r="F54" s="245">
        <v>1</v>
      </c>
      <c r="G54" s="249">
        <v>5.5</v>
      </c>
      <c r="H54" s="371" t="s">
        <v>160</v>
      </c>
    </row>
    <row r="55" spans="2:8" ht="15.75" customHeight="1" x14ac:dyDescent="0.3">
      <c r="B55" s="1"/>
      <c r="C55" s="1087"/>
      <c r="D55" s="248" t="s">
        <v>263</v>
      </c>
      <c r="E55" s="248" t="s">
        <v>1</v>
      </c>
      <c r="F55" s="245">
        <v>1</v>
      </c>
      <c r="G55" s="249">
        <v>3.9</v>
      </c>
      <c r="H55" s="371" t="s">
        <v>160</v>
      </c>
    </row>
    <row r="56" spans="2:8" ht="15.75" customHeight="1" x14ac:dyDescent="0.3">
      <c r="B56" s="1"/>
      <c r="C56" s="1087"/>
      <c r="D56" s="248" t="s">
        <v>264</v>
      </c>
      <c r="E56" s="248" t="s">
        <v>1</v>
      </c>
      <c r="F56" s="245">
        <v>1</v>
      </c>
      <c r="G56" s="249">
        <v>5.5</v>
      </c>
      <c r="H56" s="371" t="s">
        <v>160</v>
      </c>
    </row>
    <row r="57" spans="2:8" ht="15.75" customHeight="1" x14ac:dyDescent="0.3">
      <c r="B57" s="1"/>
      <c r="C57" s="1087"/>
      <c r="D57" s="248" t="s">
        <v>265</v>
      </c>
      <c r="E57" s="248" t="s">
        <v>1</v>
      </c>
      <c r="F57" s="245">
        <v>1</v>
      </c>
      <c r="G57" s="249">
        <v>4.25</v>
      </c>
      <c r="H57" s="371" t="s">
        <v>160</v>
      </c>
    </row>
    <row r="58" spans="2:8" ht="15.75" customHeight="1" x14ac:dyDescent="0.3">
      <c r="B58" s="1"/>
      <c r="C58" s="1087"/>
      <c r="D58" s="248" t="s">
        <v>266</v>
      </c>
      <c r="E58" s="248" t="s">
        <v>1</v>
      </c>
      <c r="F58" s="245">
        <v>1</v>
      </c>
      <c r="G58" s="249">
        <v>5.5</v>
      </c>
      <c r="H58" s="371" t="s">
        <v>160</v>
      </c>
    </row>
    <row r="59" spans="2:8" ht="15.75" customHeight="1" x14ac:dyDescent="0.3">
      <c r="B59" s="1"/>
      <c r="C59" s="1087"/>
      <c r="D59" s="248" t="s">
        <v>267</v>
      </c>
      <c r="E59" s="248" t="s">
        <v>1</v>
      </c>
      <c r="F59" s="245">
        <v>1</v>
      </c>
      <c r="G59" s="249">
        <v>4.5</v>
      </c>
      <c r="H59" s="371" t="s">
        <v>160</v>
      </c>
    </row>
    <row r="60" spans="2:8" ht="15.75" customHeight="1" x14ac:dyDescent="0.3">
      <c r="B60" s="1"/>
      <c r="C60" s="1087"/>
      <c r="D60" s="248" t="s">
        <v>268</v>
      </c>
      <c r="E60" s="248" t="s">
        <v>1</v>
      </c>
      <c r="F60" s="245">
        <v>1</v>
      </c>
      <c r="G60" s="249">
        <v>5.5</v>
      </c>
      <c r="H60" s="371" t="s">
        <v>160</v>
      </c>
    </row>
    <row r="61" spans="2:8" ht="15.75" customHeight="1" x14ac:dyDescent="0.3">
      <c r="B61" s="1"/>
      <c r="C61" s="1087"/>
      <c r="D61" s="248" t="s">
        <v>269</v>
      </c>
      <c r="E61" s="248" t="s">
        <v>1</v>
      </c>
      <c r="F61" s="245">
        <v>1</v>
      </c>
      <c r="G61" s="249">
        <v>4.5</v>
      </c>
      <c r="H61" s="371" t="s">
        <v>160</v>
      </c>
    </row>
    <row r="62" spans="2:8" ht="16.5" customHeight="1" x14ac:dyDescent="0.3">
      <c r="B62" s="1"/>
      <c r="C62" s="1087"/>
      <c r="D62" s="248" t="s">
        <v>270</v>
      </c>
      <c r="E62" s="248" t="s">
        <v>1</v>
      </c>
      <c r="F62" s="245">
        <v>1</v>
      </c>
      <c r="G62" s="249">
        <v>5.5</v>
      </c>
      <c r="H62" s="371" t="s">
        <v>160</v>
      </c>
    </row>
    <row r="63" spans="2:8" ht="16.5" customHeight="1" x14ac:dyDescent="0.3">
      <c r="B63" s="1"/>
      <c r="C63" s="578"/>
      <c r="D63" s="248"/>
      <c r="E63" s="248"/>
      <c r="F63" s="245"/>
      <c r="G63" s="579"/>
      <c r="H63" s="580"/>
    </row>
    <row r="64" spans="2:8" ht="16.5" customHeight="1" x14ac:dyDescent="0.3">
      <c r="B64" s="1"/>
      <c r="C64" s="578"/>
      <c r="D64" s="248"/>
      <c r="E64" s="248"/>
      <c r="F64" s="245"/>
      <c r="G64" s="579"/>
      <c r="H64" s="580"/>
    </row>
    <row r="65" spans="2:8" ht="16.5" customHeight="1" x14ac:dyDescent="0.3">
      <c r="B65" s="1"/>
      <c r="C65" s="578"/>
      <c r="D65" s="248"/>
      <c r="E65" s="248"/>
      <c r="F65" s="245"/>
      <c r="G65" s="579"/>
      <c r="H65" s="580"/>
    </row>
    <row r="66" spans="2:8" ht="16.5" customHeight="1" x14ac:dyDescent="0.3">
      <c r="B66" s="1"/>
      <c r="C66" s="578"/>
      <c r="D66" s="248"/>
      <c r="E66" s="248"/>
      <c r="F66" s="245"/>
      <c r="G66" s="579"/>
      <c r="H66" s="580"/>
    </row>
    <row r="67" spans="2:8" ht="16.5" customHeight="1" x14ac:dyDescent="0.3">
      <c r="B67" s="1"/>
      <c r="C67" s="578"/>
      <c r="D67" s="248"/>
      <c r="E67" s="248"/>
      <c r="F67" s="245"/>
      <c r="G67" s="579"/>
      <c r="H67" s="580"/>
    </row>
    <row r="68" spans="2:8" ht="16.5" customHeight="1" x14ac:dyDescent="0.3">
      <c r="B68" s="1"/>
      <c r="C68" s="578"/>
      <c r="D68" s="248"/>
      <c r="E68" s="248"/>
      <c r="F68" s="245"/>
      <c r="G68" s="579"/>
      <c r="H68" s="580"/>
    </row>
    <row r="69" spans="2:8" ht="16.5" customHeight="1" x14ac:dyDescent="0.3">
      <c r="B69" s="1"/>
      <c r="C69" s="578"/>
      <c r="D69" s="248"/>
      <c r="E69" s="248"/>
      <c r="F69" s="245"/>
      <c r="G69" s="579"/>
      <c r="H69" s="580"/>
    </row>
    <row r="70" spans="2:8" ht="16.5" customHeight="1" thickBot="1" x14ac:dyDescent="0.35">
      <c r="B70" s="1"/>
      <c r="C70" s="578"/>
      <c r="D70" s="248"/>
      <c r="E70" s="248"/>
      <c r="F70" s="245"/>
      <c r="G70" s="579"/>
      <c r="H70" s="580"/>
    </row>
    <row r="71" spans="2:8" ht="16.5" customHeight="1" thickBot="1" x14ac:dyDescent="0.35">
      <c r="B71" s="1"/>
      <c r="C71" s="1"/>
      <c r="D71" s="244" t="s">
        <v>217</v>
      </c>
      <c r="E71" s="244" t="s">
        <v>3</v>
      </c>
      <c r="F71" s="245">
        <v>1</v>
      </c>
      <c r="G71" s="384"/>
      <c r="H71" s="372" t="s">
        <v>163</v>
      </c>
    </row>
    <row r="72" spans="2:8" ht="15.75" customHeight="1" x14ac:dyDescent="0.3">
      <c r="B72" s="1"/>
      <c r="C72" s="1"/>
      <c r="D72" s="244" t="s">
        <v>218</v>
      </c>
      <c r="E72" s="244" t="s">
        <v>3</v>
      </c>
      <c r="F72" s="245">
        <v>1</v>
      </c>
      <c r="G72" s="384"/>
      <c r="H72" s="373" t="s">
        <v>163</v>
      </c>
    </row>
    <row r="73" spans="2:8" ht="15.75" customHeight="1" x14ac:dyDescent="0.3">
      <c r="B73" s="1"/>
      <c r="C73" s="251"/>
      <c r="D73" s="244" t="s">
        <v>15</v>
      </c>
      <c r="E73" s="244" t="s">
        <v>3</v>
      </c>
      <c r="F73" s="245">
        <v>1</v>
      </c>
      <c r="G73" s="384"/>
      <c r="H73" s="374"/>
    </row>
    <row r="74" spans="2:8" ht="16.5" customHeight="1" thickBot="1" x14ac:dyDescent="0.35">
      <c r="B74" s="1"/>
      <c r="C74" s="251"/>
      <c r="D74" s="244" t="s">
        <v>14</v>
      </c>
      <c r="E74" s="244" t="s">
        <v>3</v>
      </c>
      <c r="F74" s="245">
        <v>1</v>
      </c>
      <c r="G74" s="384"/>
      <c r="H74" s="375"/>
    </row>
    <row r="75" spans="2:8" ht="15.75" customHeight="1" x14ac:dyDescent="0.3">
      <c r="B75" s="1"/>
      <c r="C75" s="1"/>
      <c r="D75" s="244" t="s">
        <v>219</v>
      </c>
      <c r="E75" s="244" t="s">
        <v>3</v>
      </c>
      <c r="F75" s="245">
        <v>1</v>
      </c>
      <c r="G75" s="384"/>
      <c r="H75" s="265" t="s">
        <v>224</v>
      </c>
    </row>
    <row r="76" spans="2:8" ht="15.75" customHeight="1" x14ac:dyDescent="0.3">
      <c r="B76" s="1"/>
      <c r="C76" s="1"/>
      <c r="D76" s="244" t="s">
        <v>221</v>
      </c>
      <c r="E76" s="244" t="s">
        <v>3</v>
      </c>
      <c r="F76" s="245">
        <v>1</v>
      </c>
      <c r="G76" s="384"/>
      <c r="H76" s="266"/>
    </row>
    <row r="77" spans="2:8" ht="15.75" customHeight="1" x14ac:dyDescent="0.3">
      <c r="B77" s="1"/>
      <c r="C77" s="1"/>
      <c r="D77" s="244" t="s">
        <v>129</v>
      </c>
      <c r="E77" s="244" t="s">
        <v>3</v>
      </c>
      <c r="F77" s="245">
        <v>1</v>
      </c>
      <c r="G77" s="384"/>
      <c r="H77" s="266"/>
    </row>
    <row r="78" spans="2:8" ht="15.75" customHeight="1" x14ac:dyDescent="0.3">
      <c r="B78" s="1"/>
      <c r="C78" s="1"/>
      <c r="D78" s="244" t="s">
        <v>17</v>
      </c>
      <c r="E78" s="244" t="s">
        <v>3</v>
      </c>
      <c r="F78" s="245">
        <v>1</v>
      </c>
      <c r="G78" s="384"/>
      <c r="H78" s="266"/>
    </row>
    <row r="79" spans="2:8" ht="15.75" customHeight="1" x14ac:dyDescent="0.3">
      <c r="B79" s="1"/>
      <c r="C79" s="1"/>
      <c r="D79" s="244" t="s">
        <v>16</v>
      </c>
      <c r="E79" s="244" t="s">
        <v>3</v>
      </c>
      <c r="F79" s="245">
        <v>1</v>
      </c>
      <c r="G79" s="384"/>
      <c r="H79" s="266"/>
    </row>
    <row r="80" spans="2:8" ht="15.75" customHeight="1" x14ac:dyDescent="0.3">
      <c r="B80" s="1"/>
      <c r="C80" s="1"/>
      <c r="D80" s="244" t="s">
        <v>86</v>
      </c>
      <c r="E80" s="244" t="s">
        <v>3</v>
      </c>
      <c r="F80" s="245">
        <v>1</v>
      </c>
      <c r="G80" s="384"/>
      <c r="H80" s="266"/>
    </row>
    <row r="81" spans="2:8" ht="15.75" customHeight="1" x14ac:dyDescent="0.3">
      <c r="B81" s="1"/>
      <c r="C81" s="1"/>
      <c r="D81" s="244" t="s">
        <v>220</v>
      </c>
      <c r="E81" s="244" t="s">
        <v>13</v>
      </c>
      <c r="F81" s="245">
        <v>1</v>
      </c>
      <c r="G81" s="384"/>
      <c r="H81" s="266"/>
    </row>
    <row r="82" spans="2:8" ht="15.75" customHeight="1" x14ac:dyDescent="0.3">
      <c r="B82" s="1"/>
      <c r="C82" s="1"/>
      <c r="D82" s="244" t="s">
        <v>222</v>
      </c>
      <c r="E82" s="244" t="s">
        <v>13</v>
      </c>
      <c r="F82" s="245">
        <v>1</v>
      </c>
      <c r="G82" s="384"/>
      <c r="H82" s="266"/>
    </row>
    <row r="83" spans="2:8" ht="15.75" customHeight="1" x14ac:dyDescent="0.3">
      <c r="B83" s="1"/>
      <c r="C83" s="1"/>
      <c r="D83" s="244" t="s">
        <v>130</v>
      </c>
      <c r="E83" s="244" t="s">
        <v>13</v>
      </c>
      <c r="F83" s="245">
        <v>1</v>
      </c>
      <c r="G83" s="384"/>
      <c r="H83" s="266"/>
    </row>
    <row r="84" spans="2:8" ht="15.75" customHeight="1" x14ac:dyDescent="0.3">
      <c r="B84" s="1"/>
      <c r="C84" s="1"/>
      <c r="D84" s="244" t="s">
        <v>18</v>
      </c>
      <c r="E84" s="244" t="s">
        <v>13</v>
      </c>
      <c r="F84" s="245">
        <v>1</v>
      </c>
      <c r="G84" s="384"/>
      <c r="H84" s="266"/>
    </row>
    <row r="85" spans="2:8" ht="15.75" customHeight="1" x14ac:dyDescent="0.3">
      <c r="B85" s="1"/>
      <c r="C85" s="1"/>
      <c r="D85" s="244" t="s">
        <v>8</v>
      </c>
      <c r="E85" s="244" t="s">
        <v>13</v>
      </c>
      <c r="F85" s="245">
        <v>1</v>
      </c>
      <c r="G85" s="384"/>
      <c r="H85" s="266"/>
    </row>
    <row r="86" spans="2:8" ht="16.5" customHeight="1" thickBot="1" x14ac:dyDescent="0.35">
      <c r="B86" s="1"/>
      <c r="C86" s="1"/>
      <c r="D86" s="244" t="s">
        <v>87</v>
      </c>
      <c r="E86" s="244" t="s">
        <v>13</v>
      </c>
      <c r="F86" s="245">
        <v>1</v>
      </c>
      <c r="G86" s="384"/>
      <c r="H86" s="267"/>
    </row>
    <row r="87" spans="2:8" ht="15.75" customHeight="1" x14ac:dyDescent="0.3">
      <c r="B87" s="1"/>
      <c r="C87" s="1"/>
      <c r="D87" s="274" t="s">
        <v>546</v>
      </c>
      <c r="E87" s="244" t="s">
        <v>2</v>
      </c>
      <c r="F87" s="245">
        <v>1</v>
      </c>
      <c r="G87" s="384"/>
      <c r="H87" s="376"/>
    </row>
    <row r="88" spans="2:8" ht="15.75" customHeight="1" x14ac:dyDescent="0.3">
      <c r="B88" s="1"/>
      <c r="C88" s="1"/>
      <c r="D88" s="274" t="s">
        <v>545</v>
      </c>
      <c r="E88" s="244" t="s">
        <v>2</v>
      </c>
      <c r="F88" s="245">
        <v>1</v>
      </c>
      <c r="G88" s="384"/>
      <c r="H88" s="376"/>
    </row>
    <row r="89" spans="2:8" ht="16.5" customHeight="1" thickBot="1" x14ac:dyDescent="0.35">
      <c r="B89" s="1"/>
      <c r="C89" s="1"/>
      <c r="D89" s="244" t="s">
        <v>495</v>
      </c>
      <c r="E89" s="244" t="s">
        <v>2</v>
      </c>
      <c r="F89" s="245">
        <v>1</v>
      </c>
      <c r="G89" s="384"/>
      <c r="H89" s="377"/>
    </row>
    <row r="90" spans="2:8" ht="15.75" customHeight="1" x14ac:dyDescent="0.3">
      <c r="B90" s="1"/>
      <c r="C90" s="1"/>
      <c r="D90" s="244" t="s">
        <v>230</v>
      </c>
      <c r="E90" s="244" t="s">
        <v>3</v>
      </c>
      <c r="F90" s="245">
        <v>1</v>
      </c>
      <c r="G90" s="384"/>
      <c r="H90" s="372" t="s">
        <v>161</v>
      </c>
    </row>
    <row r="91" spans="2:8" ht="15.75" customHeight="1" x14ac:dyDescent="0.3">
      <c r="B91" s="1"/>
      <c r="C91" s="1"/>
      <c r="D91" s="244" t="s">
        <v>6</v>
      </c>
      <c r="E91" s="244" t="s">
        <v>3</v>
      </c>
      <c r="F91" s="245">
        <v>1</v>
      </c>
      <c r="G91" s="384"/>
      <c r="H91" s="376"/>
    </row>
    <row r="92" spans="2:8" ht="15.75" customHeight="1" x14ac:dyDescent="0.3">
      <c r="B92" s="1"/>
      <c r="C92" s="1"/>
      <c r="D92" s="244" t="s">
        <v>7</v>
      </c>
      <c r="E92" s="244" t="s">
        <v>3</v>
      </c>
      <c r="F92" s="245">
        <v>1</v>
      </c>
      <c r="G92" s="384"/>
      <c r="H92" s="376"/>
    </row>
    <row r="93" spans="2:8" ht="16.5" customHeight="1" thickBot="1" x14ac:dyDescent="0.35">
      <c r="B93" s="1"/>
      <c r="C93" s="1"/>
      <c r="D93" s="244" t="s">
        <v>99</v>
      </c>
      <c r="E93" s="244" t="s">
        <v>3</v>
      </c>
      <c r="F93" s="245">
        <v>1</v>
      </c>
      <c r="G93" s="384"/>
      <c r="H93" s="376"/>
    </row>
    <row r="94" spans="2:8" ht="15.75" customHeight="1" x14ac:dyDescent="0.3">
      <c r="B94" s="1"/>
      <c r="C94" s="1"/>
      <c r="D94" s="244" t="s">
        <v>4</v>
      </c>
      <c r="E94" s="244" t="s">
        <v>2</v>
      </c>
      <c r="F94" s="245">
        <v>1</v>
      </c>
      <c r="G94" s="384"/>
      <c r="H94" s="378" t="s">
        <v>162</v>
      </c>
    </row>
    <row r="95" spans="2:8" ht="15.75" customHeight="1" x14ac:dyDescent="0.3">
      <c r="B95" s="1"/>
      <c r="C95" s="1"/>
      <c r="D95" s="244" t="s">
        <v>5</v>
      </c>
      <c r="E95" s="244" t="s">
        <v>2</v>
      </c>
      <c r="F95" s="245">
        <v>1</v>
      </c>
      <c r="G95" s="384"/>
      <c r="H95" s="379"/>
    </row>
    <row r="96" spans="2:8" ht="15.75" customHeight="1" x14ac:dyDescent="0.3">
      <c r="B96" s="1"/>
      <c r="C96" s="1"/>
      <c r="D96" s="244" t="s">
        <v>101</v>
      </c>
      <c r="E96" s="244" t="s">
        <v>2</v>
      </c>
      <c r="F96" s="245">
        <v>1</v>
      </c>
      <c r="G96" s="384"/>
      <c r="H96" s="379"/>
    </row>
    <row r="97" spans="2:8" ht="16.5" customHeight="1" thickBot="1" x14ac:dyDescent="0.35">
      <c r="B97" s="1"/>
      <c r="C97" s="1"/>
      <c r="D97" s="244" t="s">
        <v>100</v>
      </c>
      <c r="E97" s="244" t="s">
        <v>2</v>
      </c>
      <c r="F97" s="245">
        <v>1</v>
      </c>
      <c r="G97" s="253"/>
      <c r="H97" s="377"/>
    </row>
    <row r="98" spans="2:8" ht="15.75" customHeight="1" x14ac:dyDescent="0.3">
      <c r="B98" s="1"/>
      <c r="C98" s="1"/>
      <c r="D98" s="244" t="s">
        <v>191</v>
      </c>
      <c r="E98" s="244" t="s">
        <v>2</v>
      </c>
      <c r="F98" s="245">
        <v>1</v>
      </c>
      <c r="G98" s="253"/>
      <c r="H98" s="379"/>
    </row>
    <row r="99" spans="2:8" ht="15.75" customHeight="1" x14ac:dyDescent="0.3">
      <c r="B99" s="1"/>
      <c r="C99" s="1"/>
      <c r="D99" s="244" t="s">
        <v>192</v>
      </c>
      <c r="E99" s="244" t="s">
        <v>2</v>
      </c>
      <c r="F99" s="245">
        <v>1</v>
      </c>
      <c r="G99" s="253"/>
      <c r="H99" s="379"/>
    </row>
    <row r="100" spans="2:8" ht="15.75" customHeight="1" x14ac:dyDescent="0.3">
      <c r="B100" s="1"/>
      <c r="C100" s="1"/>
      <c r="D100" s="244" t="s">
        <v>97</v>
      </c>
      <c r="E100" s="244" t="s">
        <v>2</v>
      </c>
      <c r="F100" s="245">
        <v>1</v>
      </c>
      <c r="G100" s="178"/>
      <c r="H100" s="379"/>
    </row>
    <row r="101" spans="2:8" ht="16.5" customHeight="1" thickBot="1" x14ac:dyDescent="0.35">
      <c r="B101" s="1"/>
      <c r="C101" s="1"/>
      <c r="D101" s="244" t="s">
        <v>98</v>
      </c>
      <c r="E101" s="244" t="s">
        <v>2</v>
      </c>
      <c r="F101" s="245">
        <v>1</v>
      </c>
      <c r="G101" s="178"/>
      <c r="H101" s="380"/>
    </row>
    <row r="102" spans="2:8" ht="15.75" customHeight="1" x14ac:dyDescent="0.3">
      <c r="B102" s="1"/>
      <c r="C102" s="1"/>
      <c r="D102" s="177" t="s">
        <v>9</v>
      </c>
      <c r="E102" s="177" t="s">
        <v>13</v>
      </c>
      <c r="F102" s="245">
        <v>1</v>
      </c>
      <c r="G102" s="178"/>
      <c r="H102" s="381" t="s">
        <v>164</v>
      </c>
    </row>
    <row r="103" spans="2:8" ht="16.5" customHeight="1" thickBot="1" x14ac:dyDescent="0.35">
      <c r="B103" s="1"/>
      <c r="C103" s="1"/>
      <c r="D103" s="244" t="s">
        <v>214</v>
      </c>
      <c r="E103" s="244" t="s">
        <v>13</v>
      </c>
      <c r="F103" s="245">
        <v>1</v>
      </c>
      <c r="G103" s="253"/>
      <c r="H103" s="376"/>
    </row>
    <row r="104" spans="2:8" ht="30.75" customHeight="1" x14ac:dyDescent="0.3">
      <c r="B104" s="1"/>
      <c r="C104" s="1"/>
      <c r="D104" s="179" t="s">
        <v>318</v>
      </c>
      <c r="E104" s="179"/>
      <c r="F104" s="245">
        <v>1</v>
      </c>
      <c r="G104" s="1"/>
      <c r="H104" s="382" t="s">
        <v>317</v>
      </c>
    </row>
    <row r="105" spans="2:8" ht="15" customHeight="1" x14ac:dyDescent="0.3">
      <c r="B105" s="1"/>
      <c r="C105" s="1"/>
      <c r="D105" s="180">
        <v>8</v>
      </c>
      <c r="E105" s="180" t="s">
        <v>2</v>
      </c>
      <c r="F105" s="245">
        <v>1</v>
      </c>
      <c r="G105" s="1086"/>
      <c r="H105" s="383"/>
    </row>
    <row r="106" spans="2:8" ht="15" customHeight="1" x14ac:dyDescent="0.3">
      <c r="B106" s="1"/>
      <c r="C106" s="1"/>
      <c r="D106" s="180">
        <v>10</v>
      </c>
      <c r="E106" s="180" t="s">
        <v>2</v>
      </c>
      <c r="F106" s="245">
        <v>1</v>
      </c>
      <c r="G106" s="1086"/>
      <c r="H106" s="383"/>
    </row>
    <row r="107" spans="2:8" ht="15" customHeight="1" x14ac:dyDescent="0.3">
      <c r="B107" s="1"/>
      <c r="C107" s="1"/>
      <c r="D107" s="180">
        <v>15</v>
      </c>
      <c r="E107" s="180" t="s">
        <v>2</v>
      </c>
      <c r="F107" s="245">
        <v>1</v>
      </c>
      <c r="G107" s="1086"/>
      <c r="H107" s="383"/>
    </row>
    <row r="108" spans="2:8" ht="15" customHeight="1" x14ac:dyDescent="0.3">
      <c r="B108" s="1"/>
      <c r="C108" s="1"/>
      <c r="D108" s="180">
        <v>20</v>
      </c>
      <c r="E108" s="180" t="s">
        <v>2</v>
      </c>
      <c r="F108" s="245">
        <v>1</v>
      </c>
      <c r="G108" s="1086"/>
      <c r="H108" s="383"/>
    </row>
    <row r="109" spans="2:8" ht="15" customHeight="1" x14ac:dyDescent="0.3">
      <c r="B109" s="1"/>
      <c r="C109" s="1"/>
      <c r="D109" s="180">
        <v>30</v>
      </c>
      <c r="E109" s="180" t="s">
        <v>2</v>
      </c>
      <c r="F109" s="245">
        <v>1</v>
      </c>
      <c r="G109" s="1086"/>
      <c r="H109" s="383"/>
    </row>
    <row r="110" spans="2:8" ht="15" customHeight="1" x14ac:dyDescent="0.3">
      <c r="B110" s="1"/>
      <c r="C110" s="1"/>
      <c r="D110" s="180">
        <v>40</v>
      </c>
      <c r="E110" s="180" t="s">
        <v>2</v>
      </c>
      <c r="F110" s="245">
        <v>1</v>
      </c>
      <c r="G110" s="1086"/>
      <c r="H110" s="383"/>
    </row>
    <row r="111" spans="2:8" ht="15" customHeight="1" x14ac:dyDescent="0.3">
      <c r="B111" s="1"/>
      <c r="C111" s="1"/>
      <c r="D111" s="180">
        <v>50</v>
      </c>
      <c r="E111" s="180" t="s">
        <v>2</v>
      </c>
      <c r="F111" s="245">
        <v>1</v>
      </c>
      <c r="G111" s="1086"/>
      <c r="H111" s="383"/>
    </row>
    <row r="112" spans="2:8" ht="15" customHeight="1" x14ac:dyDescent="0.3">
      <c r="B112" s="1"/>
      <c r="C112" s="1"/>
      <c r="D112" s="180">
        <v>60</v>
      </c>
      <c r="E112" s="180" t="s">
        <v>2</v>
      </c>
      <c r="F112" s="245">
        <v>1</v>
      </c>
      <c r="G112" s="1086"/>
      <c r="H112" s="383"/>
    </row>
    <row r="113" spans="2:8" ht="15" customHeight="1" x14ac:dyDescent="0.3">
      <c r="B113" s="1"/>
      <c r="C113" s="1"/>
      <c r="D113" s="180">
        <v>80</v>
      </c>
      <c r="E113" s="180" t="s">
        <v>2</v>
      </c>
      <c r="F113" s="245">
        <v>1</v>
      </c>
      <c r="G113" s="1086"/>
      <c r="H113" s="383"/>
    </row>
    <row r="114" spans="2:8" ht="15" customHeight="1" x14ac:dyDescent="0.3">
      <c r="B114" s="1"/>
      <c r="C114" s="1"/>
      <c r="D114" s="180">
        <v>100</v>
      </c>
      <c r="E114" s="180" t="s">
        <v>2</v>
      </c>
      <c r="F114" s="245">
        <v>1</v>
      </c>
      <c r="G114" s="1086"/>
      <c r="H114" s="383"/>
    </row>
    <row r="115" spans="2:8" ht="15" customHeight="1" x14ac:dyDescent="0.3">
      <c r="B115" s="1"/>
      <c r="C115" s="1"/>
      <c r="D115" s="180">
        <v>120</v>
      </c>
      <c r="E115" s="180" t="s">
        <v>2</v>
      </c>
      <c r="F115" s="245">
        <v>1</v>
      </c>
      <c r="G115" s="1086"/>
      <c r="H115" s="383"/>
    </row>
    <row r="116" spans="2:8" ht="15" customHeight="1" x14ac:dyDescent="0.3">
      <c r="B116" s="1"/>
      <c r="C116" s="1"/>
      <c r="D116" s="180"/>
      <c r="E116" s="180"/>
      <c r="F116" s="245">
        <v>1</v>
      </c>
      <c r="G116" s="1"/>
      <c r="H116" s="383"/>
    </row>
    <row r="117" spans="2:8" ht="15" customHeight="1" x14ac:dyDescent="0.3">
      <c r="B117" s="1"/>
      <c r="C117" s="1"/>
      <c r="D117" s="180"/>
      <c r="E117" s="180"/>
      <c r="F117" s="245">
        <v>1</v>
      </c>
      <c r="G117" s="1"/>
      <c r="H117" s="383"/>
    </row>
    <row r="118" spans="2:8" ht="15" customHeight="1" x14ac:dyDescent="0.3">
      <c r="B118" s="1"/>
      <c r="C118" s="1"/>
      <c r="D118" s="180"/>
      <c r="E118" s="180"/>
      <c r="F118" s="245">
        <v>1</v>
      </c>
      <c r="G118" s="1"/>
      <c r="H118" s="383"/>
    </row>
    <row r="119" spans="2:8" ht="15" customHeight="1" x14ac:dyDescent="0.3">
      <c r="B119" s="1"/>
      <c r="C119" s="1"/>
      <c r="D119" s="180"/>
      <c r="E119" s="180"/>
      <c r="F119" s="245">
        <v>1</v>
      </c>
      <c r="G119" s="1"/>
      <c r="H119" s="383"/>
    </row>
    <row r="120" spans="2:8" ht="15" customHeight="1" x14ac:dyDescent="0.3">
      <c r="B120" s="1"/>
      <c r="C120" s="1"/>
      <c r="D120" s="180"/>
      <c r="E120" s="180"/>
      <c r="F120" s="245">
        <v>1</v>
      </c>
      <c r="G120" s="1"/>
      <c r="H120" s="383"/>
    </row>
    <row r="121" spans="2:8" ht="19.5" customHeight="1" x14ac:dyDescent="0.3">
      <c r="B121" s="1"/>
      <c r="C121" s="1"/>
      <c r="D121" s="181" t="s">
        <v>319</v>
      </c>
      <c r="E121" s="181"/>
      <c r="F121" s="245">
        <v>1</v>
      </c>
      <c r="G121" s="1"/>
      <c r="H121" s="383"/>
    </row>
    <row r="122" spans="2:8" ht="15" customHeight="1" x14ac:dyDescent="0.3">
      <c r="B122" s="1"/>
      <c r="C122" s="1"/>
      <c r="D122" s="180">
        <v>6</v>
      </c>
      <c r="E122" s="180" t="s">
        <v>2</v>
      </c>
      <c r="F122" s="245">
        <v>1</v>
      </c>
      <c r="G122" s="1"/>
      <c r="H122" s="383"/>
    </row>
    <row r="123" spans="2:8" ht="15" customHeight="1" x14ac:dyDescent="0.3">
      <c r="B123" s="1"/>
      <c r="C123" s="1"/>
      <c r="D123" s="180">
        <v>10</v>
      </c>
      <c r="E123" s="180" t="s">
        <v>2</v>
      </c>
      <c r="F123" s="245">
        <v>1</v>
      </c>
      <c r="G123" s="1"/>
      <c r="H123" s="383"/>
    </row>
    <row r="124" spans="2:8" ht="15" customHeight="1" x14ac:dyDescent="0.3">
      <c r="B124" s="1"/>
      <c r="C124" s="1"/>
      <c r="D124" s="180">
        <v>15</v>
      </c>
      <c r="E124" s="180" t="s">
        <v>2</v>
      </c>
      <c r="F124" s="245">
        <v>1</v>
      </c>
      <c r="G124" s="1"/>
      <c r="H124" s="383"/>
    </row>
    <row r="125" spans="2:8" ht="15" customHeight="1" x14ac:dyDescent="0.3">
      <c r="B125" s="1"/>
      <c r="C125" s="1"/>
      <c r="D125" s="180">
        <v>20</v>
      </c>
      <c r="E125" s="180" t="s">
        <v>2</v>
      </c>
      <c r="F125" s="245">
        <v>1</v>
      </c>
      <c r="G125" s="1"/>
      <c r="H125" s="383"/>
    </row>
    <row r="126" spans="2:8" ht="15" customHeight="1" x14ac:dyDescent="0.3">
      <c r="B126" s="1"/>
      <c r="C126" s="1"/>
      <c r="D126" s="180">
        <v>30</v>
      </c>
      <c r="E126" s="180" t="s">
        <v>2</v>
      </c>
      <c r="F126" s="245">
        <v>1</v>
      </c>
      <c r="G126" s="1"/>
      <c r="H126" s="383"/>
    </row>
    <row r="127" spans="2:8" ht="15" customHeight="1" x14ac:dyDescent="0.3">
      <c r="B127" s="1"/>
      <c r="C127" s="1"/>
      <c r="D127" s="180">
        <v>40</v>
      </c>
      <c r="E127" s="180" t="s">
        <v>2</v>
      </c>
      <c r="F127" s="245">
        <v>1</v>
      </c>
      <c r="G127" s="1"/>
      <c r="H127" s="383"/>
    </row>
    <row r="128" spans="2:8" ht="15" customHeight="1" x14ac:dyDescent="0.3">
      <c r="B128" s="1"/>
      <c r="C128" s="1"/>
      <c r="D128" s="180">
        <v>50</v>
      </c>
      <c r="E128" s="180" t="s">
        <v>2</v>
      </c>
      <c r="F128" s="245">
        <v>1</v>
      </c>
      <c r="G128" s="1"/>
      <c r="H128" s="383"/>
    </row>
    <row r="129" spans="2:8" ht="15" customHeight="1" x14ac:dyDescent="0.3">
      <c r="B129" s="1"/>
      <c r="C129" s="1"/>
      <c r="D129" s="180">
        <v>80</v>
      </c>
      <c r="E129" s="180" t="s">
        <v>2</v>
      </c>
      <c r="F129" s="245">
        <v>1</v>
      </c>
      <c r="G129" s="1"/>
      <c r="H129" s="383"/>
    </row>
    <row r="130" spans="2:8" ht="15" customHeight="1" x14ac:dyDescent="0.3">
      <c r="B130" s="1"/>
      <c r="C130" s="1"/>
      <c r="D130" s="180">
        <v>100</v>
      </c>
      <c r="E130" s="180" t="s">
        <v>2</v>
      </c>
      <c r="F130" s="245">
        <v>1</v>
      </c>
      <c r="G130" s="1"/>
      <c r="H130" s="383"/>
    </row>
    <row r="131" spans="2:8" ht="15" customHeight="1" x14ac:dyDescent="0.3">
      <c r="B131" s="1"/>
      <c r="C131" s="1"/>
      <c r="D131" s="180">
        <v>120</v>
      </c>
      <c r="E131" s="180" t="s">
        <v>2</v>
      </c>
      <c r="F131" s="245">
        <v>1</v>
      </c>
      <c r="G131" s="1"/>
      <c r="H131" s="383"/>
    </row>
    <row r="132" spans="2:8" ht="15" customHeight="1" x14ac:dyDescent="0.3">
      <c r="B132" s="1"/>
      <c r="C132" s="1"/>
      <c r="D132" s="181" t="s">
        <v>320</v>
      </c>
      <c r="E132" s="181"/>
      <c r="F132" s="245">
        <v>1</v>
      </c>
      <c r="G132" s="1"/>
      <c r="H132" s="383"/>
    </row>
    <row r="133" spans="2:8" ht="15" customHeight="1" x14ac:dyDescent="0.3">
      <c r="B133" s="1"/>
      <c r="C133" s="1"/>
      <c r="D133" s="180">
        <v>6</v>
      </c>
      <c r="E133" s="180" t="s">
        <v>2</v>
      </c>
      <c r="F133" s="245">
        <v>1</v>
      </c>
      <c r="G133" s="1"/>
      <c r="H133" s="383"/>
    </row>
    <row r="134" spans="2:8" ht="15" customHeight="1" x14ac:dyDescent="0.3">
      <c r="B134" s="1"/>
      <c r="C134" s="1"/>
      <c r="D134" s="180">
        <v>10</v>
      </c>
      <c r="E134" s="180" t="s">
        <v>2</v>
      </c>
      <c r="F134" s="245">
        <v>1</v>
      </c>
      <c r="G134" s="1"/>
      <c r="H134" s="383"/>
    </row>
    <row r="135" spans="2:8" ht="15" customHeight="1" x14ac:dyDescent="0.3">
      <c r="B135" s="1"/>
      <c r="C135" s="1"/>
      <c r="D135" s="180">
        <v>15</v>
      </c>
      <c r="E135" s="180" t="s">
        <v>2</v>
      </c>
      <c r="F135" s="245">
        <v>1</v>
      </c>
      <c r="G135" s="1"/>
      <c r="H135" s="383"/>
    </row>
    <row r="136" spans="2:8" ht="15" customHeight="1" x14ac:dyDescent="0.3">
      <c r="B136" s="1"/>
      <c r="C136" s="1"/>
      <c r="D136" s="180">
        <v>20</v>
      </c>
      <c r="E136" s="180" t="s">
        <v>2</v>
      </c>
      <c r="F136" s="245">
        <v>1</v>
      </c>
      <c r="G136" s="1"/>
      <c r="H136" s="383"/>
    </row>
    <row r="137" spans="2:8" ht="15" customHeight="1" x14ac:dyDescent="0.3">
      <c r="B137" s="1"/>
      <c r="C137" s="1"/>
      <c r="D137" s="180">
        <v>30</v>
      </c>
      <c r="E137" s="180" t="s">
        <v>2</v>
      </c>
      <c r="F137" s="245">
        <v>1</v>
      </c>
      <c r="G137" s="1"/>
      <c r="H137" s="383"/>
    </row>
    <row r="138" spans="2:8" ht="15" customHeight="1" x14ac:dyDescent="0.3">
      <c r="B138" s="1"/>
      <c r="C138" s="1"/>
      <c r="D138" s="180">
        <v>40</v>
      </c>
      <c r="E138" s="180" t="s">
        <v>2</v>
      </c>
      <c r="F138" s="245">
        <v>1</v>
      </c>
      <c r="G138" s="1"/>
      <c r="H138" s="383"/>
    </row>
    <row r="139" spans="2:8" ht="15" customHeight="1" x14ac:dyDescent="0.3">
      <c r="B139" s="1"/>
      <c r="C139" s="1"/>
      <c r="D139" s="180">
        <v>60</v>
      </c>
      <c r="E139" s="180" t="s">
        <v>2</v>
      </c>
      <c r="F139" s="245">
        <v>1</v>
      </c>
      <c r="G139" s="1"/>
      <c r="H139" s="383"/>
    </row>
    <row r="140" spans="2:8" ht="15" customHeight="1" x14ac:dyDescent="0.3">
      <c r="B140" s="1"/>
      <c r="C140" s="1"/>
      <c r="D140" s="180">
        <v>50</v>
      </c>
      <c r="E140" s="180" t="s">
        <v>2</v>
      </c>
      <c r="F140" s="245">
        <v>1</v>
      </c>
      <c r="G140" s="1"/>
      <c r="H140" s="383"/>
    </row>
    <row r="141" spans="2:8" ht="15" customHeight="1" x14ac:dyDescent="0.3">
      <c r="B141" s="1"/>
      <c r="C141" s="1"/>
      <c r="D141" s="180">
        <v>80</v>
      </c>
      <c r="E141" s="180" t="s">
        <v>2</v>
      </c>
      <c r="F141" s="245">
        <v>1</v>
      </c>
      <c r="G141" s="1"/>
      <c r="H141" s="383"/>
    </row>
    <row r="142" spans="2:8" ht="15" customHeight="1" x14ac:dyDescent="0.3">
      <c r="B142" s="1"/>
      <c r="C142" s="1"/>
      <c r="D142" s="180">
        <v>100</v>
      </c>
      <c r="E142" s="180" t="s">
        <v>2</v>
      </c>
      <c r="F142" s="245">
        <v>1</v>
      </c>
      <c r="G142" s="1"/>
      <c r="H142" s="383"/>
    </row>
    <row r="143" spans="2:8" ht="15" customHeight="1" x14ac:dyDescent="0.3">
      <c r="B143" s="1"/>
      <c r="C143" s="1"/>
      <c r="D143" s="180">
        <v>120</v>
      </c>
      <c r="E143" s="180" t="s">
        <v>2</v>
      </c>
      <c r="F143" s="245">
        <v>1</v>
      </c>
      <c r="G143" s="1"/>
      <c r="H143" s="383"/>
    </row>
    <row r="144" spans="2:8" ht="18.75" customHeight="1" x14ac:dyDescent="0.3">
      <c r="D144" s="181" t="s">
        <v>321</v>
      </c>
      <c r="E144" s="181"/>
      <c r="F144" s="245">
        <v>1</v>
      </c>
      <c r="G144" s="1"/>
      <c r="H144" s="383"/>
    </row>
    <row r="145" spans="4:8" ht="18.75" customHeight="1" x14ac:dyDescent="0.3">
      <c r="D145" s="180">
        <v>6</v>
      </c>
      <c r="E145" s="180" t="s">
        <v>2</v>
      </c>
      <c r="F145" s="245">
        <v>1</v>
      </c>
      <c r="G145" s="1"/>
      <c r="H145" s="383"/>
    </row>
    <row r="146" spans="4:8" ht="18.75" customHeight="1" x14ac:dyDescent="0.3">
      <c r="D146" s="180">
        <v>10</v>
      </c>
      <c r="E146" s="180" t="s">
        <v>2</v>
      </c>
      <c r="F146" s="245">
        <v>1</v>
      </c>
      <c r="G146" s="1"/>
      <c r="H146" s="383"/>
    </row>
    <row r="147" spans="4:8" ht="18.75" customHeight="1" x14ac:dyDescent="0.3">
      <c r="D147" s="180">
        <v>15</v>
      </c>
      <c r="E147" s="180" t="s">
        <v>2</v>
      </c>
      <c r="F147" s="245">
        <v>1</v>
      </c>
      <c r="G147" s="1"/>
      <c r="H147" s="383"/>
    </row>
    <row r="148" spans="4:8" ht="18.75" customHeight="1" x14ac:dyDescent="0.3">
      <c r="D148" s="180">
        <v>20</v>
      </c>
      <c r="E148" s="180" t="s">
        <v>2</v>
      </c>
      <c r="F148" s="245">
        <v>1</v>
      </c>
      <c r="G148" s="1"/>
      <c r="H148" s="383"/>
    </row>
    <row r="149" spans="4:8" ht="18.75" customHeight="1" x14ac:dyDescent="0.3">
      <c r="D149" s="180">
        <v>30</v>
      </c>
      <c r="E149" s="180" t="s">
        <v>2</v>
      </c>
      <c r="F149" s="245">
        <v>1</v>
      </c>
      <c r="G149" s="1"/>
      <c r="H149" s="383"/>
    </row>
    <row r="150" spans="4:8" ht="18.75" customHeight="1" x14ac:dyDescent="0.3">
      <c r="D150" s="180">
        <v>40</v>
      </c>
      <c r="E150" s="180" t="s">
        <v>2</v>
      </c>
      <c r="F150" s="245">
        <v>1</v>
      </c>
      <c r="G150" s="1"/>
      <c r="H150" s="383"/>
    </row>
    <row r="151" spans="4:8" ht="18.75" customHeight="1" x14ac:dyDescent="0.3">
      <c r="D151" s="180">
        <v>60</v>
      </c>
      <c r="E151" s="180" t="s">
        <v>2</v>
      </c>
      <c r="F151" s="245">
        <v>1</v>
      </c>
      <c r="G151" s="1"/>
      <c r="H151" s="383"/>
    </row>
    <row r="152" spans="4:8" ht="18.75" customHeight="1" x14ac:dyDescent="0.3">
      <c r="D152" s="180">
        <v>50</v>
      </c>
      <c r="E152" s="180" t="s">
        <v>2</v>
      </c>
      <c r="F152" s="245">
        <v>1</v>
      </c>
      <c r="G152" s="1"/>
      <c r="H152" s="383"/>
    </row>
    <row r="153" spans="4:8" ht="18.75" customHeight="1" x14ac:dyDescent="0.3">
      <c r="D153" s="180">
        <v>80</v>
      </c>
      <c r="E153" s="180" t="s">
        <v>2</v>
      </c>
      <c r="F153" s="245">
        <v>1</v>
      </c>
      <c r="G153" s="1"/>
      <c r="H153" s="383"/>
    </row>
    <row r="154" spans="4:8" ht="18.75" customHeight="1" x14ac:dyDescent="0.3">
      <c r="D154" s="180">
        <v>100</v>
      </c>
      <c r="E154" s="180" t="s">
        <v>2</v>
      </c>
      <c r="F154" s="245">
        <v>1</v>
      </c>
      <c r="G154" s="1"/>
      <c r="H154" s="383"/>
    </row>
    <row r="155" spans="4:8" ht="18.75" customHeight="1" x14ac:dyDescent="0.3">
      <c r="D155" s="180">
        <v>120</v>
      </c>
      <c r="E155" s="180" t="s">
        <v>2</v>
      </c>
      <c r="F155" s="245">
        <v>1</v>
      </c>
      <c r="G155" s="1"/>
      <c r="H155" s="383"/>
    </row>
    <row r="156" spans="4:8" ht="18.75" customHeight="1" x14ac:dyDescent="0.3">
      <c r="D156" s="181" t="s">
        <v>322</v>
      </c>
      <c r="E156" s="181"/>
      <c r="F156" s="245">
        <v>1</v>
      </c>
      <c r="G156" s="1"/>
      <c r="H156" s="383"/>
    </row>
    <row r="157" spans="4:8" ht="18.75" customHeight="1" x14ac:dyDescent="0.3">
      <c r="D157" s="180">
        <v>6</v>
      </c>
      <c r="E157" s="180" t="s">
        <v>2</v>
      </c>
      <c r="F157" s="245">
        <v>1</v>
      </c>
      <c r="G157" s="1"/>
      <c r="H157" s="383"/>
    </row>
    <row r="158" spans="4:8" ht="18.75" customHeight="1" x14ac:dyDescent="0.3">
      <c r="D158" s="180">
        <v>10</v>
      </c>
      <c r="E158" s="180" t="s">
        <v>2</v>
      </c>
      <c r="F158" s="245">
        <v>1</v>
      </c>
      <c r="G158" s="1"/>
      <c r="H158" s="383"/>
    </row>
    <row r="159" spans="4:8" ht="18.75" customHeight="1" x14ac:dyDescent="0.3">
      <c r="D159" s="180">
        <v>15</v>
      </c>
      <c r="E159" s="180" t="s">
        <v>2</v>
      </c>
      <c r="F159" s="245">
        <v>1</v>
      </c>
      <c r="G159" s="1"/>
      <c r="H159" s="383"/>
    </row>
    <row r="160" spans="4:8" ht="18.75" customHeight="1" x14ac:dyDescent="0.3">
      <c r="D160" s="180">
        <v>20</v>
      </c>
      <c r="E160" s="180" t="s">
        <v>2</v>
      </c>
      <c r="F160" s="245">
        <v>1</v>
      </c>
      <c r="G160" s="1"/>
      <c r="H160" s="383"/>
    </row>
    <row r="161" spans="2:8" ht="18.75" customHeight="1" x14ac:dyDescent="0.3">
      <c r="D161" s="180">
        <v>30</v>
      </c>
      <c r="E161" s="180" t="s">
        <v>2</v>
      </c>
      <c r="F161" s="245">
        <v>1</v>
      </c>
      <c r="G161" s="1"/>
      <c r="H161" s="383"/>
    </row>
    <row r="162" spans="2:8" ht="18.75" customHeight="1" x14ac:dyDescent="0.3">
      <c r="D162" s="180">
        <v>40</v>
      </c>
      <c r="E162" s="180" t="s">
        <v>2</v>
      </c>
      <c r="F162" s="245">
        <v>1</v>
      </c>
      <c r="G162" s="1"/>
      <c r="H162" s="383"/>
    </row>
    <row r="163" spans="2:8" ht="18.75" customHeight="1" x14ac:dyDescent="0.3">
      <c r="D163" s="180">
        <v>60</v>
      </c>
      <c r="E163" s="180" t="s">
        <v>2</v>
      </c>
      <c r="F163" s="245">
        <v>1</v>
      </c>
      <c r="G163" s="1"/>
      <c r="H163" s="383"/>
    </row>
    <row r="164" spans="2:8" ht="18.75" customHeight="1" x14ac:dyDescent="0.3">
      <c r="D164" s="180">
        <v>50</v>
      </c>
      <c r="E164" s="180" t="s">
        <v>2</v>
      </c>
      <c r="F164" s="245">
        <v>1</v>
      </c>
      <c r="G164" s="1"/>
      <c r="H164" s="383"/>
    </row>
    <row r="165" spans="2:8" ht="18.75" customHeight="1" x14ac:dyDescent="0.3">
      <c r="D165" s="180">
        <v>80</v>
      </c>
      <c r="E165" s="180" t="s">
        <v>2</v>
      </c>
      <c r="F165" s="245">
        <v>1</v>
      </c>
      <c r="G165" s="1"/>
      <c r="H165" s="383"/>
    </row>
    <row r="166" spans="2:8" ht="18.75" customHeight="1" x14ac:dyDescent="0.3">
      <c r="D166" s="180">
        <v>100</v>
      </c>
      <c r="E166" s="180" t="s">
        <v>2</v>
      </c>
      <c r="F166" s="245">
        <v>1</v>
      </c>
      <c r="G166" s="1"/>
      <c r="H166" s="383"/>
    </row>
    <row r="167" spans="2:8" ht="18.75" customHeight="1" x14ac:dyDescent="0.3">
      <c r="B167" s="154"/>
      <c r="C167" s="154"/>
      <c r="D167" s="180">
        <v>120</v>
      </c>
      <c r="E167" s="180" t="s">
        <v>2</v>
      </c>
      <c r="F167" s="245">
        <v>1</v>
      </c>
      <c r="G167" s="1"/>
      <c r="H167" s="383"/>
    </row>
    <row r="168" spans="2:8" ht="18.75" customHeight="1" x14ac:dyDescent="0.3">
      <c r="D168" s="181" t="s">
        <v>405</v>
      </c>
      <c r="E168" s="181"/>
      <c r="F168" s="245">
        <v>1</v>
      </c>
      <c r="G168" s="1"/>
      <c r="H168" s="383"/>
    </row>
    <row r="169" spans="2:8" ht="18.75" customHeight="1" x14ac:dyDescent="0.3">
      <c r="D169" s="180">
        <v>8</v>
      </c>
      <c r="E169" s="180" t="s">
        <v>2</v>
      </c>
      <c r="F169" s="245">
        <v>1</v>
      </c>
      <c r="G169" s="1"/>
      <c r="H169" s="383"/>
    </row>
    <row r="170" spans="2:8" ht="18.75" customHeight="1" x14ac:dyDescent="0.3">
      <c r="D170" s="180">
        <v>10</v>
      </c>
      <c r="E170" s="180" t="s">
        <v>2</v>
      </c>
      <c r="F170" s="245">
        <v>1</v>
      </c>
      <c r="G170" s="1"/>
      <c r="H170" s="383"/>
    </row>
    <row r="171" spans="2:8" ht="18.75" customHeight="1" x14ac:dyDescent="0.3">
      <c r="D171" s="180">
        <v>15</v>
      </c>
      <c r="E171" s="180" t="s">
        <v>2</v>
      </c>
      <c r="F171" s="245">
        <v>1</v>
      </c>
      <c r="G171" s="1"/>
      <c r="H171" s="383"/>
    </row>
    <row r="172" spans="2:8" ht="18.75" customHeight="1" x14ac:dyDescent="0.3">
      <c r="D172" s="180">
        <v>20</v>
      </c>
      <c r="E172" s="180" t="s">
        <v>2</v>
      </c>
      <c r="F172" s="245">
        <v>1</v>
      </c>
      <c r="G172" s="1"/>
      <c r="H172" s="383"/>
    </row>
    <row r="173" spans="2:8" ht="18.75" customHeight="1" x14ac:dyDescent="0.3">
      <c r="D173" s="180">
        <v>30</v>
      </c>
      <c r="E173" s="180" t="s">
        <v>2</v>
      </c>
      <c r="F173" s="245">
        <v>1</v>
      </c>
      <c r="G173" s="1"/>
      <c r="H173" s="383"/>
    </row>
    <row r="174" spans="2:8" ht="18.75" customHeight="1" x14ac:dyDescent="0.3">
      <c r="D174" s="180">
        <v>40</v>
      </c>
      <c r="E174" s="180" t="s">
        <v>2</v>
      </c>
      <c r="F174" s="245">
        <v>1</v>
      </c>
      <c r="G174" s="1"/>
      <c r="H174" s="383"/>
    </row>
    <row r="175" spans="2:8" ht="18.75" customHeight="1" x14ac:dyDescent="0.3">
      <c r="D175" s="180">
        <v>60</v>
      </c>
      <c r="E175" s="180" t="s">
        <v>2</v>
      </c>
      <c r="F175" s="245">
        <v>1</v>
      </c>
      <c r="G175" s="1"/>
      <c r="H175" s="383"/>
    </row>
    <row r="176" spans="2:8" ht="18.75" customHeight="1" x14ac:dyDescent="0.3">
      <c r="D176" s="180">
        <v>50</v>
      </c>
      <c r="E176" s="180" t="s">
        <v>2</v>
      </c>
      <c r="F176" s="245">
        <v>1</v>
      </c>
      <c r="G176" s="1"/>
      <c r="H176" s="383"/>
    </row>
    <row r="177" spans="4:8" ht="18.75" customHeight="1" x14ac:dyDescent="0.3">
      <c r="D177" s="180">
        <v>80</v>
      </c>
      <c r="E177" s="180" t="s">
        <v>2</v>
      </c>
      <c r="F177" s="245">
        <v>1</v>
      </c>
      <c r="G177" s="1"/>
      <c r="H177" s="383"/>
    </row>
    <row r="178" spans="4:8" ht="18.75" customHeight="1" x14ac:dyDescent="0.3">
      <c r="D178" s="180">
        <v>100</v>
      </c>
      <c r="E178" s="180" t="s">
        <v>2</v>
      </c>
      <c r="F178" s="245">
        <v>1</v>
      </c>
      <c r="G178" s="1"/>
      <c r="H178" s="383"/>
    </row>
    <row r="179" spans="4:8" ht="18.75" customHeight="1" x14ac:dyDescent="0.3">
      <c r="D179" s="180">
        <v>120</v>
      </c>
      <c r="E179" s="180" t="s">
        <v>2</v>
      </c>
      <c r="F179" s="245">
        <v>1</v>
      </c>
      <c r="G179" s="1"/>
      <c r="H179" s="383"/>
    </row>
    <row r="180" spans="4:8" ht="18.75" customHeight="1" x14ac:dyDescent="0.3">
      <c r="D180" s="181" t="s">
        <v>406</v>
      </c>
      <c r="E180" s="181"/>
      <c r="F180" s="245">
        <v>1</v>
      </c>
      <c r="G180" s="1"/>
      <c r="H180" s="383"/>
    </row>
    <row r="181" spans="4:8" ht="18.75" customHeight="1" x14ac:dyDescent="0.3">
      <c r="D181" s="180">
        <v>8</v>
      </c>
      <c r="E181" s="180" t="s">
        <v>2</v>
      </c>
      <c r="F181" s="245">
        <v>1</v>
      </c>
      <c r="G181" s="1"/>
      <c r="H181" s="383"/>
    </row>
    <row r="182" spans="4:8" ht="18.75" customHeight="1" x14ac:dyDescent="0.3">
      <c r="D182" s="180">
        <v>10</v>
      </c>
      <c r="E182" s="180" t="s">
        <v>2</v>
      </c>
      <c r="F182" s="245">
        <v>1</v>
      </c>
      <c r="G182" s="1"/>
      <c r="H182" s="383"/>
    </row>
    <row r="183" spans="4:8" ht="18.75" customHeight="1" x14ac:dyDescent="0.3">
      <c r="D183" s="180">
        <v>15</v>
      </c>
      <c r="E183" s="180" t="s">
        <v>2</v>
      </c>
      <c r="F183" s="245">
        <v>1</v>
      </c>
      <c r="G183" s="1"/>
      <c r="H183" s="383"/>
    </row>
    <row r="184" spans="4:8" ht="18.75" customHeight="1" x14ac:dyDescent="0.3">
      <c r="D184" s="180">
        <v>20</v>
      </c>
      <c r="E184" s="180" t="s">
        <v>2</v>
      </c>
      <c r="F184" s="245">
        <v>1</v>
      </c>
      <c r="G184" s="1"/>
      <c r="H184" s="383"/>
    </row>
    <row r="185" spans="4:8" ht="18.75" customHeight="1" x14ac:dyDescent="0.3">
      <c r="D185" s="180">
        <v>30</v>
      </c>
      <c r="E185" s="180" t="s">
        <v>2</v>
      </c>
      <c r="F185" s="245">
        <v>1</v>
      </c>
      <c r="G185" s="1"/>
      <c r="H185" s="383"/>
    </row>
    <row r="186" spans="4:8" ht="18.75" customHeight="1" x14ac:dyDescent="0.3">
      <c r="D186" s="180">
        <v>40</v>
      </c>
      <c r="E186" s="180" t="s">
        <v>2</v>
      </c>
      <c r="F186" s="245">
        <v>1</v>
      </c>
      <c r="G186" s="1"/>
      <c r="H186" s="383"/>
    </row>
    <row r="187" spans="4:8" ht="18.75" customHeight="1" x14ac:dyDescent="0.3">
      <c r="D187" s="180">
        <v>60</v>
      </c>
      <c r="E187" s="180" t="s">
        <v>2</v>
      </c>
      <c r="F187" s="245">
        <v>1</v>
      </c>
      <c r="G187" s="1"/>
      <c r="H187" s="383"/>
    </row>
    <row r="188" spans="4:8" ht="18.75" customHeight="1" x14ac:dyDescent="0.3">
      <c r="D188" s="180">
        <v>50</v>
      </c>
      <c r="E188" s="180" t="s">
        <v>2</v>
      </c>
      <c r="F188" s="245">
        <v>1</v>
      </c>
      <c r="G188" s="1"/>
      <c r="H188" s="383"/>
    </row>
    <row r="189" spans="4:8" ht="18.75" customHeight="1" x14ac:dyDescent="0.3">
      <c r="D189" s="180">
        <v>80</v>
      </c>
      <c r="E189" s="180" t="s">
        <v>2</v>
      </c>
      <c r="F189" s="245">
        <v>1</v>
      </c>
      <c r="G189" s="1"/>
      <c r="H189" s="383"/>
    </row>
    <row r="190" spans="4:8" ht="18.75" customHeight="1" x14ac:dyDescent="0.3">
      <c r="D190" s="180">
        <v>100</v>
      </c>
      <c r="E190" s="180" t="s">
        <v>2</v>
      </c>
      <c r="F190" s="245">
        <v>1</v>
      </c>
      <c r="G190" s="1"/>
      <c r="H190" s="383"/>
    </row>
    <row r="191" spans="4:8" ht="18.75" customHeight="1" x14ac:dyDescent="0.3">
      <c r="D191" s="180">
        <v>120</v>
      </c>
      <c r="E191" s="180" t="s">
        <v>2</v>
      </c>
      <c r="F191" s="245">
        <v>1</v>
      </c>
      <c r="G191" s="1"/>
      <c r="H191" s="383"/>
    </row>
    <row r="192" spans="4:8" ht="18.75" customHeight="1" x14ac:dyDescent="0.3">
      <c r="D192" s="271"/>
      <c r="E192" s="271"/>
      <c r="F192" s="245">
        <v>1</v>
      </c>
      <c r="G192" s="1"/>
      <c r="H192" s="383"/>
    </row>
    <row r="193" spans="4:8" ht="18.75" customHeight="1" x14ac:dyDescent="0.3">
      <c r="D193" s="179" t="s">
        <v>324</v>
      </c>
      <c r="E193" s="179"/>
      <c r="F193" s="245">
        <v>1</v>
      </c>
      <c r="G193" s="1"/>
      <c r="H193" s="383"/>
    </row>
    <row r="194" spans="4:8" ht="18.75" customHeight="1" x14ac:dyDescent="0.3">
      <c r="D194" s="307">
        <v>6</v>
      </c>
      <c r="E194" s="180" t="s">
        <v>2</v>
      </c>
      <c r="F194" s="245">
        <v>1</v>
      </c>
      <c r="G194" s="1"/>
      <c r="H194" s="383"/>
    </row>
    <row r="195" spans="4:8" ht="18.75" customHeight="1" x14ac:dyDescent="0.3">
      <c r="D195" s="307">
        <v>10</v>
      </c>
      <c r="E195" s="180" t="s">
        <v>2</v>
      </c>
      <c r="F195" s="245">
        <v>1</v>
      </c>
      <c r="G195" s="1"/>
      <c r="H195" s="383"/>
    </row>
    <row r="196" spans="4:8" ht="18.75" customHeight="1" x14ac:dyDescent="0.3">
      <c r="D196" s="307">
        <v>15</v>
      </c>
      <c r="E196" s="180" t="s">
        <v>2</v>
      </c>
      <c r="F196" s="245">
        <v>1</v>
      </c>
      <c r="G196" s="1"/>
      <c r="H196" s="383"/>
    </row>
    <row r="197" spans="4:8" ht="18.75" customHeight="1" x14ac:dyDescent="0.3">
      <c r="D197" s="307">
        <v>20</v>
      </c>
      <c r="E197" s="180" t="s">
        <v>2</v>
      </c>
      <c r="F197" s="245">
        <v>1</v>
      </c>
      <c r="G197" s="1"/>
      <c r="H197" s="383"/>
    </row>
    <row r="198" spans="4:8" ht="18.75" customHeight="1" x14ac:dyDescent="0.3">
      <c r="D198" s="307">
        <v>30</v>
      </c>
      <c r="E198" s="180" t="s">
        <v>2</v>
      </c>
      <c r="F198" s="245">
        <v>1</v>
      </c>
      <c r="G198" s="1"/>
      <c r="H198" s="383"/>
    </row>
    <row r="199" spans="4:8" ht="18.75" customHeight="1" x14ac:dyDescent="0.3">
      <c r="D199" s="307">
        <v>40</v>
      </c>
      <c r="E199" s="180" t="s">
        <v>2</v>
      </c>
      <c r="F199" s="245">
        <v>1</v>
      </c>
      <c r="G199" s="1"/>
      <c r="H199" s="383"/>
    </row>
    <row r="200" spans="4:8" ht="18.75" customHeight="1" x14ac:dyDescent="0.3">
      <c r="D200" s="307">
        <v>55</v>
      </c>
      <c r="E200" s="180" t="s">
        <v>2</v>
      </c>
      <c r="F200" s="245">
        <v>1</v>
      </c>
      <c r="G200" s="1"/>
      <c r="H200" s="383"/>
    </row>
    <row r="201" spans="4:8" ht="18.75" customHeight="1" x14ac:dyDescent="0.3">
      <c r="D201" s="307">
        <v>70</v>
      </c>
      <c r="E201" s="180" t="s">
        <v>2</v>
      </c>
      <c r="F201" s="245">
        <v>1</v>
      </c>
      <c r="G201" s="1"/>
      <c r="H201" s="383"/>
    </row>
    <row r="202" spans="4:8" ht="18.75" customHeight="1" x14ac:dyDescent="0.3">
      <c r="D202" s="307">
        <v>85</v>
      </c>
      <c r="E202" s="180" t="s">
        <v>2</v>
      </c>
      <c r="F202" s="245">
        <v>1</v>
      </c>
      <c r="G202" s="1"/>
      <c r="H202" s="383"/>
    </row>
    <row r="203" spans="4:8" ht="18.75" customHeight="1" x14ac:dyDescent="0.3">
      <c r="D203" s="307">
        <v>100</v>
      </c>
      <c r="E203" s="180" t="s">
        <v>2</v>
      </c>
      <c r="F203" s="245">
        <v>1</v>
      </c>
      <c r="G203" s="1"/>
      <c r="H203" s="383"/>
    </row>
    <row r="204" spans="4:8" ht="18.75" customHeight="1" x14ac:dyDescent="0.3">
      <c r="D204" s="307">
        <v>120</v>
      </c>
      <c r="E204" s="180" t="s">
        <v>2</v>
      </c>
      <c r="F204" s="245">
        <v>1</v>
      </c>
      <c r="G204" s="1"/>
      <c r="H204" s="383"/>
    </row>
    <row r="205" spans="4:8" ht="18.75" customHeight="1" x14ac:dyDescent="0.3">
      <c r="D205" s="181" t="s">
        <v>325</v>
      </c>
      <c r="E205" s="181"/>
      <c r="F205" s="245">
        <v>1</v>
      </c>
      <c r="G205" s="1"/>
      <c r="H205" s="383"/>
    </row>
    <row r="206" spans="4:8" ht="18.75" customHeight="1" x14ac:dyDescent="0.3">
      <c r="D206" s="180">
        <v>6</v>
      </c>
      <c r="E206" s="180" t="s">
        <v>2</v>
      </c>
      <c r="F206" s="245">
        <v>1</v>
      </c>
      <c r="G206" s="1"/>
      <c r="H206" s="383"/>
    </row>
    <row r="207" spans="4:8" ht="18.75" customHeight="1" x14ac:dyDescent="0.3">
      <c r="D207" s="180">
        <v>10</v>
      </c>
      <c r="E207" s="180" t="s">
        <v>2</v>
      </c>
      <c r="F207" s="245">
        <v>1</v>
      </c>
      <c r="G207" s="1"/>
      <c r="H207" s="383"/>
    </row>
    <row r="208" spans="4:8" ht="18.75" customHeight="1" x14ac:dyDescent="0.3">
      <c r="D208" s="180">
        <v>15</v>
      </c>
      <c r="E208" s="180" t="s">
        <v>2</v>
      </c>
      <c r="F208" s="245">
        <v>1</v>
      </c>
      <c r="G208" s="1"/>
      <c r="H208" s="383"/>
    </row>
    <row r="209" spans="4:8" ht="18.75" customHeight="1" x14ac:dyDescent="0.3">
      <c r="D209" s="180">
        <v>20</v>
      </c>
      <c r="E209" s="180" t="s">
        <v>2</v>
      </c>
      <c r="F209" s="245">
        <v>1</v>
      </c>
      <c r="G209" s="1"/>
      <c r="H209" s="383"/>
    </row>
    <row r="210" spans="4:8" ht="18.75" customHeight="1" x14ac:dyDescent="0.3">
      <c r="D210" s="180">
        <v>30</v>
      </c>
      <c r="E210" s="180" t="s">
        <v>2</v>
      </c>
      <c r="F210" s="245">
        <v>1</v>
      </c>
      <c r="G210" s="1"/>
      <c r="H210" s="383"/>
    </row>
    <row r="211" spans="4:8" ht="18.75" customHeight="1" x14ac:dyDescent="0.3">
      <c r="D211" s="180">
        <v>40</v>
      </c>
      <c r="E211" s="180" t="s">
        <v>2</v>
      </c>
      <c r="F211" s="245">
        <v>1</v>
      </c>
      <c r="G211" s="1"/>
      <c r="H211" s="383"/>
    </row>
    <row r="212" spans="4:8" ht="18.75" customHeight="1" x14ac:dyDescent="0.3">
      <c r="D212" s="180">
        <v>50</v>
      </c>
      <c r="E212" s="180" t="s">
        <v>2</v>
      </c>
      <c r="F212" s="245">
        <v>1</v>
      </c>
      <c r="G212" s="1"/>
      <c r="H212" s="383"/>
    </row>
    <row r="213" spans="4:8" ht="18.75" customHeight="1" x14ac:dyDescent="0.3">
      <c r="D213" s="180">
        <v>80</v>
      </c>
      <c r="E213" s="180" t="s">
        <v>2</v>
      </c>
      <c r="F213" s="245">
        <v>1</v>
      </c>
      <c r="G213" s="1"/>
      <c r="H213" s="383"/>
    </row>
    <row r="214" spans="4:8" ht="18.75" customHeight="1" x14ac:dyDescent="0.3">
      <c r="D214" s="180">
        <v>100</v>
      </c>
      <c r="E214" s="180" t="s">
        <v>2</v>
      </c>
      <c r="F214" s="245">
        <v>1</v>
      </c>
      <c r="G214" s="1"/>
      <c r="H214" s="383"/>
    </row>
    <row r="215" spans="4:8" ht="18.75" customHeight="1" x14ac:dyDescent="0.3">
      <c r="D215" s="180">
        <v>120</v>
      </c>
      <c r="E215" s="180" t="s">
        <v>2</v>
      </c>
      <c r="F215" s="245">
        <v>1</v>
      </c>
      <c r="G215" s="1"/>
      <c r="H215" s="383"/>
    </row>
    <row r="216" spans="4:8" ht="18.75" customHeight="1" x14ac:dyDescent="0.3">
      <c r="D216" s="181" t="s">
        <v>334</v>
      </c>
      <c r="E216" s="181"/>
      <c r="F216" s="245">
        <v>1</v>
      </c>
      <c r="G216" s="1"/>
      <c r="H216" s="383"/>
    </row>
    <row r="217" spans="4:8" ht="18.75" customHeight="1" x14ac:dyDescent="0.3">
      <c r="D217" s="180">
        <v>6</v>
      </c>
      <c r="E217" s="180" t="s">
        <v>2</v>
      </c>
      <c r="F217" s="245">
        <v>1</v>
      </c>
      <c r="G217" s="1"/>
      <c r="H217" s="383"/>
    </row>
    <row r="218" spans="4:8" ht="18.75" customHeight="1" x14ac:dyDescent="0.3">
      <c r="D218" s="180">
        <v>10</v>
      </c>
      <c r="E218" s="180" t="s">
        <v>2</v>
      </c>
      <c r="F218" s="245">
        <v>1</v>
      </c>
      <c r="G218" s="1"/>
      <c r="H218" s="383"/>
    </row>
    <row r="219" spans="4:8" ht="18.75" customHeight="1" x14ac:dyDescent="0.3">
      <c r="D219" s="180">
        <v>15</v>
      </c>
      <c r="E219" s="180" t="s">
        <v>2</v>
      </c>
      <c r="F219" s="245">
        <v>1</v>
      </c>
      <c r="G219" s="1"/>
      <c r="H219" s="383"/>
    </row>
    <row r="220" spans="4:8" ht="18.75" customHeight="1" x14ac:dyDescent="0.3">
      <c r="D220" s="180">
        <v>20</v>
      </c>
      <c r="E220" s="180" t="s">
        <v>2</v>
      </c>
      <c r="F220" s="245">
        <v>1</v>
      </c>
      <c r="G220" s="1"/>
      <c r="H220" s="383"/>
    </row>
    <row r="221" spans="4:8" ht="18.75" customHeight="1" x14ac:dyDescent="0.3">
      <c r="D221" s="180">
        <v>30</v>
      </c>
      <c r="E221" s="180" t="s">
        <v>2</v>
      </c>
      <c r="F221" s="245">
        <v>1</v>
      </c>
      <c r="G221" s="1"/>
      <c r="H221" s="383"/>
    </row>
    <row r="222" spans="4:8" ht="18.75" customHeight="1" x14ac:dyDescent="0.3">
      <c r="D222" s="180">
        <v>40</v>
      </c>
      <c r="E222" s="180" t="s">
        <v>2</v>
      </c>
      <c r="F222" s="245">
        <v>1</v>
      </c>
      <c r="G222" s="1"/>
      <c r="H222" s="383"/>
    </row>
    <row r="223" spans="4:8" ht="18.75" customHeight="1" x14ac:dyDescent="0.3">
      <c r="D223" s="180">
        <v>60</v>
      </c>
      <c r="E223" s="180" t="s">
        <v>2</v>
      </c>
      <c r="F223" s="245">
        <v>1</v>
      </c>
      <c r="G223" s="1"/>
      <c r="H223" s="383"/>
    </row>
    <row r="224" spans="4:8" ht="18.75" customHeight="1" x14ac:dyDescent="0.3">
      <c r="D224" s="180">
        <v>50</v>
      </c>
      <c r="E224" s="180" t="s">
        <v>2</v>
      </c>
      <c r="F224" s="245">
        <v>1</v>
      </c>
      <c r="G224" s="1"/>
      <c r="H224" s="383"/>
    </row>
    <row r="225" spans="4:8" ht="18.75" customHeight="1" x14ac:dyDescent="0.3">
      <c r="D225" s="180">
        <v>80</v>
      </c>
      <c r="E225" s="180" t="s">
        <v>2</v>
      </c>
      <c r="F225" s="245">
        <v>1</v>
      </c>
      <c r="G225" s="1"/>
      <c r="H225" s="383"/>
    </row>
    <row r="226" spans="4:8" ht="18.75" customHeight="1" x14ac:dyDescent="0.3">
      <c r="D226" s="180">
        <v>100</v>
      </c>
      <c r="E226" s="180" t="s">
        <v>2</v>
      </c>
      <c r="F226" s="245">
        <v>1</v>
      </c>
      <c r="G226" s="1"/>
      <c r="H226" s="383"/>
    </row>
    <row r="227" spans="4:8" ht="18.75" customHeight="1" x14ac:dyDescent="0.3">
      <c r="D227" s="180">
        <v>120</v>
      </c>
      <c r="E227" s="180" t="s">
        <v>2</v>
      </c>
      <c r="F227" s="245">
        <v>1</v>
      </c>
      <c r="G227" s="1"/>
      <c r="H227" s="383"/>
    </row>
    <row r="228" spans="4:8" ht="18.75" customHeight="1" x14ac:dyDescent="0.3">
      <c r="D228" s="181" t="s">
        <v>326</v>
      </c>
      <c r="E228" s="181"/>
      <c r="F228" s="245">
        <v>1</v>
      </c>
      <c r="G228" s="1"/>
      <c r="H228" s="383"/>
    </row>
    <row r="229" spans="4:8" ht="18.75" customHeight="1" x14ac:dyDescent="0.3">
      <c r="D229" s="180">
        <v>6</v>
      </c>
      <c r="E229" s="180" t="s">
        <v>2</v>
      </c>
      <c r="F229" s="245">
        <v>1</v>
      </c>
      <c r="G229" s="1"/>
      <c r="H229" s="383"/>
    </row>
    <row r="230" spans="4:8" ht="18.75" customHeight="1" x14ac:dyDescent="0.3">
      <c r="D230" s="180">
        <v>10</v>
      </c>
      <c r="E230" s="180" t="s">
        <v>2</v>
      </c>
      <c r="F230" s="245">
        <v>1</v>
      </c>
      <c r="G230" s="1"/>
      <c r="H230" s="383"/>
    </row>
    <row r="231" spans="4:8" ht="18.75" customHeight="1" x14ac:dyDescent="0.3">
      <c r="D231" s="180">
        <v>15</v>
      </c>
      <c r="E231" s="180" t="s">
        <v>2</v>
      </c>
      <c r="F231" s="245">
        <v>1</v>
      </c>
      <c r="G231" s="1"/>
      <c r="H231" s="383"/>
    </row>
    <row r="232" spans="4:8" ht="18.75" customHeight="1" x14ac:dyDescent="0.3">
      <c r="D232" s="180">
        <v>20</v>
      </c>
      <c r="E232" s="180" t="s">
        <v>2</v>
      </c>
      <c r="F232" s="245">
        <v>1</v>
      </c>
      <c r="G232" s="1"/>
      <c r="H232" s="383"/>
    </row>
    <row r="233" spans="4:8" ht="18.75" customHeight="1" x14ac:dyDescent="0.3">
      <c r="D233" s="180">
        <v>30</v>
      </c>
      <c r="E233" s="180" t="s">
        <v>2</v>
      </c>
      <c r="F233" s="245">
        <v>1</v>
      </c>
      <c r="G233" s="1"/>
      <c r="H233" s="383"/>
    </row>
    <row r="234" spans="4:8" ht="18.75" customHeight="1" x14ac:dyDescent="0.3">
      <c r="D234" s="180">
        <v>40</v>
      </c>
      <c r="E234" s="180" t="s">
        <v>2</v>
      </c>
      <c r="F234" s="245">
        <v>1</v>
      </c>
      <c r="G234" s="1"/>
      <c r="H234" s="383"/>
    </row>
    <row r="235" spans="4:8" ht="18.75" customHeight="1" x14ac:dyDescent="0.3">
      <c r="D235" s="180">
        <v>60</v>
      </c>
      <c r="E235" s="180" t="s">
        <v>2</v>
      </c>
      <c r="F235" s="245">
        <v>1</v>
      </c>
      <c r="G235" s="1"/>
      <c r="H235" s="383"/>
    </row>
    <row r="236" spans="4:8" ht="18.75" customHeight="1" x14ac:dyDescent="0.3">
      <c r="D236" s="180">
        <v>50</v>
      </c>
      <c r="E236" s="180" t="s">
        <v>2</v>
      </c>
      <c r="F236" s="245">
        <v>1</v>
      </c>
      <c r="G236" s="1"/>
      <c r="H236" s="383"/>
    </row>
    <row r="237" spans="4:8" ht="18.75" customHeight="1" x14ac:dyDescent="0.3">
      <c r="D237" s="180">
        <v>80</v>
      </c>
      <c r="E237" s="180" t="s">
        <v>2</v>
      </c>
      <c r="F237" s="245">
        <v>1</v>
      </c>
      <c r="G237" s="1"/>
      <c r="H237" s="383"/>
    </row>
    <row r="238" spans="4:8" ht="18.75" customHeight="1" x14ac:dyDescent="0.3">
      <c r="D238" s="180">
        <v>100</v>
      </c>
      <c r="E238" s="180" t="s">
        <v>2</v>
      </c>
      <c r="F238" s="245">
        <v>1</v>
      </c>
      <c r="G238" s="1"/>
      <c r="H238" s="383"/>
    </row>
    <row r="239" spans="4:8" ht="18.75" customHeight="1" x14ac:dyDescent="0.3">
      <c r="D239" s="180">
        <v>120</v>
      </c>
      <c r="E239" s="180" t="s">
        <v>2</v>
      </c>
      <c r="F239" s="245">
        <v>1</v>
      </c>
      <c r="G239" s="1"/>
      <c r="H239" s="383"/>
    </row>
    <row r="240" spans="4:8" ht="18.75" customHeight="1" x14ac:dyDescent="0.3">
      <c r="D240" s="181" t="s">
        <v>327</v>
      </c>
      <c r="E240" s="181"/>
      <c r="F240" s="245">
        <v>1</v>
      </c>
      <c r="G240" s="1"/>
      <c r="H240" s="383"/>
    </row>
    <row r="241" spans="4:8" ht="18.75" customHeight="1" x14ac:dyDescent="0.3">
      <c r="D241" s="180">
        <v>6</v>
      </c>
      <c r="E241" s="180" t="s">
        <v>2</v>
      </c>
      <c r="F241" s="245">
        <v>1</v>
      </c>
      <c r="G241" s="1"/>
      <c r="H241" s="383"/>
    </row>
    <row r="242" spans="4:8" ht="18.75" customHeight="1" x14ac:dyDescent="0.3">
      <c r="D242" s="180">
        <v>10</v>
      </c>
      <c r="E242" s="180" t="s">
        <v>2</v>
      </c>
      <c r="F242" s="245">
        <v>1</v>
      </c>
      <c r="G242" s="1"/>
      <c r="H242" s="383"/>
    </row>
    <row r="243" spans="4:8" ht="18.75" customHeight="1" x14ac:dyDescent="0.3">
      <c r="D243" s="180">
        <v>15</v>
      </c>
      <c r="E243" s="180" t="s">
        <v>2</v>
      </c>
      <c r="F243" s="245">
        <v>1</v>
      </c>
      <c r="G243" s="1"/>
      <c r="H243" s="383"/>
    </row>
    <row r="244" spans="4:8" ht="18.75" customHeight="1" x14ac:dyDescent="0.3">
      <c r="D244" s="180">
        <v>20</v>
      </c>
      <c r="E244" s="180" t="s">
        <v>2</v>
      </c>
      <c r="F244" s="245">
        <v>1</v>
      </c>
      <c r="G244" s="1"/>
      <c r="H244" s="383"/>
    </row>
    <row r="245" spans="4:8" ht="18.75" customHeight="1" x14ac:dyDescent="0.3">
      <c r="D245" s="180">
        <v>30</v>
      </c>
      <c r="E245" s="180" t="s">
        <v>2</v>
      </c>
      <c r="F245" s="245">
        <v>1</v>
      </c>
      <c r="G245" s="1"/>
      <c r="H245" s="383"/>
    </row>
    <row r="246" spans="4:8" ht="18.75" customHeight="1" x14ac:dyDescent="0.3">
      <c r="D246" s="180">
        <v>40</v>
      </c>
      <c r="E246" s="180" t="s">
        <v>2</v>
      </c>
      <c r="F246" s="245">
        <v>1</v>
      </c>
      <c r="G246" s="1"/>
      <c r="H246" s="383"/>
    </row>
    <row r="247" spans="4:8" ht="18.75" customHeight="1" x14ac:dyDescent="0.3">
      <c r="D247" s="180">
        <v>60</v>
      </c>
      <c r="E247" s="180" t="s">
        <v>2</v>
      </c>
      <c r="F247" s="245">
        <v>1</v>
      </c>
      <c r="G247" s="1"/>
      <c r="H247" s="383"/>
    </row>
    <row r="248" spans="4:8" ht="18.75" customHeight="1" x14ac:dyDescent="0.3">
      <c r="D248" s="180">
        <v>50</v>
      </c>
      <c r="E248" s="180" t="s">
        <v>2</v>
      </c>
      <c r="F248" s="245">
        <v>1</v>
      </c>
      <c r="G248" s="1"/>
      <c r="H248" s="383"/>
    </row>
    <row r="249" spans="4:8" ht="18.75" customHeight="1" x14ac:dyDescent="0.3">
      <c r="D249" s="180">
        <v>80</v>
      </c>
      <c r="E249" s="180" t="s">
        <v>2</v>
      </c>
      <c r="F249" s="245">
        <v>1</v>
      </c>
      <c r="G249" s="1"/>
      <c r="H249" s="383"/>
    </row>
    <row r="250" spans="4:8" ht="18.75" customHeight="1" x14ac:dyDescent="0.3">
      <c r="D250" s="180">
        <v>100</v>
      </c>
      <c r="E250" s="180" t="s">
        <v>2</v>
      </c>
      <c r="F250" s="245">
        <v>1</v>
      </c>
      <c r="G250" s="1"/>
      <c r="H250" s="383"/>
    </row>
    <row r="251" spans="4:8" ht="18.75" customHeight="1" x14ac:dyDescent="0.3">
      <c r="D251" s="180">
        <v>120</v>
      </c>
      <c r="E251" s="180" t="s">
        <v>2</v>
      </c>
      <c r="F251" s="245">
        <v>1</v>
      </c>
      <c r="G251" s="1"/>
      <c r="H251" s="383"/>
    </row>
    <row r="252" spans="4:8" ht="18.75" customHeight="1" x14ac:dyDescent="0.3">
      <c r="D252" s="181" t="s">
        <v>328</v>
      </c>
      <c r="E252" s="181"/>
      <c r="F252" s="245">
        <v>1</v>
      </c>
      <c r="G252" s="1"/>
      <c r="H252" s="383"/>
    </row>
    <row r="253" spans="4:8" ht="18.75" customHeight="1" x14ac:dyDescent="0.3">
      <c r="D253" s="180">
        <v>8</v>
      </c>
      <c r="E253" s="180" t="s">
        <v>2</v>
      </c>
      <c r="F253" s="245">
        <v>1</v>
      </c>
      <c r="G253" s="1"/>
      <c r="H253" s="383"/>
    </row>
    <row r="254" spans="4:8" ht="18.75" customHeight="1" x14ac:dyDescent="0.3">
      <c r="D254" s="180">
        <v>10</v>
      </c>
      <c r="E254" s="180" t="s">
        <v>2</v>
      </c>
      <c r="F254" s="245">
        <v>1</v>
      </c>
      <c r="G254" s="1"/>
      <c r="H254" s="383"/>
    </row>
    <row r="255" spans="4:8" ht="18.75" customHeight="1" x14ac:dyDescent="0.3">
      <c r="D255" s="180">
        <v>15</v>
      </c>
      <c r="E255" s="180" t="s">
        <v>2</v>
      </c>
      <c r="F255" s="245">
        <v>1</v>
      </c>
      <c r="G255" s="1"/>
      <c r="H255" s="383"/>
    </row>
    <row r="256" spans="4:8" ht="18" customHeight="1" x14ac:dyDescent="0.3">
      <c r="D256" s="180">
        <v>20</v>
      </c>
      <c r="E256" s="180" t="s">
        <v>2</v>
      </c>
      <c r="F256" s="245">
        <v>1</v>
      </c>
      <c r="G256" s="1"/>
      <c r="H256" s="383"/>
    </row>
    <row r="257" spans="2:8" ht="18" customHeight="1" x14ac:dyDescent="0.3">
      <c r="B257" s="154"/>
      <c r="C257" s="154"/>
      <c r="D257" s="180">
        <v>35</v>
      </c>
      <c r="E257" s="180" t="s">
        <v>2</v>
      </c>
      <c r="F257" s="245">
        <v>1</v>
      </c>
      <c r="G257" s="1"/>
      <c r="H257" s="383"/>
    </row>
    <row r="258" spans="2:8" ht="18" customHeight="1" x14ac:dyDescent="0.3">
      <c r="B258" s="154"/>
      <c r="C258" s="154"/>
      <c r="D258" s="180">
        <v>40</v>
      </c>
      <c r="E258" s="180" t="s">
        <v>2</v>
      </c>
      <c r="F258" s="245">
        <v>1</v>
      </c>
      <c r="G258" s="1"/>
      <c r="H258" s="383"/>
    </row>
    <row r="259" spans="2:8" ht="18.75" customHeight="1" x14ac:dyDescent="0.3">
      <c r="B259" s="154"/>
      <c r="C259" s="154"/>
      <c r="D259" s="180">
        <v>60</v>
      </c>
      <c r="E259" s="180" t="s">
        <v>2</v>
      </c>
      <c r="F259" s="245">
        <v>1</v>
      </c>
      <c r="G259" s="1"/>
      <c r="H259" s="383"/>
    </row>
    <row r="260" spans="2:8" ht="18.75" customHeight="1" x14ac:dyDescent="0.3">
      <c r="B260" s="154"/>
      <c r="C260" s="154"/>
      <c r="D260" s="180">
        <v>50</v>
      </c>
      <c r="E260" s="180" t="s">
        <v>2</v>
      </c>
      <c r="F260" s="245">
        <v>1</v>
      </c>
      <c r="G260" s="1"/>
      <c r="H260" s="383"/>
    </row>
    <row r="261" spans="2:8" ht="18.75" customHeight="1" x14ac:dyDescent="0.3">
      <c r="D261" s="180">
        <v>80</v>
      </c>
      <c r="E261" s="180" t="s">
        <v>2</v>
      </c>
      <c r="F261" s="245">
        <v>1</v>
      </c>
      <c r="G261" s="1"/>
      <c r="H261" s="383"/>
    </row>
    <row r="262" spans="2:8" ht="18.75" customHeight="1" x14ac:dyDescent="0.3">
      <c r="D262" s="180">
        <v>100</v>
      </c>
      <c r="E262" s="180" t="s">
        <v>2</v>
      </c>
      <c r="F262" s="245">
        <v>1</v>
      </c>
      <c r="G262" s="1"/>
      <c r="H262" s="383"/>
    </row>
    <row r="263" spans="2:8" ht="18.75" customHeight="1" x14ac:dyDescent="0.3">
      <c r="D263" s="180">
        <v>120</v>
      </c>
      <c r="E263" s="180" t="s">
        <v>2</v>
      </c>
      <c r="F263" s="245">
        <v>1</v>
      </c>
      <c r="G263" s="1"/>
      <c r="H263" s="383"/>
    </row>
    <row r="264" spans="2:8" ht="18.75" customHeight="1" x14ac:dyDescent="0.3">
      <c r="D264" s="181" t="s">
        <v>329</v>
      </c>
      <c r="E264" s="181"/>
      <c r="F264" s="245">
        <v>1</v>
      </c>
      <c r="G264" s="1"/>
      <c r="H264" s="383"/>
    </row>
    <row r="265" spans="2:8" ht="18.75" customHeight="1" x14ac:dyDescent="0.3">
      <c r="D265" s="180">
        <v>8</v>
      </c>
      <c r="E265" s="180" t="s">
        <v>2</v>
      </c>
      <c r="F265" s="245">
        <v>1</v>
      </c>
      <c r="G265" s="1"/>
      <c r="H265" s="383"/>
    </row>
    <row r="266" spans="2:8" ht="18.75" customHeight="1" x14ac:dyDescent="0.3">
      <c r="D266" s="180">
        <v>10</v>
      </c>
      <c r="E266" s="180" t="s">
        <v>2</v>
      </c>
      <c r="F266" s="245">
        <v>1</v>
      </c>
      <c r="G266" s="1"/>
      <c r="H266" s="383"/>
    </row>
    <row r="267" spans="2:8" ht="18.75" customHeight="1" x14ac:dyDescent="0.3">
      <c r="D267" s="180">
        <v>15</v>
      </c>
      <c r="E267" s="180" t="s">
        <v>2</v>
      </c>
      <c r="F267" s="245">
        <v>1</v>
      </c>
      <c r="G267" s="1"/>
      <c r="H267" s="383"/>
    </row>
    <row r="268" spans="2:8" ht="18.75" customHeight="1" x14ac:dyDescent="0.3">
      <c r="D268" s="180">
        <v>20</v>
      </c>
      <c r="E268" s="180" t="s">
        <v>2</v>
      </c>
      <c r="F268" s="245">
        <v>1</v>
      </c>
      <c r="G268" s="1"/>
      <c r="H268" s="383"/>
    </row>
    <row r="269" spans="2:8" ht="18.75" customHeight="1" x14ac:dyDescent="0.3">
      <c r="D269" s="180">
        <v>30</v>
      </c>
      <c r="E269" s="180" t="s">
        <v>2</v>
      </c>
      <c r="F269" s="245">
        <v>1</v>
      </c>
      <c r="G269" s="1"/>
      <c r="H269" s="383"/>
    </row>
    <row r="270" spans="2:8" ht="18.75" customHeight="1" x14ac:dyDescent="0.3">
      <c r="D270" s="180">
        <v>40</v>
      </c>
      <c r="E270" s="180" t="s">
        <v>2</v>
      </c>
      <c r="F270" s="245">
        <v>1</v>
      </c>
      <c r="G270" s="1"/>
      <c r="H270" s="383"/>
    </row>
    <row r="271" spans="2:8" ht="18.75" customHeight="1" x14ac:dyDescent="0.3">
      <c r="D271" s="180">
        <v>60</v>
      </c>
      <c r="E271" s="180" t="s">
        <v>2</v>
      </c>
      <c r="F271" s="245">
        <v>1</v>
      </c>
      <c r="G271" s="1"/>
      <c r="H271" s="383"/>
    </row>
    <row r="272" spans="2:8" ht="18.75" customHeight="1" x14ac:dyDescent="0.3">
      <c r="D272" s="180">
        <v>50</v>
      </c>
      <c r="E272" s="180" t="s">
        <v>2</v>
      </c>
      <c r="F272" s="245">
        <v>1</v>
      </c>
      <c r="G272" s="1"/>
      <c r="H272" s="383"/>
    </row>
    <row r="273" spans="4:8" ht="18.75" customHeight="1" x14ac:dyDescent="0.3">
      <c r="D273" s="180">
        <v>80</v>
      </c>
      <c r="E273" s="180" t="s">
        <v>2</v>
      </c>
      <c r="F273" s="245">
        <v>1</v>
      </c>
      <c r="G273" s="1"/>
      <c r="H273" s="383"/>
    </row>
    <row r="274" spans="4:8" ht="18.75" customHeight="1" x14ac:dyDescent="0.3">
      <c r="D274" s="180">
        <v>100</v>
      </c>
      <c r="E274" s="180" t="s">
        <v>2</v>
      </c>
      <c r="F274" s="245">
        <v>1</v>
      </c>
      <c r="G274" s="1"/>
      <c r="H274" s="383"/>
    </row>
    <row r="275" spans="4:8" ht="18.75" customHeight="1" x14ac:dyDescent="0.3">
      <c r="D275" s="180">
        <v>120</v>
      </c>
      <c r="E275" s="180" t="s">
        <v>2</v>
      </c>
      <c r="F275" s="245">
        <v>1</v>
      </c>
      <c r="G275" s="1"/>
      <c r="H275" s="383"/>
    </row>
    <row r="276" spans="4:8" ht="15.75" customHeight="1" x14ac:dyDescent="0.3">
      <c r="D276" s="179" t="s">
        <v>336</v>
      </c>
      <c r="E276" s="179"/>
      <c r="F276" s="245">
        <v>1</v>
      </c>
      <c r="G276" s="1"/>
    </row>
    <row r="277" spans="4:8" ht="15.75" customHeight="1" x14ac:dyDescent="0.3">
      <c r="D277" s="307">
        <v>8</v>
      </c>
      <c r="E277" s="180" t="s">
        <v>2</v>
      </c>
      <c r="F277" s="245">
        <v>1</v>
      </c>
      <c r="G277" s="1"/>
    </row>
    <row r="278" spans="4:8" ht="15.75" customHeight="1" x14ac:dyDescent="0.3">
      <c r="D278" s="307">
        <v>10</v>
      </c>
      <c r="E278" s="180" t="s">
        <v>2</v>
      </c>
      <c r="F278" s="245">
        <v>1</v>
      </c>
      <c r="G278" s="1"/>
    </row>
    <row r="279" spans="4:8" ht="15.75" customHeight="1" x14ac:dyDescent="0.3">
      <c r="D279" s="307">
        <v>15</v>
      </c>
      <c r="E279" s="180" t="s">
        <v>2</v>
      </c>
      <c r="F279" s="245">
        <v>1</v>
      </c>
      <c r="G279" s="1"/>
    </row>
    <row r="280" spans="4:8" ht="15.75" customHeight="1" x14ac:dyDescent="0.3">
      <c r="D280" s="307">
        <v>20</v>
      </c>
      <c r="E280" s="180" t="s">
        <v>2</v>
      </c>
      <c r="F280" s="245">
        <v>1</v>
      </c>
      <c r="G280" s="1"/>
    </row>
    <row r="281" spans="4:8" ht="15.75" customHeight="1" x14ac:dyDescent="0.3">
      <c r="D281" s="307">
        <v>30</v>
      </c>
      <c r="E281" s="180" t="s">
        <v>2</v>
      </c>
      <c r="F281" s="245">
        <v>1</v>
      </c>
      <c r="G281" s="1"/>
    </row>
    <row r="282" spans="4:8" ht="15.75" customHeight="1" x14ac:dyDescent="0.3">
      <c r="D282" s="307">
        <v>40</v>
      </c>
      <c r="E282" s="180" t="s">
        <v>2</v>
      </c>
      <c r="F282" s="245">
        <v>1</v>
      </c>
      <c r="G282" s="1"/>
    </row>
    <row r="283" spans="4:8" ht="15.75" customHeight="1" x14ac:dyDescent="0.3">
      <c r="D283" s="307">
        <v>50</v>
      </c>
      <c r="E283" s="180" t="s">
        <v>2</v>
      </c>
      <c r="F283" s="245">
        <v>1</v>
      </c>
      <c r="G283" s="1"/>
    </row>
    <row r="284" spans="4:8" ht="15.75" customHeight="1" x14ac:dyDescent="0.3">
      <c r="D284" s="307">
        <v>60</v>
      </c>
      <c r="E284" s="180" t="s">
        <v>2</v>
      </c>
      <c r="F284" s="245">
        <v>1</v>
      </c>
      <c r="G284" s="1"/>
    </row>
    <row r="285" spans="4:8" ht="15.75" customHeight="1" x14ac:dyDescent="0.3">
      <c r="D285" s="307">
        <v>80</v>
      </c>
      <c r="E285" s="180" t="s">
        <v>2</v>
      </c>
      <c r="F285" s="245">
        <v>1</v>
      </c>
      <c r="G285" s="1"/>
    </row>
    <row r="286" spans="4:8" ht="15.75" customHeight="1" x14ac:dyDescent="0.3">
      <c r="D286" s="307">
        <v>100</v>
      </c>
      <c r="E286" s="180" t="s">
        <v>2</v>
      </c>
      <c r="F286" s="245">
        <v>1</v>
      </c>
      <c r="G286" s="1"/>
    </row>
    <row r="287" spans="4:8" ht="15.75" customHeight="1" x14ac:dyDescent="0.3">
      <c r="D287" s="307">
        <v>120</v>
      </c>
      <c r="E287" s="180" t="s">
        <v>2</v>
      </c>
      <c r="F287" s="245">
        <v>1</v>
      </c>
      <c r="G287" s="1"/>
    </row>
    <row r="288" spans="4:8" ht="15.75" customHeight="1" x14ac:dyDescent="0.3">
      <c r="D288" s="181" t="s">
        <v>337</v>
      </c>
      <c r="E288" s="181"/>
      <c r="F288" s="245">
        <v>1</v>
      </c>
      <c r="G288" s="1"/>
    </row>
    <row r="289" spans="4:7" ht="15.75" customHeight="1" x14ac:dyDescent="0.3">
      <c r="D289" s="307">
        <v>6</v>
      </c>
      <c r="E289" s="180" t="s">
        <v>2</v>
      </c>
      <c r="F289" s="245">
        <v>1</v>
      </c>
      <c r="G289" s="1"/>
    </row>
    <row r="290" spans="4:7" ht="15.75" customHeight="1" x14ac:dyDescent="0.3">
      <c r="D290" s="307">
        <v>10</v>
      </c>
      <c r="E290" s="180" t="s">
        <v>2</v>
      </c>
      <c r="F290" s="245">
        <v>1</v>
      </c>
      <c r="G290" s="1"/>
    </row>
    <row r="291" spans="4:7" ht="15.75" customHeight="1" x14ac:dyDescent="0.3">
      <c r="D291" s="307">
        <v>20</v>
      </c>
      <c r="E291" s="180" t="s">
        <v>2</v>
      </c>
      <c r="F291" s="245">
        <v>1</v>
      </c>
      <c r="G291" s="1"/>
    </row>
    <row r="292" spans="4:7" ht="15.75" customHeight="1" x14ac:dyDescent="0.3">
      <c r="D292" s="307">
        <v>30</v>
      </c>
      <c r="E292" s="180" t="s">
        <v>2</v>
      </c>
      <c r="F292" s="245">
        <v>1</v>
      </c>
      <c r="G292" s="1"/>
    </row>
    <row r="293" spans="4:7" ht="15.75" customHeight="1" x14ac:dyDescent="0.3">
      <c r="D293" s="307">
        <v>40</v>
      </c>
      <c r="E293" s="180" t="s">
        <v>2</v>
      </c>
      <c r="F293" s="245">
        <v>1</v>
      </c>
      <c r="G293" s="1"/>
    </row>
    <row r="294" spans="4:7" ht="15.75" customHeight="1" x14ac:dyDescent="0.3">
      <c r="D294" s="307">
        <v>50</v>
      </c>
      <c r="E294" s="180" t="s">
        <v>2</v>
      </c>
      <c r="F294" s="245">
        <v>1</v>
      </c>
      <c r="G294" s="1"/>
    </row>
    <row r="295" spans="4:7" ht="15.75" customHeight="1" x14ac:dyDescent="0.3">
      <c r="D295" s="307">
        <v>60</v>
      </c>
      <c r="E295" s="180" t="s">
        <v>2</v>
      </c>
      <c r="F295" s="245">
        <v>1</v>
      </c>
      <c r="G295" s="1"/>
    </row>
    <row r="296" spans="4:7" ht="15.75" customHeight="1" x14ac:dyDescent="0.3">
      <c r="D296" s="307">
        <v>80</v>
      </c>
      <c r="E296" s="180" t="s">
        <v>2</v>
      </c>
      <c r="F296" s="245">
        <v>1</v>
      </c>
      <c r="G296" s="1"/>
    </row>
    <row r="297" spans="4:7" ht="15.75" customHeight="1" x14ac:dyDescent="0.3">
      <c r="D297" s="307">
        <v>100</v>
      </c>
      <c r="E297" s="180" t="s">
        <v>2</v>
      </c>
      <c r="F297" s="245">
        <v>1</v>
      </c>
      <c r="G297" s="1"/>
    </row>
    <row r="298" spans="4:7" ht="15.75" customHeight="1" x14ac:dyDescent="0.3">
      <c r="D298" s="307">
        <v>120</v>
      </c>
      <c r="E298" s="180" t="s">
        <v>2</v>
      </c>
      <c r="F298" s="245">
        <v>1</v>
      </c>
      <c r="G298" s="1"/>
    </row>
    <row r="299" spans="4:7" ht="15.75" customHeight="1" x14ac:dyDescent="0.3">
      <c r="D299" s="181" t="s">
        <v>338</v>
      </c>
      <c r="E299" s="181"/>
      <c r="F299" s="245">
        <v>1</v>
      </c>
      <c r="G299" s="1"/>
    </row>
    <row r="300" spans="4:7" ht="15.75" customHeight="1" x14ac:dyDescent="0.3">
      <c r="D300" s="180">
        <v>6</v>
      </c>
      <c r="E300" s="180" t="s">
        <v>2</v>
      </c>
      <c r="F300" s="245">
        <v>1</v>
      </c>
      <c r="G300" s="1"/>
    </row>
    <row r="301" spans="4:7" ht="15.75" customHeight="1" x14ac:dyDescent="0.3">
      <c r="D301" s="180">
        <v>10</v>
      </c>
      <c r="E301" s="180" t="s">
        <v>2</v>
      </c>
      <c r="F301" s="245">
        <v>1</v>
      </c>
      <c r="G301" s="1"/>
    </row>
    <row r="302" spans="4:7" ht="15.75" customHeight="1" x14ac:dyDescent="0.3">
      <c r="D302" s="180">
        <v>15</v>
      </c>
      <c r="E302" s="180" t="s">
        <v>2</v>
      </c>
      <c r="F302" s="245">
        <v>1</v>
      </c>
      <c r="G302" s="1"/>
    </row>
    <row r="303" spans="4:7" ht="15.75" customHeight="1" x14ac:dyDescent="0.3">
      <c r="D303" s="180">
        <v>20</v>
      </c>
      <c r="E303" s="180" t="s">
        <v>2</v>
      </c>
      <c r="F303" s="245">
        <v>1</v>
      </c>
      <c r="G303" s="1"/>
    </row>
    <row r="304" spans="4:7" ht="15.75" customHeight="1" x14ac:dyDescent="0.3">
      <c r="D304" s="180">
        <v>30</v>
      </c>
      <c r="E304" s="180" t="s">
        <v>2</v>
      </c>
      <c r="F304" s="245">
        <v>1</v>
      </c>
      <c r="G304" s="1"/>
    </row>
    <row r="305" spans="4:7" ht="15.75" customHeight="1" x14ac:dyDescent="0.3">
      <c r="D305" s="180">
        <v>40</v>
      </c>
      <c r="E305" s="180" t="s">
        <v>2</v>
      </c>
      <c r="F305" s="245">
        <v>1</v>
      </c>
      <c r="G305" s="1"/>
    </row>
    <row r="306" spans="4:7" ht="15.75" customHeight="1" x14ac:dyDescent="0.3">
      <c r="D306" s="180">
        <v>50</v>
      </c>
      <c r="E306" s="180" t="s">
        <v>2</v>
      </c>
      <c r="F306" s="245">
        <v>1</v>
      </c>
      <c r="G306" s="1"/>
    </row>
    <row r="307" spans="4:7" ht="15.75" customHeight="1" x14ac:dyDescent="0.3">
      <c r="D307" s="180">
        <v>60</v>
      </c>
      <c r="E307" s="180" t="s">
        <v>2</v>
      </c>
      <c r="F307" s="245">
        <v>1</v>
      </c>
      <c r="G307" s="1"/>
    </row>
    <row r="308" spans="4:7" ht="15.75" customHeight="1" x14ac:dyDescent="0.3">
      <c r="D308" s="180">
        <v>80</v>
      </c>
      <c r="E308" s="180" t="s">
        <v>2</v>
      </c>
      <c r="F308" s="245">
        <v>1</v>
      </c>
      <c r="G308" s="1"/>
    </row>
    <row r="309" spans="4:7" ht="15.75" customHeight="1" x14ac:dyDescent="0.3">
      <c r="D309" s="180">
        <v>100</v>
      </c>
      <c r="E309" s="180" t="s">
        <v>2</v>
      </c>
      <c r="F309" s="245">
        <v>1</v>
      </c>
      <c r="G309" s="1"/>
    </row>
    <row r="310" spans="4:7" ht="15.75" customHeight="1" x14ac:dyDescent="0.3">
      <c r="D310" s="180">
        <v>120</v>
      </c>
      <c r="E310" s="180" t="s">
        <v>2</v>
      </c>
      <c r="F310" s="245">
        <v>1</v>
      </c>
      <c r="G310" s="1"/>
    </row>
    <row r="311" spans="4:7" ht="15.75" customHeight="1" x14ac:dyDescent="0.3">
      <c r="D311" s="181" t="s">
        <v>339</v>
      </c>
      <c r="E311" s="181"/>
      <c r="F311" s="245">
        <v>1</v>
      </c>
      <c r="G311" s="1"/>
    </row>
    <row r="312" spans="4:7" ht="15.75" customHeight="1" x14ac:dyDescent="0.3">
      <c r="D312" s="180">
        <v>6</v>
      </c>
      <c r="E312" s="180" t="s">
        <v>2</v>
      </c>
      <c r="F312" s="245">
        <v>1</v>
      </c>
      <c r="G312" s="1"/>
    </row>
    <row r="313" spans="4:7" ht="15.75" customHeight="1" x14ac:dyDescent="0.3">
      <c r="D313" s="180">
        <v>10</v>
      </c>
      <c r="E313" s="180" t="s">
        <v>2</v>
      </c>
      <c r="F313" s="245">
        <v>1</v>
      </c>
      <c r="G313" s="1"/>
    </row>
    <row r="314" spans="4:7" ht="15.75" customHeight="1" x14ac:dyDescent="0.3">
      <c r="D314" s="180">
        <v>15</v>
      </c>
      <c r="E314" s="180" t="s">
        <v>2</v>
      </c>
      <c r="F314" s="245">
        <v>1</v>
      </c>
      <c r="G314" s="1"/>
    </row>
    <row r="315" spans="4:7" ht="15.75" customHeight="1" x14ac:dyDescent="0.3">
      <c r="D315" s="180">
        <v>20</v>
      </c>
      <c r="E315" s="180" t="s">
        <v>2</v>
      </c>
      <c r="F315" s="245">
        <v>1</v>
      </c>
      <c r="G315" s="1"/>
    </row>
    <row r="316" spans="4:7" ht="15.75" customHeight="1" x14ac:dyDescent="0.3">
      <c r="D316" s="180">
        <v>30</v>
      </c>
      <c r="E316" s="180" t="s">
        <v>2</v>
      </c>
      <c r="F316" s="245">
        <v>1</v>
      </c>
      <c r="G316" s="1"/>
    </row>
    <row r="317" spans="4:7" ht="15.75" customHeight="1" x14ac:dyDescent="0.3">
      <c r="D317" s="180">
        <v>40</v>
      </c>
      <c r="E317" s="180" t="s">
        <v>2</v>
      </c>
      <c r="F317" s="245">
        <v>1</v>
      </c>
      <c r="G317" s="1"/>
    </row>
    <row r="318" spans="4:7" ht="15.75" customHeight="1" x14ac:dyDescent="0.3">
      <c r="D318" s="180">
        <v>60</v>
      </c>
      <c r="E318" s="180" t="s">
        <v>2</v>
      </c>
      <c r="F318" s="245">
        <v>1</v>
      </c>
      <c r="G318" s="1"/>
    </row>
    <row r="319" spans="4:7" ht="15.75" customHeight="1" x14ac:dyDescent="0.3">
      <c r="D319" s="180">
        <v>50</v>
      </c>
      <c r="E319" s="180" t="s">
        <v>2</v>
      </c>
      <c r="F319" s="245">
        <v>1</v>
      </c>
      <c r="G319" s="1"/>
    </row>
    <row r="320" spans="4:7" ht="15.75" customHeight="1" x14ac:dyDescent="0.3">
      <c r="D320" s="180">
        <v>80</v>
      </c>
      <c r="E320" s="180" t="s">
        <v>2</v>
      </c>
      <c r="F320" s="245">
        <v>1</v>
      </c>
      <c r="G320" s="1"/>
    </row>
    <row r="321" spans="4:7" ht="15.75" customHeight="1" x14ac:dyDescent="0.3">
      <c r="D321" s="180">
        <v>100</v>
      </c>
      <c r="E321" s="180" t="s">
        <v>2</v>
      </c>
      <c r="F321" s="245">
        <v>1</v>
      </c>
      <c r="G321" s="1"/>
    </row>
    <row r="322" spans="4:7" ht="15.75" customHeight="1" x14ac:dyDescent="0.3">
      <c r="D322" s="180">
        <v>120</v>
      </c>
      <c r="E322" s="180" t="s">
        <v>2</v>
      </c>
      <c r="F322" s="245">
        <v>1</v>
      </c>
      <c r="G322" s="1"/>
    </row>
    <row r="323" spans="4:7" ht="15.75" customHeight="1" x14ac:dyDescent="0.3">
      <c r="D323" s="181" t="s">
        <v>340</v>
      </c>
      <c r="E323" s="181"/>
      <c r="F323" s="245">
        <v>1</v>
      </c>
      <c r="G323" s="1"/>
    </row>
    <row r="324" spans="4:7" ht="15.75" customHeight="1" x14ac:dyDescent="0.3">
      <c r="D324" s="180">
        <v>6</v>
      </c>
      <c r="E324" s="180" t="s">
        <v>2</v>
      </c>
      <c r="F324" s="245">
        <v>1</v>
      </c>
      <c r="G324" s="1"/>
    </row>
    <row r="325" spans="4:7" ht="15.75" customHeight="1" x14ac:dyDescent="0.3">
      <c r="D325" s="180">
        <v>10</v>
      </c>
      <c r="E325" s="180" t="s">
        <v>2</v>
      </c>
      <c r="F325" s="245">
        <v>1</v>
      </c>
      <c r="G325" s="1"/>
    </row>
    <row r="326" spans="4:7" ht="15.75" customHeight="1" x14ac:dyDescent="0.3">
      <c r="D326" s="180">
        <v>15</v>
      </c>
      <c r="E326" s="180" t="s">
        <v>2</v>
      </c>
      <c r="F326" s="245">
        <v>1</v>
      </c>
      <c r="G326" s="1"/>
    </row>
    <row r="327" spans="4:7" ht="15.75" customHeight="1" x14ac:dyDescent="0.3">
      <c r="D327" s="180">
        <v>20</v>
      </c>
      <c r="E327" s="180" t="s">
        <v>2</v>
      </c>
      <c r="F327" s="245">
        <v>1</v>
      </c>
      <c r="G327" s="1"/>
    </row>
    <row r="328" spans="4:7" ht="15.75" customHeight="1" x14ac:dyDescent="0.3">
      <c r="D328" s="180">
        <v>30</v>
      </c>
      <c r="E328" s="180" t="s">
        <v>2</v>
      </c>
      <c r="F328" s="245">
        <v>1</v>
      </c>
      <c r="G328" s="1"/>
    </row>
    <row r="329" spans="4:7" ht="15.75" customHeight="1" x14ac:dyDescent="0.3">
      <c r="D329" s="180">
        <v>40</v>
      </c>
      <c r="E329" s="180" t="s">
        <v>2</v>
      </c>
      <c r="F329" s="245">
        <v>1</v>
      </c>
      <c r="G329" s="1"/>
    </row>
    <row r="330" spans="4:7" ht="15.75" customHeight="1" x14ac:dyDescent="0.3">
      <c r="D330" s="180">
        <v>60</v>
      </c>
      <c r="E330" s="180" t="s">
        <v>2</v>
      </c>
      <c r="F330" s="245">
        <v>1</v>
      </c>
      <c r="G330" s="1"/>
    </row>
    <row r="331" spans="4:7" ht="15.75" customHeight="1" x14ac:dyDescent="0.3">
      <c r="D331" s="180">
        <v>50</v>
      </c>
      <c r="E331" s="180" t="s">
        <v>2</v>
      </c>
      <c r="F331" s="245">
        <v>1</v>
      </c>
      <c r="G331" s="1"/>
    </row>
    <row r="332" spans="4:7" ht="15.75" customHeight="1" x14ac:dyDescent="0.3">
      <c r="D332" s="180">
        <v>80</v>
      </c>
      <c r="E332" s="180" t="s">
        <v>2</v>
      </c>
      <c r="F332" s="245">
        <v>1</v>
      </c>
      <c r="G332" s="1"/>
    </row>
    <row r="333" spans="4:7" ht="15.75" customHeight="1" x14ac:dyDescent="0.3">
      <c r="D333" s="180">
        <v>100</v>
      </c>
      <c r="E333" s="180" t="s">
        <v>2</v>
      </c>
      <c r="F333" s="245">
        <v>1</v>
      </c>
      <c r="G333" s="1"/>
    </row>
    <row r="334" spans="4:7" ht="15.75" customHeight="1" x14ac:dyDescent="0.3">
      <c r="D334" s="180">
        <v>120</v>
      </c>
      <c r="E334" s="180" t="s">
        <v>2</v>
      </c>
      <c r="F334" s="245">
        <v>1</v>
      </c>
      <c r="G334" s="1"/>
    </row>
    <row r="335" spans="4:7" ht="15.75" customHeight="1" x14ac:dyDescent="0.3">
      <c r="D335" s="181" t="s">
        <v>341</v>
      </c>
      <c r="E335" s="181"/>
      <c r="F335" s="245">
        <v>1</v>
      </c>
      <c r="G335" s="1"/>
    </row>
    <row r="336" spans="4:7" ht="15.75" customHeight="1" x14ac:dyDescent="0.3">
      <c r="D336" s="307">
        <v>8</v>
      </c>
      <c r="E336" s="180" t="s">
        <v>2</v>
      </c>
      <c r="F336" s="245">
        <v>1</v>
      </c>
      <c r="G336" s="1"/>
    </row>
    <row r="337" spans="4:7" ht="15.75" customHeight="1" x14ac:dyDescent="0.3">
      <c r="D337" s="307">
        <v>10</v>
      </c>
      <c r="E337" s="180" t="s">
        <v>2</v>
      </c>
      <c r="F337" s="245">
        <v>1</v>
      </c>
      <c r="G337" s="1"/>
    </row>
    <row r="338" spans="4:7" ht="15.75" customHeight="1" x14ac:dyDescent="0.3">
      <c r="D338" s="307">
        <v>15</v>
      </c>
      <c r="E338" s="180" t="s">
        <v>2</v>
      </c>
      <c r="F338" s="245">
        <v>1</v>
      </c>
      <c r="G338" s="1"/>
    </row>
    <row r="339" spans="4:7" ht="15.75" customHeight="1" x14ac:dyDescent="0.3">
      <c r="D339" s="307">
        <v>25</v>
      </c>
      <c r="E339" s="180" t="s">
        <v>2</v>
      </c>
      <c r="F339" s="245">
        <v>1</v>
      </c>
      <c r="G339" s="1"/>
    </row>
    <row r="340" spans="4:7" ht="15.75" customHeight="1" x14ac:dyDescent="0.3">
      <c r="D340" s="307">
        <v>35</v>
      </c>
      <c r="E340" s="180" t="s">
        <v>2</v>
      </c>
      <c r="F340" s="245">
        <v>1</v>
      </c>
      <c r="G340" s="1"/>
    </row>
    <row r="341" spans="4:7" ht="15.75" customHeight="1" x14ac:dyDescent="0.3">
      <c r="D341" s="307">
        <v>40</v>
      </c>
      <c r="E341" s="180" t="s">
        <v>2</v>
      </c>
      <c r="F341" s="245">
        <v>1</v>
      </c>
      <c r="G341" s="1"/>
    </row>
    <row r="342" spans="4:7" ht="15.75" customHeight="1" x14ac:dyDescent="0.3">
      <c r="D342" s="307">
        <v>50</v>
      </c>
      <c r="E342" s="180" t="s">
        <v>2</v>
      </c>
      <c r="F342" s="245">
        <v>1</v>
      </c>
      <c r="G342" s="1"/>
    </row>
    <row r="343" spans="4:7" ht="15.75" customHeight="1" x14ac:dyDescent="0.3">
      <c r="D343" s="307">
        <v>60</v>
      </c>
      <c r="E343" s="180" t="s">
        <v>2</v>
      </c>
      <c r="F343" s="245">
        <v>1</v>
      </c>
      <c r="G343" s="1"/>
    </row>
    <row r="344" spans="4:7" ht="15.75" customHeight="1" x14ac:dyDescent="0.3">
      <c r="D344" s="307">
        <v>80</v>
      </c>
      <c r="E344" s="180" t="s">
        <v>2</v>
      </c>
      <c r="F344" s="245">
        <v>1</v>
      </c>
      <c r="G344" s="1"/>
    </row>
    <row r="345" spans="4:7" ht="15.75" customHeight="1" x14ac:dyDescent="0.3">
      <c r="D345" s="307">
        <v>100</v>
      </c>
      <c r="E345" s="180" t="s">
        <v>2</v>
      </c>
      <c r="F345" s="245">
        <v>1</v>
      </c>
      <c r="G345" s="1"/>
    </row>
    <row r="346" spans="4:7" ht="15.75" customHeight="1" x14ac:dyDescent="0.3">
      <c r="D346" s="307">
        <v>120</v>
      </c>
      <c r="E346" s="180" t="s">
        <v>2</v>
      </c>
      <c r="F346" s="245">
        <v>1</v>
      </c>
      <c r="G346" s="1"/>
    </row>
    <row r="347" spans="4:7" ht="15.75" customHeight="1" x14ac:dyDescent="0.3">
      <c r="D347" s="181" t="s">
        <v>342</v>
      </c>
      <c r="E347" s="181"/>
      <c r="F347" s="245">
        <v>1</v>
      </c>
      <c r="G347" s="1"/>
    </row>
    <row r="348" spans="4:7" ht="15.75" customHeight="1" x14ac:dyDescent="0.3">
      <c r="D348" s="180">
        <v>8</v>
      </c>
      <c r="E348" s="180" t="s">
        <v>2</v>
      </c>
      <c r="F348" s="245">
        <v>1</v>
      </c>
      <c r="G348" s="1"/>
    </row>
    <row r="349" spans="4:7" ht="15.75" customHeight="1" x14ac:dyDescent="0.3">
      <c r="D349" s="180">
        <v>10</v>
      </c>
      <c r="E349" s="180" t="s">
        <v>2</v>
      </c>
      <c r="F349" s="245">
        <v>1</v>
      </c>
      <c r="G349" s="1"/>
    </row>
    <row r="350" spans="4:7" ht="15.75" customHeight="1" x14ac:dyDescent="0.3">
      <c r="D350" s="180">
        <v>15</v>
      </c>
      <c r="E350" s="180" t="s">
        <v>2</v>
      </c>
      <c r="F350" s="245">
        <v>1</v>
      </c>
      <c r="G350" s="1"/>
    </row>
    <row r="351" spans="4:7" ht="15.75" customHeight="1" x14ac:dyDescent="0.3">
      <c r="D351" s="180">
        <v>20</v>
      </c>
      <c r="E351" s="180" t="s">
        <v>2</v>
      </c>
      <c r="F351" s="245">
        <v>1</v>
      </c>
      <c r="G351" s="1"/>
    </row>
    <row r="352" spans="4:7" ht="15.75" customHeight="1" x14ac:dyDescent="0.3">
      <c r="D352" s="180">
        <v>30</v>
      </c>
      <c r="E352" s="180" t="s">
        <v>2</v>
      </c>
      <c r="F352" s="245">
        <v>1</v>
      </c>
      <c r="G352" s="1"/>
    </row>
    <row r="353" spans="4:7" ht="15.75" customHeight="1" x14ac:dyDescent="0.3">
      <c r="D353" s="180">
        <v>40</v>
      </c>
      <c r="E353" s="180" t="s">
        <v>2</v>
      </c>
      <c r="F353" s="245">
        <v>1</v>
      </c>
      <c r="G353" s="1"/>
    </row>
    <row r="354" spans="4:7" ht="15.75" customHeight="1" x14ac:dyDescent="0.3">
      <c r="D354" s="180">
        <v>60</v>
      </c>
      <c r="E354" s="180" t="s">
        <v>2</v>
      </c>
      <c r="F354" s="245">
        <v>1</v>
      </c>
      <c r="G354" s="1"/>
    </row>
    <row r="355" spans="4:7" ht="15.75" customHeight="1" x14ac:dyDescent="0.3">
      <c r="D355" s="180">
        <v>50</v>
      </c>
      <c r="E355" s="180" t="s">
        <v>2</v>
      </c>
      <c r="F355" s="245">
        <v>1</v>
      </c>
      <c r="G355" s="1"/>
    </row>
    <row r="356" spans="4:7" ht="15.75" customHeight="1" x14ac:dyDescent="0.3">
      <c r="D356" s="180">
        <v>80</v>
      </c>
      <c r="E356" s="180" t="s">
        <v>2</v>
      </c>
      <c r="F356" s="245">
        <v>1</v>
      </c>
      <c r="G356" s="1"/>
    </row>
    <row r="357" spans="4:7" ht="15.75" customHeight="1" x14ac:dyDescent="0.3">
      <c r="D357" s="180">
        <v>100</v>
      </c>
      <c r="E357" s="180" t="s">
        <v>2</v>
      </c>
      <c r="F357" s="245">
        <v>1</v>
      </c>
      <c r="G357" s="1"/>
    </row>
    <row r="358" spans="4:7" ht="15.75" customHeight="1" x14ac:dyDescent="0.3">
      <c r="D358" s="180">
        <v>120</v>
      </c>
      <c r="E358" s="180" t="s">
        <v>2</v>
      </c>
      <c r="F358" s="245">
        <v>1</v>
      </c>
      <c r="G358" s="1"/>
    </row>
    <row r="359" spans="4:7" ht="15.75" customHeight="1" x14ac:dyDescent="0.3">
      <c r="D359" s="180" t="s">
        <v>403</v>
      </c>
      <c r="E359" s="180"/>
      <c r="F359" s="245">
        <v>1</v>
      </c>
      <c r="G359" s="1"/>
    </row>
    <row r="360" spans="4:7" ht="15.75" customHeight="1" x14ac:dyDescent="0.3">
      <c r="D360" s="271"/>
      <c r="E360" s="271"/>
      <c r="F360" s="245">
        <v>1</v>
      </c>
      <c r="G360" s="1"/>
    </row>
    <row r="361" spans="4:7" ht="15.75" customHeight="1" x14ac:dyDescent="0.3">
      <c r="D361" s="268" t="s">
        <v>347</v>
      </c>
      <c r="E361" s="180" t="s">
        <v>2</v>
      </c>
      <c r="F361" s="245">
        <v>1</v>
      </c>
      <c r="G361" s="1"/>
    </row>
    <row r="362" spans="4:7" ht="15.75" customHeight="1" x14ac:dyDescent="0.3">
      <c r="D362" s="268" t="s">
        <v>348</v>
      </c>
      <c r="E362" s="180" t="s">
        <v>2</v>
      </c>
      <c r="F362" s="245">
        <v>1</v>
      </c>
      <c r="G362" s="1"/>
    </row>
    <row r="363" spans="4:7" ht="15.75" customHeight="1" x14ac:dyDescent="0.3">
      <c r="D363" s="268" t="s">
        <v>349</v>
      </c>
      <c r="E363" s="180" t="s">
        <v>2</v>
      </c>
      <c r="F363" s="245">
        <v>1</v>
      </c>
      <c r="G363" s="1"/>
    </row>
    <row r="364" spans="4:7" ht="15.75" customHeight="1" x14ac:dyDescent="0.3">
      <c r="D364" s="268" t="s">
        <v>350</v>
      </c>
      <c r="E364" s="180" t="s">
        <v>2</v>
      </c>
      <c r="F364" s="245">
        <v>1</v>
      </c>
      <c r="G364" s="1"/>
    </row>
    <row r="365" spans="4:7" ht="15.75" customHeight="1" x14ac:dyDescent="0.3">
      <c r="D365" s="268" t="s">
        <v>351</v>
      </c>
      <c r="E365" s="180" t="s">
        <v>2</v>
      </c>
      <c r="F365" s="245">
        <v>1</v>
      </c>
      <c r="G365" s="1"/>
    </row>
    <row r="366" spans="4:7" ht="15.75" customHeight="1" x14ac:dyDescent="0.3">
      <c r="D366" s="268" t="s">
        <v>352</v>
      </c>
      <c r="E366" s="180" t="s">
        <v>2</v>
      </c>
      <c r="F366" s="245">
        <v>1</v>
      </c>
      <c r="G366" s="1"/>
    </row>
    <row r="367" spans="4:7" ht="15.75" customHeight="1" x14ac:dyDescent="0.3">
      <c r="D367" s="268" t="s">
        <v>409</v>
      </c>
      <c r="E367" s="180" t="s">
        <v>2</v>
      </c>
      <c r="F367" s="245">
        <v>1</v>
      </c>
      <c r="G367" s="1"/>
    </row>
    <row r="368" spans="4:7" ht="16.5" customHeight="1" thickBot="1" x14ac:dyDescent="0.35">
      <c r="D368" s="271"/>
      <c r="E368" s="271"/>
      <c r="F368" s="245">
        <v>1</v>
      </c>
      <c r="G368" s="1"/>
    </row>
    <row r="369" spans="4:7" ht="15.75" customHeight="1" x14ac:dyDescent="0.3">
      <c r="D369" s="346" t="s">
        <v>353</v>
      </c>
      <c r="E369" s="180" t="s">
        <v>2</v>
      </c>
      <c r="F369" s="245">
        <v>1</v>
      </c>
      <c r="G369" s="1"/>
    </row>
    <row r="370" spans="4:7" ht="15.75" customHeight="1" x14ac:dyDescent="0.3">
      <c r="D370" s="348" t="s">
        <v>354</v>
      </c>
      <c r="E370" s="180" t="s">
        <v>2</v>
      </c>
      <c r="F370" s="245">
        <v>1</v>
      </c>
      <c r="G370" s="1"/>
    </row>
    <row r="371" spans="4:7" ht="15.75" customHeight="1" x14ac:dyDescent="0.3">
      <c r="D371" s="348" t="s">
        <v>355</v>
      </c>
      <c r="E371" s="180" t="s">
        <v>2</v>
      </c>
      <c r="F371" s="245">
        <v>1</v>
      </c>
      <c r="G371" s="1"/>
    </row>
    <row r="372" spans="4:7" ht="15.75" customHeight="1" x14ac:dyDescent="0.3">
      <c r="D372" s="348" t="s">
        <v>356</v>
      </c>
      <c r="E372" s="180" t="s">
        <v>2</v>
      </c>
      <c r="F372" s="245">
        <v>1</v>
      </c>
      <c r="G372" s="1"/>
    </row>
    <row r="373" spans="4:7" ht="15.75" customHeight="1" x14ac:dyDescent="0.3">
      <c r="D373" s="348" t="s">
        <v>357</v>
      </c>
      <c r="E373" s="180" t="s">
        <v>2</v>
      </c>
      <c r="F373" s="245">
        <v>1</v>
      </c>
      <c r="G373" s="1"/>
    </row>
    <row r="374" spans="4:7" ht="16.5" customHeight="1" thickBot="1" x14ac:dyDescent="0.35">
      <c r="D374" s="349" t="s">
        <v>358</v>
      </c>
      <c r="E374" s="180" t="s">
        <v>2</v>
      </c>
      <c r="F374" s="245">
        <v>1</v>
      </c>
      <c r="G374" s="1"/>
    </row>
    <row r="375" spans="4:7" ht="15.75" customHeight="1" x14ac:dyDescent="0.3">
      <c r="D375" s="271"/>
      <c r="E375" s="271"/>
      <c r="F375" s="245">
        <v>1</v>
      </c>
      <c r="G375" s="1"/>
    </row>
    <row r="376" spans="4:7" ht="15.75" customHeight="1" x14ac:dyDescent="0.3">
      <c r="D376" s="180" t="s">
        <v>301</v>
      </c>
      <c r="E376" s="180" t="s">
        <v>2</v>
      </c>
      <c r="F376" s="245">
        <v>1</v>
      </c>
      <c r="G376" s="1"/>
    </row>
    <row r="377" spans="4:7" ht="15.75" customHeight="1" x14ac:dyDescent="0.3">
      <c r="D377" s="180" t="s">
        <v>302</v>
      </c>
      <c r="E377" s="180" t="s">
        <v>2</v>
      </c>
      <c r="F377" s="245">
        <v>1</v>
      </c>
      <c r="G377" s="1"/>
    </row>
    <row r="378" spans="4:7" ht="15.75" customHeight="1" x14ac:dyDescent="0.3">
      <c r="D378" s="180" t="s">
        <v>303</v>
      </c>
      <c r="E378" s="180" t="s">
        <v>2</v>
      </c>
      <c r="F378" s="245">
        <v>1</v>
      </c>
      <c r="G378" s="1"/>
    </row>
    <row r="379" spans="4:7" ht="15.75" customHeight="1" x14ac:dyDescent="0.3">
      <c r="D379" s="180" t="s">
        <v>304</v>
      </c>
      <c r="E379" s="180" t="s">
        <v>2</v>
      </c>
      <c r="F379" s="245">
        <v>1</v>
      </c>
      <c r="G379" s="1"/>
    </row>
    <row r="380" spans="4:7" ht="15.75" customHeight="1" x14ac:dyDescent="0.3">
      <c r="D380" s="180" t="s">
        <v>305</v>
      </c>
      <c r="E380" s="180" t="s">
        <v>2</v>
      </c>
      <c r="F380" s="245">
        <v>1</v>
      </c>
      <c r="G380" s="1"/>
    </row>
    <row r="381" spans="4:7" ht="15.75" customHeight="1" x14ac:dyDescent="0.3">
      <c r="D381" s="271"/>
      <c r="E381" s="271"/>
      <c r="F381" s="245">
        <v>1</v>
      </c>
      <c r="G381" s="1"/>
    </row>
    <row r="382" spans="4:7" ht="15.75" customHeight="1" x14ac:dyDescent="0.3">
      <c r="D382" s="367" t="s">
        <v>359</v>
      </c>
      <c r="E382" s="180" t="s">
        <v>2</v>
      </c>
      <c r="F382" s="245">
        <v>1</v>
      </c>
      <c r="G382" s="1"/>
    </row>
    <row r="383" spans="4:7" ht="15.75" customHeight="1" x14ac:dyDescent="0.3">
      <c r="D383" s="368" t="s">
        <v>360</v>
      </c>
      <c r="E383" s="180" t="s">
        <v>2</v>
      </c>
      <c r="F383" s="245">
        <v>1</v>
      </c>
      <c r="G383" s="1"/>
    </row>
    <row r="384" spans="4:7" ht="15.75" customHeight="1" x14ac:dyDescent="0.3">
      <c r="D384" s="368" t="s">
        <v>361</v>
      </c>
      <c r="E384" s="180" t="s">
        <v>2</v>
      </c>
      <c r="F384" s="245">
        <v>1</v>
      </c>
      <c r="G384" s="1"/>
    </row>
    <row r="385" spans="4:8" ht="15.75" customHeight="1" x14ac:dyDescent="0.3">
      <c r="D385" s="271"/>
      <c r="E385" s="271"/>
      <c r="F385" s="272"/>
      <c r="G385" s="1"/>
    </row>
    <row r="387" spans="4:8" x14ac:dyDescent="0.3">
      <c r="D387" s="157" t="s">
        <v>166</v>
      </c>
      <c r="E387" s="157"/>
      <c r="F387" s="157"/>
      <c r="G387" s="157"/>
      <c r="H387" s="157"/>
    </row>
    <row r="388" spans="4:8" x14ac:dyDescent="0.3">
      <c r="D388" s="1082" t="s">
        <v>167</v>
      </c>
      <c r="E388" s="1082"/>
      <c r="F388" s="1082"/>
      <c r="G388" s="155"/>
      <c r="H388" s="155"/>
    </row>
    <row r="389" spans="4:8" x14ac:dyDescent="0.3">
      <c r="D389" s="1082" t="s">
        <v>168</v>
      </c>
      <c r="E389" s="1082"/>
      <c r="F389" s="1082"/>
      <c r="G389" s="155"/>
      <c r="H389" s="155"/>
    </row>
    <row r="390" spans="4:8" x14ac:dyDescent="0.3">
      <c r="D390" s="1088" t="s">
        <v>213</v>
      </c>
      <c r="E390" s="1088"/>
      <c r="F390" s="1088"/>
      <c r="G390" s="156"/>
      <c r="H390" s="156"/>
    </row>
    <row r="391" spans="4:8" ht="26.25" customHeight="1" x14ac:dyDescent="0.3">
      <c r="D391" s="1088"/>
      <c r="E391" s="1088"/>
      <c r="F391" s="1088"/>
      <c r="G391" s="156"/>
      <c r="H391" s="156"/>
    </row>
    <row r="392" spans="4:8" x14ac:dyDescent="0.3">
      <c r="D392" s="1082" t="s">
        <v>169</v>
      </c>
      <c r="E392" s="1082"/>
      <c r="F392" s="1082"/>
      <c r="G392" s="155"/>
      <c r="H392" s="155"/>
    </row>
    <row r="393" spans="4:8" x14ac:dyDescent="0.3">
      <c r="D393" s="1082" t="s">
        <v>228</v>
      </c>
      <c r="E393" s="1082"/>
      <c r="F393" s="1082"/>
      <c r="G393" s="155"/>
      <c r="H393" s="155"/>
    </row>
    <row r="394" spans="4:8" x14ac:dyDescent="0.3">
      <c r="D394" s="1088" t="s">
        <v>170</v>
      </c>
      <c r="E394" s="1088"/>
      <c r="F394" s="1088"/>
      <c r="G394" s="156"/>
      <c r="H394" s="156"/>
    </row>
    <row r="402" spans="2:8" ht="15" thickBot="1" x14ac:dyDescent="0.35">
      <c r="D402" s="1085" t="s">
        <v>374</v>
      </c>
      <c r="E402" s="1085"/>
      <c r="F402" s="2" t="s">
        <v>376</v>
      </c>
      <c r="G402" s="2" t="s">
        <v>375</v>
      </c>
    </row>
    <row r="403" spans="2:8" x14ac:dyDescent="0.3">
      <c r="B403" s="277" t="e">
        <f>IF(#REF!=1,SUM(#REF!),0)</f>
        <v>#REF!</v>
      </c>
      <c r="C403" s="391">
        <v>1</v>
      </c>
      <c r="D403" s="1093" t="s">
        <v>372</v>
      </c>
      <c r="E403" s="1094"/>
      <c r="F403" s="387">
        <v>50</v>
      </c>
      <c r="G403" s="387">
        <v>30</v>
      </c>
      <c r="H403" s="396"/>
    </row>
    <row r="404" spans="2:8" x14ac:dyDescent="0.3">
      <c r="B404" s="277" t="e">
        <f>IF(#REF!=1,SUM(#REF!),0)</f>
        <v>#REF!</v>
      </c>
      <c r="C404" s="392">
        <v>2</v>
      </c>
      <c r="D404" s="1091" t="s">
        <v>373</v>
      </c>
      <c r="E404" s="1092"/>
      <c r="F404" s="388"/>
      <c r="G404" s="394">
        <v>50</v>
      </c>
      <c r="H404" s="396"/>
    </row>
    <row r="405" spans="2:8" x14ac:dyDescent="0.3">
      <c r="B405" s="277" t="e">
        <f>IF(#REF!=1,SUM(#REF!),0)</f>
        <v>#REF!</v>
      </c>
      <c r="C405" s="392">
        <v>3</v>
      </c>
      <c r="D405" s="1095" t="s">
        <v>369</v>
      </c>
      <c r="E405" s="1096"/>
      <c r="F405" s="388"/>
      <c r="G405" s="394">
        <v>330</v>
      </c>
      <c r="H405" s="396"/>
    </row>
    <row r="406" spans="2:8" x14ac:dyDescent="0.3">
      <c r="B406" s="277" t="e">
        <f>IF(#REF!=1,SUM(#REF!),0)</f>
        <v>#REF!</v>
      </c>
      <c r="C406" s="392">
        <v>4</v>
      </c>
      <c r="D406" s="1095" t="s">
        <v>370</v>
      </c>
      <c r="E406" s="1096"/>
      <c r="F406" s="389"/>
      <c r="G406" s="394"/>
      <c r="H406" s="396"/>
    </row>
    <row r="407" spans="2:8" x14ac:dyDescent="0.3">
      <c r="B407" s="277" t="e">
        <f>IF(#REF!=1,SUM(#REF!),0)</f>
        <v>#REF!</v>
      </c>
      <c r="C407" s="392">
        <v>5</v>
      </c>
      <c r="D407" s="1095" t="s">
        <v>371</v>
      </c>
      <c r="E407" s="1096"/>
      <c r="F407" s="388"/>
      <c r="G407" s="394"/>
      <c r="H407" s="396"/>
    </row>
    <row r="408" spans="2:8" x14ac:dyDescent="0.3">
      <c r="B408" s="277" t="e">
        <f>IF(#REF!=1,SUM(#REF!),0)</f>
        <v>#REF!</v>
      </c>
      <c r="C408" s="392">
        <v>6</v>
      </c>
      <c r="D408" s="1095" t="s">
        <v>377</v>
      </c>
      <c r="E408" s="1096"/>
      <c r="F408" s="389"/>
      <c r="G408" s="394"/>
      <c r="H408" s="396"/>
    </row>
    <row r="409" spans="2:8" x14ac:dyDescent="0.3">
      <c r="B409" s="277" t="e">
        <f>IF(#REF!=1,SUM(#REF!),0)</f>
        <v>#REF!</v>
      </c>
      <c r="C409" s="392">
        <v>7</v>
      </c>
      <c r="D409" s="1095" t="s">
        <v>378</v>
      </c>
      <c r="E409" s="1096"/>
      <c r="F409" s="389"/>
      <c r="G409" s="394"/>
      <c r="H409" s="396"/>
    </row>
    <row r="410" spans="2:8" x14ac:dyDescent="0.3">
      <c r="B410" s="277" t="e">
        <f>IF(#REF!=1,SUM(#REF!),0)</f>
        <v>#REF!</v>
      </c>
      <c r="C410" s="392">
        <v>8</v>
      </c>
      <c r="D410" s="1095" t="s">
        <v>379</v>
      </c>
      <c r="E410" s="1096"/>
      <c r="F410" s="389"/>
      <c r="G410" s="394"/>
      <c r="H410" s="396"/>
    </row>
    <row r="411" spans="2:8" x14ac:dyDescent="0.3">
      <c r="B411" s="277" t="e">
        <f>IF(#REF!=1,SUM(#REF!),0)</f>
        <v>#REF!</v>
      </c>
      <c r="C411" s="392">
        <v>9</v>
      </c>
      <c r="D411" s="1095" t="s">
        <v>380</v>
      </c>
      <c r="E411" s="1096"/>
      <c r="F411" s="389"/>
      <c r="G411" s="394"/>
      <c r="H411" s="396"/>
    </row>
    <row r="412" spans="2:8" ht="15" thickBot="1" x14ac:dyDescent="0.35">
      <c r="B412" s="277" t="e">
        <f>IF(#REF!=1,SUM(#REF!),0)</f>
        <v>#REF!</v>
      </c>
      <c r="C412" s="393">
        <v>10</v>
      </c>
      <c r="D412" s="1089"/>
      <c r="E412" s="1090"/>
      <c r="F412" s="390"/>
      <c r="G412" s="395"/>
      <c r="H412" s="396"/>
    </row>
  </sheetData>
  <sheetProtection formatColumns="0" formatRows="0" insertColumns="0" insertRows="0" deleteRows="0"/>
  <protectedRanges>
    <protectedRange password="CF7A" sqref="D387:E387 H387" name="Range2"/>
    <protectedRange password="CF7A" sqref="H387" name="Range1"/>
    <protectedRange password="CF7A" sqref="G387" name="Range2_1"/>
    <protectedRange password="CF7A" sqref="F387" name="Range2_1_1"/>
  </protectedRanges>
  <customSheetViews>
    <customSheetView guid="{13BEC167-0B54-4FAA-B5AF-56DB3058B13C}" topLeftCell="A43">
      <selection activeCell="E63" sqref="E63"/>
      <pageMargins left="0.7" right="0.7" top="0.75" bottom="0.75" header="0.3" footer="0.3"/>
      <pageSetup scale="88" orientation="portrait" r:id="rId1"/>
    </customSheetView>
  </customSheetViews>
  <mergeCells count="21">
    <mergeCell ref="D412:E412"/>
    <mergeCell ref="D404:E404"/>
    <mergeCell ref="D403:E403"/>
    <mergeCell ref="D405:E405"/>
    <mergeCell ref="D406:E406"/>
    <mergeCell ref="D407:E407"/>
    <mergeCell ref="D408:E408"/>
    <mergeCell ref="D409:E409"/>
    <mergeCell ref="D410:E410"/>
    <mergeCell ref="D411:E411"/>
    <mergeCell ref="D402:E402"/>
    <mergeCell ref="D393:F393"/>
    <mergeCell ref="G105:G115"/>
    <mergeCell ref="C48:C62"/>
    <mergeCell ref="D394:F394"/>
    <mergeCell ref="D390:F391"/>
    <mergeCell ref="B8:F8"/>
    <mergeCell ref="D389:F389"/>
    <mergeCell ref="D392:F392"/>
    <mergeCell ref="D10:F10"/>
    <mergeCell ref="D388:F388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00B0F0"/>
  </sheetPr>
  <dimension ref="J2:T18"/>
  <sheetViews>
    <sheetView rightToLeft="1" topLeftCell="I1" workbookViewId="0">
      <selection activeCell="X9" sqref="X9"/>
    </sheetView>
  </sheetViews>
  <sheetFormatPr defaultColWidth="9.109375" defaultRowHeight="14.4" x14ac:dyDescent="0.3"/>
  <cols>
    <col min="1" max="8" width="0" style="402" hidden="1" customWidth="1"/>
    <col min="9" max="10" width="0.109375" style="402" customWidth="1"/>
    <col min="11" max="11" width="11.33203125" style="402" customWidth="1"/>
    <col min="12" max="12" width="8.44140625" style="402" customWidth="1"/>
    <col min="13" max="13" width="2.6640625" style="402" customWidth="1"/>
    <col min="14" max="14" width="4.5546875" style="402" customWidth="1"/>
    <col min="15" max="15" width="4" style="402" customWidth="1"/>
    <col min="16" max="16" width="1.109375" style="402" hidden="1" customWidth="1"/>
    <col min="17" max="17" width="3.33203125" style="402" customWidth="1"/>
    <col min="18" max="18" width="5.109375" style="402" customWidth="1"/>
    <col min="19" max="19" width="7.33203125" style="402" customWidth="1"/>
    <col min="20" max="20" width="1.6640625" style="402" customWidth="1"/>
    <col min="21" max="16384" width="9.109375" style="402"/>
  </cols>
  <sheetData>
    <row r="2" spans="10:20" ht="16.5" customHeight="1" thickBot="1" x14ac:dyDescent="0.35"/>
    <row r="3" spans="10:20" ht="5.25" customHeight="1" x14ac:dyDescent="0.3">
      <c r="J3" s="1123" t="s">
        <v>395</v>
      </c>
      <c r="K3" s="1124"/>
      <c r="L3" s="1124">
        <f>'عرض السعر'!F8</f>
        <v>0</v>
      </c>
      <c r="M3" s="1127"/>
      <c r="N3" s="1129" t="s">
        <v>391</v>
      </c>
      <c r="O3" s="1130"/>
      <c r="P3" s="1130"/>
      <c r="Q3" s="1130"/>
      <c r="R3" s="1130"/>
      <c r="S3" s="1130"/>
      <c r="T3" s="1131"/>
    </row>
    <row r="4" spans="10:20" ht="15.75" customHeight="1" thickBot="1" x14ac:dyDescent="0.35">
      <c r="J4" s="1125"/>
      <c r="K4" s="1126"/>
      <c r="L4" s="1126"/>
      <c r="M4" s="1128"/>
      <c r="N4" s="1132"/>
      <c r="O4" s="1133"/>
      <c r="P4" s="1133"/>
      <c r="Q4" s="1133"/>
      <c r="R4" s="1133"/>
      <c r="S4" s="1133"/>
      <c r="T4" s="1134"/>
    </row>
    <row r="5" spans="10:20" x14ac:dyDescent="0.3">
      <c r="J5" s="1113" t="s">
        <v>396</v>
      </c>
      <c r="K5" s="1114"/>
      <c r="L5" s="1114">
        <f>'عرض السعر'!F9</f>
        <v>0</v>
      </c>
      <c r="M5" s="1115"/>
      <c r="N5" s="1116" t="str">
        <f>'مقاسات الطلب'!C14</f>
        <v>مدار 4.6</v>
      </c>
      <c r="O5" s="1117"/>
      <c r="P5" s="1117"/>
      <c r="Q5" s="1117"/>
      <c r="R5" s="1117"/>
      <c r="S5" s="1119">
        <f>'مقاسات الطلب'!D14</f>
        <v>0</v>
      </c>
      <c r="T5" s="1120"/>
    </row>
    <row r="6" spans="10:20" ht="15" thickBot="1" x14ac:dyDescent="0.35">
      <c r="J6" s="1109" t="s">
        <v>397</v>
      </c>
      <c r="K6" s="1110"/>
      <c r="L6" s="1122">
        <f>'عرض السعر'!N8</f>
        <v>0</v>
      </c>
      <c r="M6" s="1112"/>
      <c r="N6" s="1118"/>
      <c r="O6" s="1118"/>
      <c r="P6" s="1118"/>
      <c r="Q6" s="1118"/>
      <c r="R6" s="1118"/>
      <c r="S6" s="1121"/>
      <c r="T6" s="1121"/>
    </row>
    <row r="7" spans="10:20" ht="15" thickBot="1" x14ac:dyDescent="0.35">
      <c r="J7" s="1109" t="s">
        <v>399</v>
      </c>
      <c r="K7" s="1110"/>
      <c r="L7" s="1111">
        <f>'عرض السعر'!N9</f>
        <v>0</v>
      </c>
      <c r="M7" s="1112"/>
      <c r="N7" s="1097" t="s">
        <v>398</v>
      </c>
      <c r="O7" s="1098"/>
      <c r="Q7" s="1097" t="s">
        <v>193</v>
      </c>
      <c r="R7" s="1098"/>
      <c r="S7" s="1099"/>
      <c r="T7" s="1100"/>
    </row>
    <row r="8" spans="10:20" ht="12" customHeight="1" x14ac:dyDescent="0.3">
      <c r="J8" s="1105"/>
      <c r="K8" s="1106"/>
      <c r="L8" s="1106"/>
      <c r="M8" s="1107"/>
      <c r="N8" s="1099">
        <f>'عرض السعر'!G14</f>
        <v>103.6</v>
      </c>
      <c r="O8" s="1100"/>
      <c r="Q8" s="1099">
        <f>'عرض السعر'!H14</f>
        <v>166.5</v>
      </c>
      <c r="R8" s="1100"/>
      <c r="S8" s="1101"/>
      <c r="T8" s="1102"/>
    </row>
    <row r="9" spans="10:20" ht="5.25" customHeight="1" thickBot="1" x14ac:dyDescent="0.35">
      <c r="J9" s="1103"/>
      <c r="K9" s="1108"/>
      <c r="L9" s="1108"/>
      <c r="M9" s="1104"/>
      <c r="N9" s="1103"/>
      <c r="O9" s="1104"/>
      <c r="P9" s="403"/>
      <c r="Q9" s="1103"/>
      <c r="R9" s="1104"/>
      <c r="S9" s="1103"/>
      <c r="T9" s="1104"/>
    </row>
    <row r="11" spans="10:20" ht="16.5" customHeight="1" thickBot="1" x14ac:dyDescent="0.35"/>
    <row r="12" spans="10:20" ht="5.25" customHeight="1" x14ac:dyDescent="0.3">
      <c r="J12" s="1123" t="s">
        <v>395</v>
      </c>
      <c r="K12" s="1124"/>
      <c r="L12" s="1124">
        <f>'عرض السعر'!F8</f>
        <v>0</v>
      </c>
      <c r="M12" s="1127"/>
      <c r="N12" s="1129" t="s">
        <v>391</v>
      </c>
      <c r="O12" s="1130"/>
      <c r="P12" s="1130"/>
      <c r="Q12" s="1130"/>
      <c r="R12" s="1130"/>
      <c r="S12" s="1130"/>
      <c r="T12" s="1131"/>
    </row>
    <row r="13" spans="10:20" ht="15.75" customHeight="1" thickBot="1" x14ac:dyDescent="0.35">
      <c r="J13" s="1125"/>
      <c r="K13" s="1126"/>
      <c r="L13" s="1126"/>
      <c r="M13" s="1128"/>
      <c r="N13" s="1132"/>
      <c r="O13" s="1133"/>
      <c r="P13" s="1133"/>
      <c r="Q13" s="1133"/>
      <c r="R13" s="1133"/>
      <c r="S13" s="1133"/>
      <c r="T13" s="1134"/>
    </row>
    <row r="14" spans="10:20" x14ac:dyDescent="0.3">
      <c r="J14" s="1113" t="s">
        <v>396</v>
      </c>
      <c r="K14" s="1114"/>
      <c r="L14" s="1114">
        <f>'عرض السعر'!F9</f>
        <v>0</v>
      </c>
      <c r="M14" s="1115"/>
      <c r="N14" s="1116" t="str">
        <f>'مقاسات الطلب'!C23</f>
        <v>النيل 5سم NGS</v>
      </c>
      <c r="O14" s="1117"/>
      <c r="P14" s="1117"/>
      <c r="Q14" s="1117"/>
      <c r="R14" s="1117"/>
      <c r="S14" s="1119">
        <f>'مقاسات الطلب'!D23</f>
        <v>0</v>
      </c>
      <c r="T14" s="1120"/>
    </row>
    <row r="15" spans="10:20" ht="15" thickBot="1" x14ac:dyDescent="0.35">
      <c r="J15" s="1109" t="s">
        <v>397</v>
      </c>
      <c r="K15" s="1110"/>
      <c r="L15" s="1122">
        <f>'عرض السعر'!O17</f>
        <v>-7.6923000000000004</v>
      </c>
      <c r="M15" s="1112"/>
      <c r="N15" s="1118"/>
      <c r="O15" s="1118"/>
      <c r="P15" s="1118"/>
      <c r="Q15" s="1118"/>
      <c r="R15" s="1118"/>
      <c r="S15" s="1121"/>
      <c r="T15" s="1121"/>
    </row>
    <row r="16" spans="10:20" ht="15" thickBot="1" x14ac:dyDescent="0.35">
      <c r="J16" s="1109" t="s">
        <v>399</v>
      </c>
      <c r="K16" s="1110"/>
      <c r="L16" s="1111" t="e">
        <f>'عرض السعر'!O18</f>
        <v>#N/A</v>
      </c>
      <c r="M16" s="1112"/>
      <c r="N16" s="1097" t="s">
        <v>398</v>
      </c>
      <c r="O16" s="1098"/>
      <c r="Q16" s="1097" t="s">
        <v>193</v>
      </c>
      <c r="R16" s="1098"/>
      <c r="S16" s="1099"/>
      <c r="T16" s="1100"/>
    </row>
    <row r="17" spans="10:20" ht="12" customHeight="1" x14ac:dyDescent="0.3">
      <c r="J17" s="1105"/>
      <c r="K17" s="1106"/>
      <c r="L17" s="1106"/>
      <c r="M17" s="1107"/>
      <c r="N17" s="1099">
        <f>'عرض السعر'!G23</f>
        <v>104</v>
      </c>
      <c r="O17" s="1100"/>
      <c r="Q17" s="1099">
        <f>'عرض السعر'!H23</f>
        <v>165</v>
      </c>
      <c r="R17" s="1100"/>
      <c r="S17" s="1101"/>
      <c r="T17" s="1102"/>
    </row>
    <row r="18" spans="10:20" ht="5.25" customHeight="1" thickBot="1" x14ac:dyDescent="0.35">
      <c r="J18" s="1103"/>
      <c r="K18" s="1108"/>
      <c r="L18" s="1108"/>
      <c r="M18" s="1104"/>
      <c r="N18" s="1103"/>
      <c r="O18" s="1104"/>
      <c r="P18" s="403"/>
      <c r="Q18" s="1103"/>
      <c r="R18" s="1104"/>
      <c r="S18" s="1103"/>
      <c r="T18" s="1104"/>
    </row>
  </sheetData>
  <mergeCells count="34">
    <mergeCell ref="N3:T4"/>
    <mergeCell ref="J5:K5"/>
    <mergeCell ref="N5:R6"/>
    <mergeCell ref="S5:T6"/>
    <mergeCell ref="L5:M5"/>
    <mergeCell ref="L6:M6"/>
    <mergeCell ref="J6:K6"/>
    <mergeCell ref="L3:M4"/>
    <mergeCell ref="J3:K4"/>
    <mergeCell ref="J12:K13"/>
    <mergeCell ref="L12:M13"/>
    <mergeCell ref="N12:T13"/>
    <mergeCell ref="J7:K7"/>
    <mergeCell ref="L7:M7"/>
    <mergeCell ref="J8:M9"/>
    <mergeCell ref="N7:O7"/>
    <mergeCell ref="Q7:R7"/>
    <mergeCell ref="S7:T9"/>
    <mergeCell ref="Q8:R9"/>
    <mergeCell ref="N8:O9"/>
    <mergeCell ref="J14:K14"/>
    <mergeCell ref="L14:M14"/>
    <mergeCell ref="N14:R15"/>
    <mergeCell ref="S14:T15"/>
    <mergeCell ref="J15:K15"/>
    <mergeCell ref="L15:M15"/>
    <mergeCell ref="N16:O16"/>
    <mergeCell ref="Q16:R16"/>
    <mergeCell ref="S16:T18"/>
    <mergeCell ref="J17:M18"/>
    <mergeCell ref="N17:O18"/>
    <mergeCell ref="Q17:R18"/>
    <mergeCell ref="J16:K16"/>
    <mergeCell ref="L16:M16"/>
  </mergeCells>
  <pageMargins left="0.7" right="0.7" top="0.75" bottom="0.75" header="0.3" footer="0.3"/>
  <pageSetup paperSize="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Macro1">
                <anchor moveWithCells="1" sizeWithCells="1">
                  <from>
                    <xdr:col>20</xdr:col>
                    <xdr:colOff>60960</xdr:colOff>
                    <xdr:row>4</xdr:row>
                    <xdr:rowOff>106680</xdr:rowOff>
                  </from>
                  <to>
                    <xdr:col>21</xdr:col>
                    <xdr:colOff>289560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Macro1">
                <anchor moveWithCells="1" sizeWithCells="1">
                  <from>
                    <xdr:col>20</xdr:col>
                    <xdr:colOff>60960</xdr:colOff>
                    <xdr:row>13</xdr:row>
                    <xdr:rowOff>106680</xdr:rowOff>
                  </from>
                  <to>
                    <xdr:col>21</xdr:col>
                    <xdr:colOff>289560</xdr:colOff>
                    <xdr:row>15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طلب التصنيع</vt:lpstr>
      <vt:lpstr>مقاسات الطلب</vt:lpstr>
      <vt:lpstr>مقاسات الطلب (2)</vt:lpstr>
      <vt:lpstr>إذن التسليم</vt:lpstr>
      <vt:lpstr>عرض السعر</vt:lpstr>
      <vt:lpstr>طلب شراء</vt:lpstr>
      <vt:lpstr>قائمة الأسعار</vt:lpstr>
      <vt:lpstr>طباعة الملصقات</vt:lpstr>
      <vt:lpstr>'إذن التسليم'!Print_Area</vt:lpstr>
      <vt:lpstr>'طلب التصنيع'!Print_Area</vt:lpstr>
      <vt:lpstr>'طلب شراء'!Print_Area</vt:lpstr>
      <vt:lpstr>'عرض السعر'!Print_Area</vt:lpstr>
      <vt:lpstr>'قائمة الأسعار'!Print_Area</vt:lpstr>
      <vt:lpstr>'مقاسات الطلب'!Print_Area</vt:lpstr>
      <vt:lpstr>'مقاسات الطلب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Shiko</dc:creator>
  <cp:lastModifiedBy>reus company</cp:lastModifiedBy>
  <cp:lastPrinted>2024-03-04T22:41:36Z</cp:lastPrinted>
  <dcterms:created xsi:type="dcterms:W3CDTF">2006-09-16T00:00:00Z</dcterms:created>
  <dcterms:modified xsi:type="dcterms:W3CDTF">2025-04-26T12:26:58Z</dcterms:modified>
</cp:coreProperties>
</file>