
<file path=[Content_Types].xml><?xml version="1.0" encoding="utf-8"?>
<Types xmlns="http://schemas.openxmlformats.org/package/2006/content-types">
  <Default Extension="bin" ContentType="application/vnd.openxmlformats-officedocument.oleObject"/>
  <Default Extension="emf" ContentType="image/x-emf"/>
  <Default Extension="jpeg" ContentType="image/jpeg"/>
  <Default Extension="png" ContentType="image/png"/>
  <Default Extension="rels" ContentType="application/vnd.openxmlformats-package.relationships+xml"/>
  <Default Extension="tiff" ContentType="image/tiff"/>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printerSettings/printerSettings1.bin" ContentType="application/vnd.openxmlformats-officedocument.spreadsheetml.printerSettings"/>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xl/comments5.xml" ContentType="application/vnd.openxmlformats-officedocument.spreadsheetml.comments+xml"/>
  <Override PartName="/xl/printerSettings/printerSettings4.bin" ContentType="application/vnd.openxmlformats-officedocument.spreadsheetml.printerSettings"/>
  <Override PartName="/xl/printerSettings/printerSettings5.bin" ContentType="application/vnd.openxmlformats-officedocument.spreadsheetml.printerSettings"/>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xmlns:mc="http://schemas.openxmlformats.org/markup-compatibility/2006">
    <mc:Choice Requires="x15">
      <x15ac:absPath xmlns:x15ac="http://schemas.microsoft.com/office/spreadsheetml/2010/11/ac" url="C:\Users\HMH\Desktop\"/>
    </mc:Choice>
  </mc:AlternateContent>
  <xr:revisionPtr revIDLastSave="0" documentId="8_{8B4F2EF6-E859-4BA6-B009-42FE01F5EEF5}" xr6:coauthVersionLast="47" xr6:coauthVersionMax="47" xr10:uidLastSave="{00000000-0000-0000-0000-000000000000}"/>
  <bookViews>
    <workbookView xWindow="-120" yWindow="-120" windowWidth="25440" windowHeight="15390" firstSheet="3" activeTab="3" xr2:uid="{00000000-000D-0000-FFFF-FFFF00000000}"/>
  </bookViews>
  <sheets>
    <sheet name="纵向结构计算及校核" sheetId="3" state="hidden" r:id="rId1"/>
    <sheet name="郭家沟纵向计算R1版" sheetId="8" state="hidden" r:id="rId2"/>
    <sheet name="纵向预应力计算" sheetId="12" r:id="rId3"/>
    <sheet name="part1-基本参数" sheetId="16" r:id="rId4"/>
    <sheet name="part2-预应力损失估算" sheetId="17" r:id="rId5"/>
    <sheet name="part3承载力验算" sheetId="18" r:id="rId6"/>
    <sheet name="part4抗裂验算" sheetId="21" r:id="rId7"/>
    <sheet name="part5 普通钢筋抗裂验算表" sheetId="19" r:id="rId8"/>
    <sheet name="part6槽身横向抗裂验算" sheetId="20" r:id="rId9"/>
    <sheet name="part7局部受压验算" sheetId="22" r:id="rId10"/>
  </sheets>
  <definedNames>
    <definedName name="_xlnm.Print_Area" localSheetId="1">郭家沟纵向计算R1版!$A$1:$T$454</definedName>
    <definedName name="_xlnm.Print_Area" localSheetId="2">纵向预应力计算!$B$12:$H$76,纵向预应力计算!$B$78:$E$168,纵向预应力计算!$B$170:$F$234,纵向预应力计算!$C$237:$E$450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8" i="16" l="1"/>
  <c r="F7" i="16"/>
  <c r="F12" i="16" s="1"/>
  <c r="F6" i="16"/>
  <c r="C18" i="19" s="1"/>
  <c r="F5" i="16"/>
  <c r="F11" i="16" s="1"/>
  <c r="F4" i="16"/>
  <c r="F10" i="16" s="1"/>
  <c r="F8" i="22"/>
  <c r="F21" i="22"/>
  <c r="F24" i="22"/>
  <c r="F20" i="22"/>
  <c r="F25" i="22" s="1"/>
  <c r="F11" i="22"/>
  <c r="F16" i="22" s="1"/>
  <c r="I40" i="20"/>
  <c r="I41" i="20" s="1"/>
  <c r="F40" i="20"/>
  <c r="F41" i="20" s="1"/>
  <c r="E40" i="20"/>
  <c r="E41" i="20" s="1"/>
  <c r="C40" i="20"/>
  <c r="C41" i="20" s="1"/>
  <c r="J36" i="20"/>
  <c r="I36" i="20"/>
  <c r="H36" i="20"/>
  <c r="G36" i="20"/>
  <c r="F36" i="20"/>
  <c r="E36" i="20"/>
  <c r="D36" i="20"/>
  <c r="J35" i="20"/>
  <c r="I35" i="20"/>
  <c r="H35" i="20"/>
  <c r="G35" i="20"/>
  <c r="F35" i="20"/>
  <c r="E35" i="20"/>
  <c r="D35" i="20"/>
  <c r="C34" i="20"/>
  <c r="J34" i="20" s="1"/>
  <c r="J33" i="20"/>
  <c r="I33" i="20"/>
  <c r="H33" i="20"/>
  <c r="G33" i="20"/>
  <c r="F33" i="20"/>
  <c r="E33" i="20"/>
  <c r="D33" i="20"/>
  <c r="J32" i="20"/>
  <c r="I32" i="20"/>
  <c r="H32" i="20"/>
  <c r="G32" i="20"/>
  <c r="F32" i="20"/>
  <c r="E32" i="20"/>
  <c r="D32" i="20"/>
  <c r="J31" i="20"/>
  <c r="I31" i="20"/>
  <c r="H31" i="20"/>
  <c r="G31" i="20"/>
  <c r="E31" i="20"/>
  <c r="D31" i="20"/>
  <c r="C31" i="20"/>
  <c r="F31" i="20" s="1"/>
  <c r="J30" i="20"/>
  <c r="I30" i="20"/>
  <c r="H30" i="20"/>
  <c r="G30" i="20"/>
  <c r="F30" i="20"/>
  <c r="E30" i="20"/>
  <c r="D30" i="20"/>
  <c r="J29" i="20"/>
  <c r="I29" i="20"/>
  <c r="H29" i="20"/>
  <c r="G29" i="20"/>
  <c r="F29" i="20"/>
  <c r="E29" i="20"/>
  <c r="D29" i="20"/>
  <c r="J25" i="20"/>
  <c r="I25" i="20"/>
  <c r="H25" i="20"/>
  <c r="G25" i="20"/>
  <c r="F25" i="20"/>
  <c r="E25" i="20"/>
  <c r="D25" i="20"/>
  <c r="J24" i="20"/>
  <c r="I24" i="20"/>
  <c r="H24" i="20"/>
  <c r="G24" i="20"/>
  <c r="F24" i="20"/>
  <c r="E24" i="20"/>
  <c r="D24" i="20"/>
  <c r="J23" i="20"/>
  <c r="I23" i="20"/>
  <c r="H23" i="20"/>
  <c r="G23" i="20"/>
  <c r="F23" i="20"/>
  <c r="E23" i="20"/>
  <c r="D23" i="20"/>
  <c r="J22" i="20"/>
  <c r="I22" i="20"/>
  <c r="H22" i="20"/>
  <c r="G22" i="20"/>
  <c r="F22" i="20"/>
  <c r="E22" i="20"/>
  <c r="D22" i="20"/>
  <c r="C21" i="20"/>
  <c r="J21" i="20" s="1"/>
  <c r="J37" i="20" s="1"/>
  <c r="C20" i="20"/>
  <c r="J20" i="20" s="1"/>
  <c r="J19" i="20"/>
  <c r="I19" i="20"/>
  <c r="H19" i="20"/>
  <c r="G19" i="20"/>
  <c r="F19" i="20"/>
  <c r="E19" i="20"/>
  <c r="D19" i="20"/>
  <c r="J18" i="20"/>
  <c r="H18" i="20"/>
  <c r="C18" i="20"/>
  <c r="I18" i="20" s="1"/>
  <c r="J17" i="20"/>
  <c r="I17" i="20"/>
  <c r="H17" i="20"/>
  <c r="G17" i="20"/>
  <c r="F17" i="20"/>
  <c r="E17" i="20"/>
  <c r="D17" i="20"/>
  <c r="J16" i="20"/>
  <c r="I16" i="20"/>
  <c r="H16" i="20"/>
  <c r="G16" i="20"/>
  <c r="F16" i="20"/>
  <c r="E16" i="20"/>
  <c r="D16" i="20"/>
  <c r="J15" i="20"/>
  <c r="I15" i="20"/>
  <c r="H15" i="20"/>
  <c r="G15" i="20"/>
  <c r="F15" i="20"/>
  <c r="E15" i="20"/>
  <c r="D15" i="20"/>
  <c r="H13" i="20"/>
  <c r="G13" i="20"/>
  <c r="F13" i="20"/>
  <c r="E13" i="20"/>
  <c r="C13" i="20"/>
  <c r="D13" i="20" s="1"/>
  <c r="J12" i="20"/>
  <c r="I12" i="20"/>
  <c r="H12" i="20"/>
  <c r="G12" i="20"/>
  <c r="F12" i="20"/>
  <c r="E12" i="20"/>
  <c r="D12" i="20"/>
  <c r="F11" i="20"/>
  <c r="D11" i="20"/>
  <c r="C11" i="20"/>
  <c r="E11" i="20" s="1"/>
  <c r="F10" i="20"/>
  <c r="D10" i="20"/>
  <c r="C10" i="20"/>
  <c r="E10" i="20" s="1"/>
  <c r="C9" i="20"/>
  <c r="G8" i="20"/>
  <c r="F8" i="20"/>
  <c r="D8" i="20"/>
  <c r="C8" i="20"/>
  <c r="F7" i="20"/>
  <c r="D7" i="20"/>
  <c r="C7" i="20"/>
  <c r="E7" i="20" s="1"/>
  <c r="J6" i="20"/>
  <c r="J9" i="20" s="1"/>
  <c r="I6" i="20"/>
  <c r="I9" i="20" s="1"/>
  <c r="H6" i="20"/>
  <c r="H9" i="20" s="1"/>
  <c r="G6" i="20"/>
  <c r="G9" i="20" s="1"/>
  <c r="F6" i="20"/>
  <c r="F9" i="20" s="1"/>
  <c r="E6" i="20"/>
  <c r="E9" i="20" s="1"/>
  <c r="D6" i="20"/>
  <c r="D9" i="20" s="1"/>
  <c r="J5" i="20"/>
  <c r="J8" i="20" s="1"/>
  <c r="I5" i="20"/>
  <c r="I8" i="20" s="1"/>
  <c r="H5" i="20"/>
  <c r="H8" i="20" s="1"/>
  <c r="G5" i="20"/>
  <c r="F5" i="20"/>
  <c r="E5" i="20"/>
  <c r="E8" i="20" s="1"/>
  <c r="D5" i="20"/>
  <c r="J4" i="20"/>
  <c r="I4" i="20"/>
  <c r="H4" i="20"/>
  <c r="G4" i="20"/>
  <c r="F4" i="20"/>
  <c r="E4" i="20"/>
  <c r="D4" i="20"/>
  <c r="C31" i="19"/>
  <c r="C26" i="19"/>
  <c r="C25" i="19"/>
  <c r="C24" i="19"/>
  <c r="C23" i="19"/>
  <c r="C22" i="19"/>
  <c r="C16" i="19"/>
  <c r="C11" i="19"/>
  <c r="D83" i="21"/>
  <c r="D81" i="21"/>
  <c r="D76" i="21"/>
  <c r="D78" i="21" s="1"/>
  <c r="D80" i="21" s="1"/>
  <c r="D66" i="21"/>
  <c r="D67" i="21" s="1"/>
  <c r="D65" i="21"/>
  <c r="D63" i="21"/>
  <c r="D60" i="21"/>
  <c r="D59" i="21"/>
  <c r="D53" i="21"/>
  <c r="D54" i="21" s="1"/>
  <c r="D50" i="21"/>
  <c r="D46" i="21"/>
  <c r="D44" i="21"/>
  <c r="D25" i="21"/>
  <c r="C58" i="18"/>
  <c r="C60" i="18" s="1"/>
  <c r="C63" i="18" s="1"/>
  <c r="C46" i="18"/>
  <c r="C39" i="18"/>
  <c r="C45" i="18" s="1"/>
  <c r="C47" i="18" s="1"/>
  <c r="C38" i="18"/>
  <c r="J25" i="18"/>
  <c r="I25" i="18"/>
  <c r="H25" i="18"/>
  <c r="G25" i="18"/>
  <c r="F25" i="18"/>
  <c r="E25" i="18"/>
  <c r="D25" i="18"/>
  <c r="J20" i="18"/>
  <c r="I20" i="18"/>
  <c r="H20" i="18"/>
  <c r="G20" i="18"/>
  <c r="F20" i="18"/>
  <c r="E20" i="18"/>
  <c r="D20" i="18"/>
  <c r="J19" i="18"/>
  <c r="I19" i="18"/>
  <c r="H19" i="18"/>
  <c r="G19" i="18"/>
  <c r="F19" i="18"/>
  <c r="E19" i="18"/>
  <c r="D19" i="18"/>
  <c r="J18" i="18"/>
  <c r="I18" i="18"/>
  <c r="H18" i="18"/>
  <c r="G18" i="18"/>
  <c r="F18" i="18"/>
  <c r="E18" i="18"/>
  <c r="D18" i="18"/>
  <c r="J17" i="18"/>
  <c r="I17" i="18"/>
  <c r="H17" i="18"/>
  <c r="G17" i="18"/>
  <c r="F17" i="18"/>
  <c r="E17" i="18"/>
  <c r="D17" i="18"/>
  <c r="J16" i="18"/>
  <c r="I16" i="18"/>
  <c r="H16" i="18"/>
  <c r="G16" i="18"/>
  <c r="F16" i="18"/>
  <c r="E16" i="18"/>
  <c r="D16" i="18"/>
  <c r="C14" i="18"/>
  <c r="C13" i="18"/>
  <c r="J12" i="18"/>
  <c r="I12" i="18"/>
  <c r="H12" i="18"/>
  <c r="G12" i="18"/>
  <c r="F12" i="18"/>
  <c r="E12" i="18"/>
  <c r="D12" i="18"/>
  <c r="J11" i="18"/>
  <c r="I11" i="18"/>
  <c r="E11" i="18"/>
  <c r="C11" i="18"/>
  <c r="D11" i="18" s="1"/>
  <c r="J10" i="18"/>
  <c r="I10" i="18"/>
  <c r="E10" i="18"/>
  <c r="C10" i="18"/>
  <c r="J9" i="18"/>
  <c r="I9" i="18"/>
  <c r="E9" i="18"/>
  <c r="C9" i="18"/>
  <c r="D9" i="18" s="1"/>
  <c r="J8" i="18"/>
  <c r="I8" i="18"/>
  <c r="H8" i="18"/>
  <c r="G8" i="18"/>
  <c r="F8" i="18"/>
  <c r="E8" i="18"/>
  <c r="D8" i="18"/>
  <c r="J6" i="18"/>
  <c r="I6" i="18"/>
  <c r="H6" i="18"/>
  <c r="G6" i="18"/>
  <c r="F6" i="18"/>
  <c r="E6" i="18"/>
  <c r="D6" i="18"/>
  <c r="C5" i="18"/>
  <c r="H5" i="18" s="1"/>
  <c r="H4" i="18"/>
  <c r="G4" i="18"/>
  <c r="C4" i="18"/>
  <c r="D23" i="17"/>
  <c r="D22" i="17"/>
  <c r="D21" i="17"/>
  <c r="D17" i="17"/>
  <c r="D13" i="17"/>
  <c r="D15" i="17" s="1"/>
  <c r="D5" i="17"/>
  <c r="D2" i="17"/>
  <c r="F67" i="16"/>
  <c r="D66" i="16"/>
  <c r="E61" i="16"/>
  <c r="E60" i="16"/>
  <c r="E58" i="16"/>
  <c r="E57" i="16"/>
  <c r="E52" i="16"/>
  <c r="E54" i="16" s="1"/>
  <c r="E48" i="16"/>
  <c r="E46" i="16"/>
  <c r="E39" i="16"/>
  <c r="E42" i="16" s="1"/>
  <c r="E28" i="16"/>
  <c r="D441" i="12"/>
  <c r="D445" i="12" s="1"/>
  <c r="D440" i="12"/>
  <c r="D437" i="12"/>
  <c r="D435" i="12"/>
  <c r="D436" i="12" s="1"/>
  <c r="D434" i="12"/>
  <c r="D421" i="12"/>
  <c r="G417" i="12"/>
  <c r="D405" i="12"/>
  <c r="D382" i="12"/>
  <c r="D381" i="12"/>
  <c r="F342" i="12"/>
  <c r="D341" i="12"/>
  <c r="D337" i="12"/>
  <c r="D335" i="12"/>
  <c r="D333" i="12"/>
  <c r="D308" i="12"/>
  <c r="D305" i="12"/>
  <c r="D249" i="12"/>
  <c r="D251" i="12" s="1"/>
  <c r="D241" i="12"/>
  <c r="D238" i="12"/>
  <c r="E216" i="12"/>
  <c r="E212" i="12"/>
  <c r="E211" i="12"/>
  <c r="E205" i="12"/>
  <c r="E204" i="12"/>
  <c r="E202" i="12"/>
  <c r="E201" i="12"/>
  <c r="E199" i="12"/>
  <c r="E197" i="12"/>
  <c r="D319" i="12" s="1"/>
  <c r="E196" i="12"/>
  <c r="E195" i="12"/>
  <c r="E194" i="12"/>
  <c r="E192" i="12"/>
  <c r="E189" i="12"/>
  <c r="E187" i="12"/>
  <c r="E184" i="12"/>
  <c r="E182" i="12"/>
  <c r="E175" i="12"/>
  <c r="E177" i="12" s="1"/>
  <c r="D163" i="12"/>
  <c r="D162" i="12"/>
  <c r="D366" i="12" s="1"/>
  <c r="D142" i="12"/>
  <c r="D143" i="12" s="1"/>
  <c r="D135" i="12"/>
  <c r="D136" i="12" s="1"/>
  <c r="D128" i="12"/>
  <c r="D129" i="12" s="1"/>
  <c r="D130" i="12" s="1"/>
  <c r="D131" i="12" s="1"/>
  <c r="D127" i="12"/>
  <c r="D121" i="12"/>
  <c r="D122" i="12" s="1"/>
  <c r="D123" i="12" s="1"/>
  <c r="D124" i="12" s="1"/>
  <c r="D120" i="12"/>
  <c r="D115" i="12"/>
  <c r="D116" i="12" s="1"/>
  <c r="D114" i="12"/>
  <c r="D113" i="12"/>
  <c r="D112" i="12"/>
  <c r="D104" i="12"/>
  <c r="D105" i="12" s="1"/>
  <c r="D106" i="12" s="1"/>
  <c r="D107" i="12" s="1"/>
  <c r="D108" i="12" s="1"/>
  <c r="D99" i="12"/>
  <c r="D98" i="12"/>
  <c r="D97" i="12"/>
  <c r="D93" i="12"/>
  <c r="D94" i="12" s="1"/>
  <c r="D87" i="12"/>
  <c r="D88" i="12" s="1"/>
  <c r="D89" i="12" s="1"/>
  <c r="F67" i="12"/>
  <c r="F66" i="12"/>
  <c r="D415" i="12" s="1"/>
  <c r="F65" i="12"/>
  <c r="D416" i="12" s="1"/>
  <c r="F64" i="12"/>
  <c r="J52" i="12"/>
  <c r="H44" i="12"/>
  <c r="D44" i="12"/>
  <c r="C44" i="12"/>
  <c r="H43" i="12"/>
  <c r="D43" i="12"/>
  <c r="E43" i="12" s="1"/>
  <c r="C43" i="12"/>
  <c r="H42" i="12"/>
  <c r="C42" i="12"/>
  <c r="H41" i="12"/>
  <c r="E41" i="12"/>
  <c r="D41" i="12"/>
  <c r="C41" i="12"/>
  <c r="H40" i="12"/>
  <c r="D40" i="12"/>
  <c r="C40" i="12"/>
  <c r="H39" i="12"/>
  <c r="D39" i="12"/>
  <c r="E39" i="12" s="1"/>
  <c r="C39" i="12"/>
  <c r="H38" i="12"/>
  <c r="E38" i="12"/>
  <c r="D38" i="12"/>
  <c r="C38" i="12"/>
  <c r="H37" i="12"/>
  <c r="H45" i="12" s="1"/>
  <c r="D37" i="12"/>
  <c r="E37" i="12" s="1"/>
  <c r="C37" i="12"/>
  <c r="G31" i="12"/>
  <c r="C27" i="12"/>
  <c r="C26" i="12"/>
  <c r="D42" i="12" s="1"/>
  <c r="E42" i="12" s="1"/>
  <c r="F24" i="12"/>
  <c r="E24" i="12"/>
  <c r="F23" i="12"/>
  <c r="E23" i="12"/>
  <c r="F22" i="12"/>
  <c r="E22" i="12"/>
  <c r="F21" i="12"/>
  <c r="E21" i="12"/>
  <c r="F20" i="12"/>
  <c r="E20" i="12"/>
  <c r="F19" i="12"/>
  <c r="E19" i="12"/>
  <c r="F18" i="12"/>
  <c r="E18" i="12"/>
  <c r="C17" i="12"/>
  <c r="E50" i="12" s="1"/>
  <c r="D16" i="12"/>
  <c r="E16" i="12" s="1"/>
  <c r="H16" i="12" s="1"/>
  <c r="E15" i="12"/>
  <c r="H14" i="12" s="1"/>
  <c r="D15" i="12"/>
  <c r="J450" i="8"/>
  <c r="J448" i="8"/>
  <c r="F448" i="8"/>
  <c r="F446" i="8"/>
  <c r="J444" i="8"/>
  <c r="F444" i="8"/>
  <c r="J442" i="8"/>
  <c r="J446" i="8" s="1"/>
  <c r="F442" i="8"/>
  <c r="F438" i="8"/>
  <c r="J437" i="8"/>
  <c r="J438" i="8" s="1"/>
  <c r="J453" i="8" s="1"/>
  <c r="J454" i="8" s="1"/>
  <c r="F437" i="8"/>
  <c r="J436" i="8"/>
  <c r="F436" i="8"/>
  <c r="F432" i="8"/>
  <c r="F450" i="8" s="1"/>
  <c r="F423" i="8"/>
  <c r="F417" i="8"/>
  <c r="F416" i="8"/>
  <c r="F406" i="8"/>
  <c r="F382" i="8"/>
  <c r="F381" i="8"/>
  <c r="F365" i="8"/>
  <c r="F358" i="8"/>
  <c r="G354" i="8"/>
  <c r="F355" i="8" s="1"/>
  <c r="F357" i="8" s="1"/>
  <c r="F360" i="8" s="1"/>
  <c r="H347" i="8"/>
  <c r="F343" i="8"/>
  <c r="F342" i="8"/>
  <c r="F339" i="8"/>
  <c r="F341" i="8" s="1"/>
  <c r="F324" i="8"/>
  <c r="I269" i="8"/>
  <c r="J256" i="8"/>
  <c r="F236" i="8"/>
  <c r="F233" i="8"/>
  <c r="F235" i="8" s="1"/>
  <c r="F231" i="8"/>
  <c r="F232" i="8" s="1"/>
  <c r="F230" i="8"/>
  <c r="F225" i="8"/>
  <c r="F226" i="8" s="1"/>
  <c r="H218" i="8"/>
  <c r="F218" i="8"/>
  <c r="F195" i="8"/>
  <c r="F196" i="8" s="1"/>
  <c r="I193" i="8"/>
  <c r="F191" i="8"/>
  <c r="F311" i="8" s="1"/>
  <c r="F190" i="8"/>
  <c r="F186" i="8"/>
  <c r="F187" i="8" s="1"/>
  <c r="F185" i="8"/>
  <c r="F183" i="8"/>
  <c r="F181" i="8"/>
  <c r="F180" i="8"/>
  <c r="F184" i="8" s="1"/>
  <c r="F178" i="8"/>
  <c r="F176" i="8"/>
  <c r="F175" i="8"/>
  <c r="F174" i="8"/>
  <c r="F172" i="8"/>
  <c r="F166" i="8"/>
  <c r="F168" i="8" s="1"/>
  <c r="F164" i="8"/>
  <c r="F192" i="8" s="1"/>
  <c r="F162" i="8"/>
  <c r="F156" i="8"/>
  <c r="F158" i="8" s="1"/>
  <c r="F141" i="8"/>
  <c r="F140" i="8"/>
  <c r="F128" i="8"/>
  <c r="F129" i="8" s="1"/>
  <c r="F121" i="8"/>
  <c r="F113" i="8"/>
  <c r="F114" i="8" s="1"/>
  <c r="F115" i="8" s="1"/>
  <c r="F116" i="8" s="1"/>
  <c r="F117" i="8" s="1"/>
  <c r="F107" i="8"/>
  <c r="F108" i="8" s="1"/>
  <c r="F109" i="8" s="1"/>
  <c r="F106" i="8"/>
  <c r="F105" i="8"/>
  <c r="N98" i="8"/>
  <c r="N99" i="8" s="1"/>
  <c r="N101" i="8" s="1"/>
  <c r="F98" i="8"/>
  <c r="F99" i="8" s="1"/>
  <c r="F100" i="8" s="1"/>
  <c r="F75" i="8"/>
  <c r="I69" i="8"/>
  <c r="F69" i="8"/>
  <c r="E69" i="8"/>
  <c r="I68" i="8"/>
  <c r="E68" i="8"/>
  <c r="D68" i="8"/>
  <c r="F68" i="8" s="1"/>
  <c r="I67" i="8"/>
  <c r="D67" i="8"/>
  <c r="I66" i="8"/>
  <c r="E66" i="8"/>
  <c r="D66" i="8"/>
  <c r="F66" i="8" s="1"/>
  <c r="I65" i="8"/>
  <c r="F65" i="8"/>
  <c r="E65" i="8"/>
  <c r="D65" i="8"/>
  <c r="I64" i="8"/>
  <c r="E64" i="8"/>
  <c r="D64" i="8"/>
  <c r="F64" i="8" s="1"/>
  <c r="I63" i="8"/>
  <c r="F63" i="8"/>
  <c r="E63" i="8"/>
  <c r="D63" i="8"/>
  <c r="I62" i="8"/>
  <c r="E62" i="8"/>
  <c r="D62" i="8"/>
  <c r="F62" i="8" s="1"/>
  <c r="F46" i="8"/>
  <c r="C37" i="8"/>
  <c r="F354" i="8" s="1"/>
  <c r="G36" i="8"/>
  <c r="I36" i="8" s="1"/>
  <c r="F36" i="8"/>
  <c r="C36" i="8"/>
  <c r="E67" i="8" s="1"/>
  <c r="F67" i="8" s="1"/>
  <c r="G32" i="8"/>
  <c r="G30" i="8"/>
  <c r="F94" i="8" s="1"/>
  <c r="F95" i="8" s="1"/>
  <c r="G27" i="8"/>
  <c r="D69" i="8" s="1"/>
  <c r="F24" i="8"/>
  <c r="E24" i="8"/>
  <c r="F23" i="8"/>
  <c r="E23" i="8"/>
  <c r="F22" i="8"/>
  <c r="E22" i="8"/>
  <c r="F21" i="8"/>
  <c r="E21" i="8"/>
  <c r="F20" i="8"/>
  <c r="E20" i="8"/>
  <c r="F19" i="8"/>
  <c r="E19" i="8"/>
  <c r="F18" i="8"/>
  <c r="E18" i="8"/>
  <c r="G16" i="8"/>
  <c r="E16" i="8"/>
  <c r="D16" i="8"/>
  <c r="F453" i="3"/>
  <c r="F448" i="3"/>
  <c r="F444" i="3"/>
  <c r="F442" i="3"/>
  <c r="F446" i="3" s="1"/>
  <c r="F439" i="3"/>
  <c r="F438" i="3"/>
  <c r="F437" i="3"/>
  <c r="F436" i="3"/>
  <c r="F432" i="3"/>
  <c r="F450" i="3" s="1"/>
  <c r="F423" i="3"/>
  <c r="F417" i="3"/>
  <c r="F416" i="3"/>
  <c r="F406" i="3"/>
  <c r="F382" i="3"/>
  <c r="F381" i="3"/>
  <c r="F365" i="3"/>
  <c r="F358" i="3"/>
  <c r="H347" i="3"/>
  <c r="F347" i="3"/>
  <c r="G347" i="3" s="1"/>
  <c r="F348" i="3" s="1"/>
  <c r="F343" i="3"/>
  <c r="F342" i="3"/>
  <c r="F339" i="3"/>
  <c r="F341" i="3" s="1"/>
  <c r="F236" i="3"/>
  <c r="F235" i="3"/>
  <c r="F233" i="3"/>
  <c r="F230" i="3"/>
  <c r="F231" i="3" s="1"/>
  <c r="F232" i="3" s="1"/>
  <c r="F226" i="3"/>
  <c r="F225" i="3"/>
  <c r="F218" i="3"/>
  <c r="F194" i="3"/>
  <c r="F195" i="3" s="1"/>
  <c r="F192" i="3"/>
  <c r="F311" i="3" s="1"/>
  <c r="F191" i="3"/>
  <c r="F190" i="3"/>
  <c r="F187" i="3"/>
  <c r="F186" i="3"/>
  <c r="F185" i="3"/>
  <c r="F183" i="3"/>
  <c r="F182" i="3"/>
  <c r="F181" i="3"/>
  <c r="F179" i="3"/>
  <c r="F180" i="3" s="1"/>
  <c r="F184" i="3" s="1"/>
  <c r="F178" i="3"/>
  <c r="F176" i="3"/>
  <c r="F324" i="3" s="1"/>
  <c r="F175" i="3"/>
  <c r="F174" i="3"/>
  <c r="F172" i="3"/>
  <c r="F166" i="3"/>
  <c r="F168" i="3" s="1"/>
  <c r="F303" i="3" s="1"/>
  <c r="F164" i="3"/>
  <c r="F162" i="3"/>
  <c r="F156" i="3"/>
  <c r="F158" i="3" s="1"/>
  <c r="F141" i="3"/>
  <c r="F140" i="3"/>
  <c r="F129" i="3"/>
  <c r="F128" i="3"/>
  <c r="F121" i="3"/>
  <c r="F113" i="3"/>
  <c r="F114" i="3" s="1"/>
  <c r="F115" i="3" s="1"/>
  <c r="F116" i="3" s="1"/>
  <c r="F117" i="3" s="1"/>
  <c r="F105" i="3"/>
  <c r="F106" i="3" s="1"/>
  <c r="F107" i="3" s="1"/>
  <c r="F108" i="3" s="1"/>
  <c r="F109" i="3" s="1"/>
  <c r="F98" i="3"/>
  <c r="F99" i="3" s="1"/>
  <c r="F100" i="3" s="1"/>
  <c r="F75" i="3"/>
  <c r="I69" i="3"/>
  <c r="E69" i="3"/>
  <c r="D69" i="3"/>
  <c r="I68" i="3"/>
  <c r="D68" i="3"/>
  <c r="F68" i="3" s="1"/>
  <c r="I67" i="3"/>
  <c r="E67" i="3"/>
  <c r="D67" i="3"/>
  <c r="F67" i="3" s="1"/>
  <c r="I66" i="3"/>
  <c r="E66" i="3"/>
  <c r="D66" i="3"/>
  <c r="F66" i="3" s="1"/>
  <c r="I65" i="3"/>
  <c r="E65" i="3"/>
  <c r="D65" i="3"/>
  <c r="I64" i="3"/>
  <c r="F64" i="3"/>
  <c r="E64" i="3"/>
  <c r="D64" i="3"/>
  <c r="I63" i="3"/>
  <c r="I70" i="3" s="1"/>
  <c r="E63" i="3"/>
  <c r="D63" i="3"/>
  <c r="F63" i="3" s="1"/>
  <c r="I62" i="3"/>
  <c r="F62" i="3"/>
  <c r="E62" i="3"/>
  <c r="D62" i="3"/>
  <c r="F46" i="3"/>
  <c r="C37" i="3"/>
  <c r="G36" i="3"/>
  <c r="I36" i="3" s="1"/>
  <c r="F36" i="3"/>
  <c r="C36" i="3"/>
  <c r="E68" i="3" s="1"/>
  <c r="G30" i="3"/>
  <c r="F94" i="3" s="1"/>
  <c r="F95" i="3" s="1"/>
  <c r="F24" i="3"/>
  <c r="E24" i="3"/>
  <c r="F23" i="3"/>
  <c r="E23" i="3"/>
  <c r="F22" i="3"/>
  <c r="E22" i="3"/>
  <c r="F21" i="3"/>
  <c r="E21" i="3"/>
  <c r="F20" i="3"/>
  <c r="E20" i="3"/>
  <c r="F19" i="3"/>
  <c r="E19" i="3"/>
  <c r="F18" i="3"/>
  <c r="E18" i="3"/>
  <c r="D16" i="3"/>
  <c r="E16" i="3" s="1"/>
  <c r="G16" i="3" s="1"/>
  <c r="D27" i="21" l="1"/>
  <c r="F22" i="22"/>
  <c r="D82" i="21"/>
  <c r="C84" i="21" s="1"/>
  <c r="D48" i="21"/>
  <c r="D51" i="21" s="1"/>
  <c r="F347" i="8"/>
  <c r="G347" i="8" s="1"/>
  <c r="F348" i="8" s="1"/>
  <c r="F344" i="8"/>
  <c r="F323" i="8"/>
  <c r="F325" i="8" s="1"/>
  <c r="D326" i="8" s="1"/>
  <c r="F326" i="8" s="1"/>
  <c r="F329" i="8"/>
  <c r="D10" i="17"/>
  <c r="D11" i="17" s="1"/>
  <c r="D12" i="17" s="1"/>
  <c r="D6" i="17"/>
  <c r="P99" i="8"/>
  <c r="F449" i="8"/>
  <c r="F451" i="8" s="1"/>
  <c r="E44" i="12"/>
  <c r="F70" i="3"/>
  <c r="F72" i="3" s="1"/>
  <c r="F65" i="3"/>
  <c r="F239" i="3"/>
  <c r="F303" i="8"/>
  <c r="J449" i="8"/>
  <c r="J451" i="8" s="1"/>
  <c r="E40" i="12"/>
  <c r="E45" i="12" s="1"/>
  <c r="E47" i="12" s="1"/>
  <c r="E34" i="16"/>
  <c r="E31" i="16"/>
  <c r="E29" i="16"/>
  <c r="E14" i="18"/>
  <c r="D14" i="18"/>
  <c r="I14" i="18"/>
  <c r="H14" i="18"/>
  <c r="G14" i="18"/>
  <c r="J14" i="18"/>
  <c r="F14" i="18"/>
  <c r="I70" i="8"/>
  <c r="D355" i="12"/>
  <c r="D356" i="12" s="1"/>
  <c r="D358" i="12" s="1"/>
  <c r="D361" i="12" s="1"/>
  <c r="E217" i="12"/>
  <c r="I47" i="12"/>
  <c r="D299" i="12"/>
  <c r="D338" i="12"/>
  <c r="D70" i="8"/>
  <c r="F454" i="8"/>
  <c r="H43" i="20"/>
  <c r="F354" i="3"/>
  <c r="G354" i="3" s="1"/>
  <c r="F355" i="3" s="1"/>
  <c r="F357" i="3" s="1"/>
  <c r="F196" i="3"/>
  <c r="F323" i="3" s="1"/>
  <c r="F325" i="3" s="1"/>
  <c r="D326" i="3" s="1"/>
  <c r="F326" i="3" s="1"/>
  <c r="F454" i="3"/>
  <c r="F453" i="8"/>
  <c r="C45" i="12"/>
  <c r="F69" i="3"/>
  <c r="F360" i="3"/>
  <c r="E62" i="16"/>
  <c r="D69" i="16" s="1"/>
  <c r="C12" i="19"/>
  <c r="C21" i="19" s="1"/>
  <c r="E63" i="16"/>
  <c r="F70" i="8"/>
  <c r="D70" i="3"/>
  <c r="F449" i="3"/>
  <c r="F451" i="3" s="1"/>
  <c r="F239" i="8"/>
  <c r="E13" i="18"/>
  <c r="D13" i="18"/>
  <c r="C41" i="18"/>
  <c r="I13" i="18"/>
  <c r="H13" i="18"/>
  <c r="G13" i="18"/>
  <c r="C65" i="18"/>
  <c r="I42" i="20"/>
  <c r="I53" i="20" s="1"/>
  <c r="F329" i="3"/>
  <c r="C342" i="12"/>
  <c r="E341" i="12"/>
  <c r="D443" i="12"/>
  <c r="E40" i="16"/>
  <c r="C7" i="18"/>
  <c r="C37" i="18" s="1"/>
  <c r="C42" i="18" s="1"/>
  <c r="J5" i="18"/>
  <c r="I5" i="18"/>
  <c r="F5" i="18"/>
  <c r="E5" i="18"/>
  <c r="D5" i="18"/>
  <c r="F13" i="18"/>
  <c r="J42" i="20"/>
  <c r="J53" i="20" s="1"/>
  <c r="C54" i="20"/>
  <c r="C55" i="20" s="1"/>
  <c r="E26" i="12"/>
  <c r="E207" i="12"/>
  <c r="E208" i="12" s="1"/>
  <c r="E206" i="12"/>
  <c r="D246" i="12"/>
  <c r="D247" i="12" s="1"/>
  <c r="D248" i="12" s="1"/>
  <c r="D242" i="12"/>
  <c r="D68" i="16"/>
  <c r="G5" i="18"/>
  <c r="J13" i="18"/>
  <c r="D43" i="20"/>
  <c r="D42" i="20"/>
  <c r="D53" i="20" s="1"/>
  <c r="N89" i="8"/>
  <c r="E27" i="12"/>
  <c r="E54" i="20"/>
  <c r="E55" i="20" s="1"/>
  <c r="E43" i="20"/>
  <c r="E213" i="12"/>
  <c r="D254" i="12"/>
  <c r="D446" i="12"/>
  <c r="D449" i="12"/>
  <c r="F43" i="20"/>
  <c r="J4" i="18"/>
  <c r="I4" i="18"/>
  <c r="F4" i="18"/>
  <c r="E4" i="18"/>
  <c r="D4" i="18"/>
  <c r="G54" i="20"/>
  <c r="G55" i="20" s="1"/>
  <c r="G43" i="20"/>
  <c r="F9" i="18"/>
  <c r="F10" i="18"/>
  <c r="F11" i="18"/>
  <c r="G7" i="20"/>
  <c r="G10" i="20"/>
  <c r="G11" i="20"/>
  <c r="D20" i="20"/>
  <c r="D21" i="20"/>
  <c r="D37" i="20" s="1"/>
  <c r="D54" i="20" s="1"/>
  <c r="D55" i="20" s="1"/>
  <c r="D34" i="20"/>
  <c r="G9" i="18"/>
  <c r="G10" i="18"/>
  <c r="G11" i="18"/>
  <c r="C40" i="18"/>
  <c r="H7" i="20"/>
  <c r="H54" i="20" s="1"/>
  <c r="H55" i="20" s="1"/>
  <c r="H10" i="20"/>
  <c r="H11" i="20"/>
  <c r="I13" i="20"/>
  <c r="I54" i="20" s="1"/>
  <c r="I55" i="20" s="1"/>
  <c r="D18" i="20"/>
  <c r="E20" i="20"/>
  <c r="E21" i="20"/>
  <c r="E37" i="20" s="1"/>
  <c r="E34" i="20"/>
  <c r="E42" i="20" s="1"/>
  <c r="G40" i="20"/>
  <c r="G41" i="20" s="1"/>
  <c r="H9" i="18"/>
  <c r="H10" i="18"/>
  <c r="H11" i="18"/>
  <c r="D47" i="21"/>
  <c r="D55" i="21" s="1"/>
  <c r="I7" i="20"/>
  <c r="I10" i="20"/>
  <c r="I11" i="20"/>
  <c r="J13" i="20"/>
  <c r="J54" i="20" s="1"/>
  <c r="J55" i="20" s="1"/>
  <c r="E18" i="20"/>
  <c r="F20" i="20"/>
  <c r="F21" i="20"/>
  <c r="F37" i="20" s="1"/>
  <c r="F34" i="20"/>
  <c r="F42" i="20" s="1"/>
  <c r="H40" i="20"/>
  <c r="H41" i="20" s="1"/>
  <c r="C50" i="18"/>
  <c r="J7" i="20"/>
  <c r="J10" i="20"/>
  <c r="J11" i="20"/>
  <c r="C14" i="20"/>
  <c r="F18" i="20"/>
  <c r="G20" i="20"/>
  <c r="G21" i="20"/>
  <c r="G37" i="20" s="1"/>
  <c r="G34" i="20"/>
  <c r="G42" i="20" s="1"/>
  <c r="G53" i="20" s="1"/>
  <c r="G18" i="20"/>
  <c r="H20" i="20"/>
  <c r="H21" i="20"/>
  <c r="H37" i="20" s="1"/>
  <c r="H34" i="20"/>
  <c r="H42" i="20" s="1"/>
  <c r="H53" i="20" s="1"/>
  <c r="J40" i="20"/>
  <c r="J41" i="20" s="1"/>
  <c r="I20" i="20"/>
  <c r="I21" i="20"/>
  <c r="I37" i="20" s="1"/>
  <c r="I34" i="20"/>
  <c r="C37" i="20"/>
  <c r="C42" i="20"/>
  <c r="C53" i="20" s="1"/>
  <c r="C43" i="20"/>
  <c r="D10" i="18"/>
  <c r="D40" i="20"/>
  <c r="D41" i="20" s="1"/>
  <c r="C28" i="19" l="1"/>
  <c r="C29" i="19" s="1"/>
  <c r="C30" i="19" s="1"/>
  <c r="C32" i="19" s="1"/>
  <c r="C33" i="19" s="1"/>
  <c r="C27" i="19"/>
  <c r="F68" i="16"/>
  <c r="D32" i="17"/>
  <c r="E32" i="17" s="1"/>
  <c r="F28" i="22"/>
  <c r="E29" i="22" s="1"/>
  <c r="F26" i="22"/>
  <c r="D64" i="21"/>
  <c r="C43" i="18"/>
  <c r="C66" i="18"/>
  <c r="F43" i="12"/>
  <c r="G43" i="12" s="1"/>
  <c r="F39" i="12"/>
  <c r="G39" i="12" s="1"/>
  <c r="F41" i="12"/>
  <c r="G41" i="12" s="1"/>
  <c r="F37" i="12"/>
  <c r="G37" i="12" s="1"/>
  <c r="F40" i="12"/>
  <c r="G40" i="12" s="1"/>
  <c r="F38" i="12"/>
  <c r="G38" i="12" s="1"/>
  <c r="F44" i="12"/>
  <c r="G44" i="12" s="1"/>
  <c r="F42" i="12"/>
  <c r="G42" i="12" s="1"/>
  <c r="E51" i="12"/>
  <c r="E52" i="12" s="1"/>
  <c r="E53" i="12" s="1"/>
  <c r="E55" i="12" s="1"/>
  <c r="E48" i="12"/>
  <c r="F53" i="20"/>
  <c r="F47" i="20"/>
  <c r="F48" i="20" s="1"/>
  <c r="F49" i="20" s="1"/>
  <c r="D58" i="21"/>
  <c r="D57" i="21"/>
  <c r="C61" i="21" s="1"/>
  <c r="H57" i="20"/>
  <c r="H56" i="20"/>
  <c r="D70" i="16"/>
  <c r="D19" i="21" s="1"/>
  <c r="D8" i="21"/>
  <c r="G57" i="20"/>
  <c r="G56" i="20"/>
  <c r="E53" i="20"/>
  <c r="D57" i="20"/>
  <c r="D56" i="20"/>
  <c r="D46" i="20"/>
  <c r="D47" i="20" s="1"/>
  <c r="D48" i="20" s="1"/>
  <c r="D49" i="20" s="1"/>
  <c r="D45" i="20"/>
  <c r="D44" i="20"/>
  <c r="F69" i="16"/>
  <c r="D18" i="21" s="1"/>
  <c r="D7" i="21"/>
  <c r="F242" i="8"/>
  <c r="C48" i="18"/>
  <c r="C49" i="18" s="1"/>
  <c r="H46" i="20"/>
  <c r="H47" i="20" s="1"/>
  <c r="H48" i="20" s="1"/>
  <c r="H49" i="20" s="1"/>
  <c r="H45" i="20"/>
  <c r="H44" i="20"/>
  <c r="F88" i="8"/>
  <c r="F71" i="8"/>
  <c r="F242" i="3"/>
  <c r="F14" i="20"/>
  <c r="E14" i="20"/>
  <c r="D14" i="20"/>
  <c r="J14" i="20"/>
  <c r="I14" i="20"/>
  <c r="H14" i="20"/>
  <c r="G14" i="20"/>
  <c r="F72" i="8"/>
  <c r="D19" i="17"/>
  <c r="C46" i="20"/>
  <c r="C45" i="20"/>
  <c r="C44" i="20"/>
  <c r="I57" i="20"/>
  <c r="I56" i="20"/>
  <c r="F76" i="3"/>
  <c r="F77" i="3" s="1"/>
  <c r="F78" i="3" s="1"/>
  <c r="F80" i="3" s="1"/>
  <c r="G67" i="3"/>
  <c r="H67" i="3" s="1"/>
  <c r="G63" i="3"/>
  <c r="H63" i="3" s="1"/>
  <c r="G69" i="3"/>
  <c r="H69" i="3" s="1"/>
  <c r="G65" i="3"/>
  <c r="H65" i="3" s="1"/>
  <c r="F73" i="3"/>
  <c r="F82" i="3" s="1"/>
  <c r="G64" i="3"/>
  <c r="H64" i="3" s="1"/>
  <c r="G66" i="3"/>
  <c r="H66" i="3" s="1"/>
  <c r="G68" i="3"/>
  <c r="H68" i="3" s="1"/>
  <c r="G62" i="3"/>
  <c r="H62" i="3" s="1"/>
  <c r="J57" i="20"/>
  <c r="J56" i="20"/>
  <c r="I43" i="20"/>
  <c r="C52" i="18"/>
  <c r="J7" i="18"/>
  <c r="G7" i="18"/>
  <c r="F7" i="18"/>
  <c r="E7" i="18"/>
  <c r="I7" i="18"/>
  <c r="H7" i="18"/>
  <c r="D7" i="18"/>
  <c r="C57" i="20"/>
  <c r="C56" i="20"/>
  <c r="F54" i="20"/>
  <c r="F55" i="20" s="1"/>
  <c r="C47" i="20"/>
  <c r="C48" i="20" s="1"/>
  <c r="C49" i="20" s="1"/>
  <c r="J43" i="20"/>
  <c r="F344" i="3"/>
  <c r="J47" i="12"/>
  <c r="D68" i="21"/>
  <c r="F46" i="20"/>
  <c r="F45" i="20"/>
  <c r="F44" i="20"/>
  <c r="D257" i="12"/>
  <c r="D82" i="12"/>
  <c r="E46" i="12"/>
  <c r="D31" i="17"/>
  <c r="E31" i="17" s="1"/>
  <c r="C44" i="18"/>
  <c r="C67" i="18" s="1"/>
  <c r="C68" i="18" s="1"/>
  <c r="G46" i="20"/>
  <c r="G47" i="20" s="1"/>
  <c r="G48" i="20" s="1"/>
  <c r="G49" i="20" s="1"/>
  <c r="G45" i="20"/>
  <c r="G44" i="20"/>
  <c r="E46" i="20"/>
  <c r="E47" i="20" s="1"/>
  <c r="E48" i="20" s="1"/>
  <c r="E49" i="20" s="1"/>
  <c r="E45" i="20"/>
  <c r="E44" i="20"/>
  <c r="F88" i="3"/>
  <c r="F71" i="3"/>
  <c r="D324" i="12"/>
  <c r="D318" i="12"/>
  <c r="D320" i="12" s="1"/>
  <c r="D321" i="12" s="1"/>
  <c r="I4" i="21" l="1"/>
  <c r="I14" i="21" s="1"/>
  <c r="D23" i="21"/>
  <c r="E27" i="22"/>
  <c r="C50" i="20"/>
  <c r="C52" i="20" s="1"/>
  <c r="C59" i="20" s="1"/>
  <c r="F51" i="20"/>
  <c r="F50" i="20"/>
  <c r="F52" i="20" s="1"/>
  <c r="F59" i="20" s="1"/>
  <c r="H52" i="20"/>
  <c r="H59" i="20" s="1"/>
  <c r="H51" i="20"/>
  <c r="H58" i="20" s="1"/>
  <c r="H50" i="20"/>
  <c r="G50" i="20"/>
  <c r="G52" i="20" s="1"/>
  <c r="G59" i="20" s="1"/>
  <c r="E50" i="20"/>
  <c r="E52" i="20" s="1"/>
  <c r="E59" i="20" s="1"/>
  <c r="D52" i="20"/>
  <c r="D59" i="20" s="1"/>
  <c r="D50" i="20"/>
  <c r="D51" i="20" s="1"/>
  <c r="D58" i="20" s="1"/>
  <c r="J46" i="20"/>
  <c r="J45" i="20"/>
  <c r="J44" i="20"/>
  <c r="I46" i="20"/>
  <c r="I45" i="20"/>
  <c r="I44" i="20"/>
  <c r="G66" i="8"/>
  <c r="H66" i="8" s="1"/>
  <c r="G62" i="8"/>
  <c r="H62" i="8" s="1"/>
  <c r="F76" i="8"/>
  <c r="F77" i="8" s="1"/>
  <c r="F78" i="8" s="1"/>
  <c r="F80" i="8" s="1"/>
  <c r="F83" i="8" s="1"/>
  <c r="G67" i="8"/>
  <c r="H67" i="8" s="1"/>
  <c r="G63" i="8"/>
  <c r="H63" i="8" s="1"/>
  <c r="G68" i="8"/>
  <c r="H68" i="8" s="1"/>
  <c r="G64" i="8"/>
  <c r="H64" i="8" s="1"/>
  <c r="G65" i="8"/>
  <c r="H65" i="8" s="1"/>
  <c r="G69" i="8"/>
  <c r="H69" i="8" s="1"/>
  <c r="F73" i="8"/>
  <c r="F82" i="8" s="1"/>
  <c r="F57" i="20"/>
  <c r="F56" i="20"/>
  <c r="G45" i="12"/>
  <c r="E49" i="12" s="1"/>
  <c r="F410" i="3"/>
  <c r="F410" i="8"/>
  <c r="D21" i="21"/>
  <c r="D20" i="21"/>
  <c r="D22" i="21"/>
  <c r="E219" i="12"/>
  <c r="E209" i="12"/>
  <c r="J46" i="12"/>
  <c r="E178" i="12"/>
  <c r="D35" i="17"/>
  <c r="D34" i="17" s="1"/>
  <c r="D20" i="17"/>
  <c r="D24" i="17" s="1"/>
  <c r="F188" i="8"/>
  <c r="F199" i="8"/>
  <c r="J48" i="12"/>
  <c r="E57" i="12"/>
  <c r="E58" i="12" s="1"/>
  <c r="D147" i="12"/>
  <c r="D151" i="12"/>
  <c r="D419" i="12"/>
  <c r="D422" i="12" s="1"/>
  <c r="D153" i="12"/>
  <c r="D149" i="12"/>
  <c r="D83" i="12"/>
  <c r="H70" i="3"/>
  <c r="F74" i="3" s="1"/>
  <c r="F421" i="8"/>
  <c r="F424" i="8" s="1"/>
  <c r="F135" i="8"/>
  <c r="F89" i="8"/>
  <c r="F133" i="8"/>
  <c r="F188" i="3"/>
  <c r="D71" i="21"/>
  <c r="D70" i="21"/>
  <c r="C72" i="21" s="1"/>
  <c r="F83" i="3"/>
  <c r="F421" i="3"/>
  <c r="F424" i="3" s="1"/>
  <c r="F89" i="3"/>
  <c r="F135" i="3"/>
  <c r="F133" i="3"/>
  <c r="D258" i="12"/>
  <c r="E57" i="20"/>
  <c r="E56" i="20"/>
  <c r="K4" i="21" l="1"/>
  <c r="K14" i="21" s="1"/>
  <c r="J4" i="21"/>
  <c r="J14" i="21" s="1"/>
  <c r="F134" i="3"/>
  <c r="F136" i="3"/>
  <c r="F138" i="3" s="1"/>
  <c r="F136" i="8"/>
  <c r="F138" i="8" s="1"/>
  <c r="F134" i="8"/>
  <c r="E223" i="12"/>
  <c r="J49" i="12"/>
  <c r="I47" i="20"/>
  <c r="I48" i="20" s="1"/>
  <c r="I49" i="20" s="1"/>
  <c r="E51" i="20"/>
  <c r="E58" i="20" s="1"/>
  <c r="F246" i="8"/>
  <c r="F389" i="8"/>
  <c r="F244" i="8"/>
  <c r="F256" i="8" s="1"/>
  <c r="F200" i="8"/>
  <c r="D25" i="17"/>
  <c r="D28" i="17" s="1"/>
  <c r="D27" i="17"/>
  <c r="D30" i="17" s="1"/>
  <c r="D26" i="17"/>
  <c r="D29" i="17" s="1"/>
  <c r="F58" i="20"/>
  <c r="D388" i="12"/>
  <c r="D262" i="12"/>
  <c r="D260" i="12"/>
  <c r="D266" i="12" s="1"/>
  <c r="E220" i="12"/>
  <c r="F208" i="8"/>
  <c r="F375" i="8" s="1"/>
  <c r="F204" i="8"/>
  <c r="F331" i="8" s="1"/>
  <c r="F261" i="8"/>
  <c r="F262" i="8"/>
  <c r="J47" i="20"/>
  <c r="J48" i="20" s="1"/>
  <c r="J49" i="20" s="1"/>
  <c r="G51" i="20"/>
  <c r="G58" i="20" s="1"/>
  <c r="F143" i="8"/>
  <c r="F142" i="8"/>
  <c r="F367" i="8"/>
  <c r="D409" i="12"/>
  <c r="F143" i="3"/>
  <c r="F142" i="3"/>
  <c r="F367" i="3"/>
  <c r="H70" i="8"/>
  <c r="F74" i="8" s="1"/>
  <c r="F203" i="8" s="1"/>
  <c r="C51" i="20"/>
  <c r="C58" i="20" s="1"/>
  <c r="F204" i="3"/>
  <c r="F331" i="3" s="1"/>
  <c r="F262" i="3"/>
  <c r="F266" i="3" s="1"/>
  <c r="F261" i="3"/>
  <c r="F199" i="3"/>
  <c r="D152" i="12"/>
  <c r="D157" i="12" s="1"/>
  <c r="D154" i="12"/>
  <c r="D158" i="12" s="1"/>
  <c r="D150" i="12"/>
  <c r="D148" i="12"/>
  <c r="D155" i="12" s="1"/>
  <c r="D368" i="12"/>
  <c r="D165" i="12"/>
  <c r="D164" i="12"/>
  <c r="E224" i="12"/>
  <c r="D326" i="12" s="1"/>
  <c r="D269" i="12"/>
  <c r="D270" i="12"/>
  <c r="E227" i="12" l="1"/>
  <c r="F246" i="3"/>
  <c r="F244" i="3"/>
  <c r="F256" i="3" s="1"/>
  <c r="F389" i="3"/>
  <c r="F200" i="3"/>
  <c r="F369" i="8"/>
  <c r="F368" i="8"/>
  <c r="F144" i="8"/>
  <c r="F315" i="8" s="1"/>
  <c r="F316" i="8" s="1"/>
  <c r="F145" i="8"/>
  <c r="F321" i="8" s="1"/>
  <c r="F322" i="8" s="1"/>
  <c r="F327" i="8" s="1"/>
  <c r="F137" i="8"/>
  <c r="F139" i="8" s="1"/>
  <c r="F369" i="3"/>
  <c r="F368" i="3"/>
  <c r="F145" i="3"/>
  <c r="F321" i="3" s="1"/>
  <c r="F322" i="3" s="1"/>
  <c r="F327" i="3" s="1"/>
  <c r="F144" i="3"/>
  <c r="F315" i="3" s="1"/>
  <c r="F316" i="3" s="1"/>
  <c r="F137" i="3"/>
  <c r="F139" i="3" s="1"/>
  <c r="F208" i="3"/>
  <c r="F375" i="3" s="1"/>
  <c r="D259" i="12"/>
  <c r="D261" i="12"/>
  <c r="D40" i="17"/>
  <c r="I50" i="20"/>
  <c r="I52" i="20" s="1"/>
  <c r="I59" i="20" s="1"/>
  <c r="C61" i="20" s="1"/>
  <c r="D159" i="12"/>
  <c r="C160" i="12" s="1"/>
  <c r="J50" i="20"/>
  <c r="J52" i="20" s="1"/>
  <c r="J59" i="20" s="1"/>
  <c r="D38" i="17"/>
  <c r="D46" i="17" s="1"/>
  <c r="D39" i="17"/>
  <c r="D47" i="17" s="1"/>
  <c r="D167" i="12"/>
  <c r="D316" i="12" s="1"/>
  <c r="D317" i="12" s="1"/>
  <c r="D156" i="12"/>
  <c r="D166" i="12"/>
  <c r="D309" i="12" s="1"/>
  <c r="D310" i="12" s="1"/>
  <c r="F243" i="8"/>
  <c r="F245" i="8"/>
  <c r="F388" i="8"/>
  <c r="F209" i="8"/>
  <c r="F212" i="8" s="1"/>
  <c r="F372" i="8"/>
  <c r="F386" i="8"/>
  <c r="D369" i="12"/>
  <c r="D370" i="12"/>
  <c r="F203" i="3"/>
  <c r="F399" i="8" l="1"/>
  <c r="F401" i="8" s="1"/>
  <c r="F403" i="8" s="1"/>
  <c r="F214" i="8"/>
  <c r="F213" i="8"/>
  <c r="F351" i="8" s="1"/>
  <c r="F352" i="8" s="1"/>
  <c r="J51" i="20"/>
  <c r="J58" i="20" s="1"/>
  <c r="D264" i="12"/>
  <c r="D263" i="12"/>
  <c r="C41" i="17"/>
  <c r="D48" i="17"/>
  <c r="D387" i="12"/>
  <c r="D372" i="12"/>
  <c r="D373" i="12" s="1"/>
  <c r="D385" i="12"/>
  <c r="D386" i="12" s="1"/>
  <c r="E228" i="12"/>
  <c r="E231" i="12" s="1"/>
  <c r="D375" i="12"/>
  <c r="C322" i="12"/>
  <c r="F324" i="12"/>
  <c r="F212" i="3"/>
  <c r="I51" i="20"/>
  <c r="I58" i="20" s="1"/>
  <c r="C60" i="20" s="1"/>
  <c r="F388" i="3"/>
  <c r="F209" i="3"/>
  <c r="F372" i="3"/>
  <c r="F373" i="3" s="1"/>
  <c r="F386" i="3"/>
  <c r="F387" i="8"/>
  <c r="F373" i="8"/>
  <c r="F253" i="8"/>
  <c r="F249" i="8"/>
  <c r="F245" i="3"/>
  <c r="F243" i="3"/>
  <c r="F399" i="3" l="1"/>
  <c r="F401" i="3" s="1"/>
  <c r="F403" i="3" s="1"/>
  <c r="F213" i="3"/>
  <c r="F351" i="3" s="1"/>
  <c r="F352" i="3" s="1"/>
  <c r="F214" i="3"/>
  <c r="D267" i="12"/>
  <c r="D268" i="12" s="1"/>
  <c r="D272" i="12" s="1"/>
  <c r="D265" i="12"/>
  <c r="D271" i="12" s="1"/>
  <c r="D273" i="12" s="1"/>
  <c r="D411" i="12"/>
  <c r="D414" i="12" s="1"/>
  <c r="D410" i="12"/>
  <c r="F257" i="8"/>
  <c r="F258" i="8" s="1"/>
  <c r="F266" i="8" s="1"/>
  <c r="F254" i="8"/>
  <c r="F265" i="8" s="1"/>
  <c r="F268" i="8" s="1"/>
  <c r="F411" i="8"/>
  <c r="F412" i="8"/>
  <c r="F415" i="8" s="1"/>
  <c r="E234" i="12"/>
  <c r="E233" i="12"/>
  <c r="D346" i="12" s="1"/>
  <c r="D347" i="12" s="1"/>
  <c r="E232" i="12"/>
  <c r="D352" i="12" s="1"/>
  <c r="D353" i="12" s="1"/>
  <c r="D398" i="12"/>
  <c r="D400" i="12" s="1"/>
  <c r="D402" i="12" s="1"/>
  <c r="F253" i="3"/>
  <c r="F249" i="3"/>
  <c r="F387" i="3"/>
  <c r="D49" i="17"/>
  <c r="D50" i="17"/>
  <c r="D9" i="21" s="1"/>
  <c r="D424" i="12" l="1"/>
  <c r="D413" i="12"/>
  <c r="C417" i="12"/>
  <c r="I182" i="12" s="1"/>
  <c r="D425" i="12"/>
  <c r="C426" i="12" s="1"/>
  <c r="C274" i="12"/>
  <c r="I177" i="12"/>
  <c r="D276" i="12"/>
  <c r="D429" i="12"/>
  <c r="D447" i="12" s="1"/>
  <c r="F427" i="8"/>
  <c r="F428" i="8" s="1"/>
  <c r="C51" i="18"/>
  <c r="C53" i="18" s="1"/>
  <c r="C54" i="18" s="1"/>
  <c r="C55" i="18" s="1"/>
  <c r="D52" i="17"/>
  <c r="D57" i="17" s="1"/>
  <c r="D10" i="21"/>
  <c r="D14" i="21" s="1"/>
  <c r="D51" i="17"/>
  <c r="F254" i="3"/>
  <c r="F265" i="3" s="1"/>
  <c r="F268" i="3" s="1"/>
  <c r="F257" i="3"/>
  <c r="F258" i="3" s="1"/>
  <c r="F411" i="3"/>
  <c r="F412" i="3"/>
  <c r="F415" i="3" s="1"/>
  <c r="F414" i="8"/>
  <c r="F418" i="8" s="1"/>
  <c r="F426" i="8"/>
  <c r="F271" i="8"/>
  <c r="F271" i="3" l="1"/>
  <c r="F414" i="3"/>
  <c r="F418" i="3" s="1"/>
  <c r="F426" i="3"/>
  <c r="D55" i="17"/>
  <c r="D56" i="17" s="1"/>
  <c r="D53" i="17"/>
  <c r="D54" i="17" s="1"/>
  <c r="D58" i="17" s="1"/>
  <c r="C450" i="12"/>
  <c r="C448" i="12"/>
  <c r="F427" i="3"/>
  <c r="D277" i="12"/>
  <c r="C64" i="18"/>
  <c r="C69" i="18" s="1"/>
  <c r="C70" i="18" s="1"/>
  <c r="C56" i="18"/>
  <c r="F276" i="8"/>
  <c r="F273" i="8"/>
  <c r="I271" i="8"/>
  <c r="D13" i="21"/>
  <c r="D31" i="21" s="1"/>
  <c r="D12" i="21"/>
  <c r="D11" i="21"/>
  <c r="D29" i="21" l="1"/>
  <c r="J8" i="21"/>
  <c r="J12" i="21" s="1"/>
  <c r="D30" i="21"/>
  <c r="K8" i="21"/>
  <c r="K12" i="21" s="1"/>
  <c r="D28" i="21"/>
  <c r="I8" i="21"/>
  <c r="I12" i="21" s="1"/>
  <c r="D278" i="12"/>
  <c r="D403" i="12" s="1"/>
  <c r="D404" i="12" s="1"/>
  <c r="C406" i="12" s="1"/>
  <c r="F428" i="3"/>
  <c r="F273" i="3"/>
  <c r="F376" i="8"/>
  <c r="F377" i="8" s="1"/>
  <c r="F283" i="8"/>
  <c r="F287" i="8" s="1"/>
  <c r="F305" i="8" s="1"/>
  <c r="F307" i="8" s="1"/>
  <c r="F404" i="8"/>
  <c r="F405" i="8" s="1"/>
  <c r="F407" i="8" s="1"/>
  <c r="F390" i="8"/>
  <c r="F391" i="8" s="1"/>
  <c r="F280" i="8"/>
  <c r="K15" i="21" l="1"/>
  <c r="K16" i="21"/>
  <c r="J16" i="21"/>
  <c r="J15" i="21"/>
  <c r="I16" i="21"/>
  <c r="I15" i="21"/>
  <c r="F394" i="8"/>
  <c r="F393" i="8"/>
  <c r="F395" i="8" s="1"/>
  <c r="D279" i="12"/>
  <c r="F308" i="8"/>
  <c r="H307" i="8"/>
  <c r="F313" i="8"/>
  <c r="F317" i="8" s="1"/>
  <c r="H317" i="8" s="1"/>
  <c r="D280" i="12"/>
  <c r="D348" i="12" s="1"/>
  <c r="D349" i="12" s="1"/>
  <c r="C350" i="12" s="1"/>
  <c r="D281" i="12"/>
  <c r="D283" i="12" s="1"/>
  <c r="D300" i="12" s="1"/>
  <c r="D301" i="12" s="1"/>
  <c r="D389" i="12"/>
  <c r="D390" i="12" s="1"/>
  <c r="F353" i="8"/>
  <c r="F286" i="8"/>
  <c r="D376" i="12"/>
  <c r="D377" i="12" s="1"/>
  <c r="F380" i="8"/>
  <c r="F379" i="8"/>
  <c r="I382" i="8" s="1"/>
  <c r="F276" i="3"/>
  <c r="F376" i="3" s="1"/>
  <c r="F377" i="3" s="1"/>
  <c r="F380" i="3" l="1"/>
  <c r="F379" i="3"/>
  <c r="I382" i="3" s="1"/>
  <c r="C364" i="12"/>
  <c r="I180" i="12" s="1"/>
  <c r="D393" i="12"/>
  <c r="D392" i="12"/>
  <c r="C394" i="12" s="1"/>
  <c r="C308" i="8"/>
  <c r="F312" i="8"/>
  <c r="D302" i="12"/>
  <c r="F301" i="12"/>
  <c r="F280" i="3"/>
  <c r="D354" i="12"/>
  <c r="D360" i="12" s="1"/>
  <c r="D362" i="12" s="1"/>
  <c r="C363" i="12" s="1"/>
  <c r="D282" i="12"/>
  <c r="I353" i="8"/>
  <c r="F359" i="8"/>
  <c r="F361" i="8" s="1"/>
  <c r="F362" i="8" s="1"/>
  <c r="F390" i="3"/>
  <c r="F391" i="3" s="1"/>
  <c r="F330" i="8"/>
  <c r="F332" i="8" s="1"/>
  <c r="F333" i="8" s="1"/>
  <c r="F334" i="8" s="1"/>
  <c r="F299" i="8"/>
  <c r="F301" i="8" s="1"/>
  <c r="F309" i="8" s="1"/>
  <c r="F310" i="8" s="1"/>
  <c r="F404" i="3"/>
  <c r="F405" i="3" s="1"/>
  <c r="F407" i="3" s="1"/>
  <c r="F283" i="3"/>
  <c r="F287" i="3" s="1"/>
  <c r="F305" i="3" s="1"/>
  <c r="F307" i="3" s="1"/>
  <c r="D380" i="12"/>
  <c r="D379" i="12"/>
  <c r="C383" i="12" s="1"/>
  <c r="I181" i="12" s="1"/>
  <c r="D295" i="12" l="1"/>
  <c r="D297" i="12" s="1"/>
  <c r="D303" i="12" s="1"/>
  <c r="D325" i="12"/>
  <c r="D327" i="12" s="1"/>
  <c r="D328" i="12" s="1"/>
  <c r="D329" i="12" s="1"/>
  <c r="F353" i="3"/>
  <c r="F359" i="3" s="1"/>
  <c r="F361" i="3" s="1"/>
  <c r="F362" i="3" s="1"/>
  <c r="F286" i="3"/>
  <c r="C304" i="12"/>
  <c r="C306" i="12"/>
  <c r="H307" i="3"/>
  <c r="F313" i="3"/>
  <c r="F317" i="3" s="1"/>
  <c r="H317" i="3" s="1"/>
  <c r="F308" i="3"/>
  <c r="F335" i="8"/>
  <c r="F345" i="8"/>
  <c r="F346" i="8" s="1"/>
  <c r="F394" i="3"/>
  <c r="F393" i="3"/>
  <c r="F395" i="3" s="1"/>
  <c r="D307" i="12"/>
  <c r="D311" i="12" s="1"/>
  <c r="C312" i="12" s="1"/>
  <c r="I178" i="12" s="1"/>
  <c r="F330" i="3" l="1"/>
  <c r="F332" i="3" s="1"/>
  <c r="F333" i="3" s="1"/>
  <c r="F334" i="3" s="1"/>
  <c r="F299" i="3"/>
  <c r="F301" i="3" s="1"/>
  <c r="F309" i="3" s="1"/>
  <c r="C330" i="12"/>
  <c r="D339" i="12"/>
  <c r="C340" i="12" s="1"/>
  <c r="I179" i="12" s="1"/>
  <c r="F310" i="3"/>
  <c r="F312" i="3"/>
  <c r="F345" i="3" l="1"/>
  <c r="F346" i="3" s="1"/>
  <c r="F33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41" authorId="0" shapeId="0" xr:uid="{00000000-0006-0000-0100-000001000000}">
      <text>
        <r>
          <rPr>
            <b/>
            <sz val="9"/>
            <rFont val="宋体"/>
            <charset val="134"/>
          </rPr>
          <t>作者:</t>
        </r>
        <r>
          <rPr>
            <sz val="9"/>
            <rFont val="宋体"/>
            <charset val="134"/>
          </rPr>
          <t xml:space="preserve">
C40参数全部用C30替代</t>
        </r>
      </text>
    </comment>
    <comment ref="N98" authorId="0" shapeId="0" xr:uid="{00000000-0006-0000-0100-000002000000}">
      <text>
        <r>
          <rPr>
            <sz val="10"/>
            <rFont val="宋体"/>
            <charset val="134"/>
          </rPr>
          <t xml:space="preserve">提高0.1
</t>
        </r>
      </text>
    </comment>
    <comment ref="F179" authorId="0" shapeId="0" xr:uid="{00000000-0006-0000-0100-000003000000}">
      <text>
        <r>
          <rPr>
            <b/>
            <sz val="9"/>
            <rFont val="宋体"/>
            <charset val="134"/>
          </rPr>
          <t>作者:</t>
        </r>
        <r>
          <rPr>
            <sz val="9"/>
            <rFont val="宋体"/>
            <charset val="134"/>
          </rPr>
          <t xml:space="preserve">
圆形波纹管</t>
        </r>
      </text>
    </comment>
    <comment ref="F182" authorId="0" shapeId="0" xr:uid="{00000000-0006-0000-0100-000004000000}">
      <text>
        <r>
          <rPr>
            <b/>
            <sz val="9"/>
            <rFont val="宋体"/>
            <charset val="134"/>
          </rPr>
          <t>作者:</t>
        </r>
        <r>
          <rPr>
            <sz val="9"/>
            <rFont val="宋体"/>
            <charset val="134"/>
          </rPr>
          <t xml:space="preserve">
扁形波纹管</t>
        </r>
      </text>
    </comment>
    <comment ref="F189" authorId="0" shapeId="0" xr:uid="{00000000-0006-0000-0100-000005000000}">
      <text>
        <r>
          <rPr>
            <b/>
            <sz val="9"/>
            <rFont val="宋体"/>
            <charset val="134"/>
          </rPr>
          <t>作者:</t>
        </r>
        <r>
          <rPr>
            <sz val="9"/>
            <rFont val="宋体"/>
            <charset val="134"/>
          </rPr>
          <t xml:space="preserve">
提高5mm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AutoBVT</author>
    <author>Administrator</author>
    <author>作者</author>
  </authors>
  <commentList>
    <comment ref="E27" authorId="0" shapeId="0" xr:uid="{00000000-0006-0000-0200-000001000000}">
      <text>
        <r>
          <rPr>
            <sz val="9"/>
            <rFont val="宋体"/>
            <charset val="134"/>
          </rPr>
          <t xml:space="preserve">《渡槽》P57
</t>
        </r>
      </text>
    </comment>
    <comment ref="G27" authorId="0" shapeId="0" xr:uid="{00000000-0006-0000-0200-000002000000}">
      <text>
        <r>
          <rPr>
            <b/>
            <sz val="9"/>
            <rFont val="宋体"/>
            <charset val="134"/>
          </rPr>
          <t>单侧</t>
        </r>
      </text>
    </comment>
    <comment ref="B43" authorId="1" shapeId="0" xr:uid="{00000000-0006-0000-0200-000003000000}">
      <text>
        <r>
          <rPr>
            <sz val="9"/>
            <rFont val="宋体"/>
            <charset val="134"/>
          </rPr>
          <t xml:space="preserve">手动输入
</t>
        </r>
      </text>
    </comment>
    <comment ref="B44" authorId="0" shapeId="0" xr:uid="{00000000-0006-0000-0200-000004000000}">
      <text>
        <r>
          <rPr>
            <b/>
            <sz val="9"/>
            <rFont val="宋体"/>
            <charset val="134"/>
          </rPr>
          <t xml:space="preserve">人行道板
</t>
        </r>
      </text>
    </comment>
    <comment ref="G60" authorId="0" shapeId="0" xr:uid="{00000000-0006-0000-0200-000005000000}">
      <text>
        <r>
          <rPr>
            <b/>
            <sz val="9"/>
            <rFont val="宋体"/>
            <charset val="134"/>
          </rPr>
          <t>施工图阶段应改版为选择，以减少出错概率！</t>
        </r>
      </text>
    </comment>
    <comment ref="H61" authorId="1" shapeId="0" xr:uid="{00000000-0006-0000-0200-000006000000}">
      <text>
        <r>
          <rPr>
            <b/>
            <sz val="9"/>
            <rFont val="宋体"/>
            <charset val="134"/>
          </rPr>
          <t>因为一个项目，预应力渡槽的混凝土参数相同，故暂不修改</t>
        </r>
      </text>
    </comment>
    <comment ref="H65" authorId="0" shapeId="0" xr:uid="{00000000-0006-0000-0200-000007000000}">
      <text>
        <r>
          <rPr>
            <b/>
            <sz val="10"/>
            <rFont val="宋体"/>
            <charset val="134"/>
          </rPr>
          <t>应根据试验确定</t>
        </r>
      </text>
    </comment>
    <comment ref="D89" authorId="1" shapeId="0" xr:uid="{00000000-0006-0000-0200-000008000000}">
      <text>
        <r>
          <rPr>
            <b/>
            <sz val="9"/>
            <rFont val="宋体"/>
            <charset val="134"/>
          </rPr>
          <t>均化处理，偏于安全。</t>
        </r>
        <r>
          <rPr>
            <sz val="9"/>
            <rFont val="宋体"/>
            <charset val="134"/>
          </rPr>
          <t xml:space="preserve">
</t>
        </r>
      </text>
    </comment>
    <comment ref="B135" authorId="1" shapeId="0" xr:uid="{00000000-0006-0000-0200-000009000000}">
      <text>
        <r>
          <rPr>
            <b/>
            <sz val="9"/>
            <rFont val="宋体"/>
            <charset val="134"/>
          </rPr>
          <t>栏杆按0.5KN/m</t>
        </r>
        <r>
          <rPr>
            <sz val="9"/>
            <rFont val="宋体"/>
            <charset val="134"/>
          </rPr>
          <t xml:space="preserve">
</t>
        </r>
      </text>
    </comment>
    <comment ref="D149" authorId="0" shapeId="0" xr:uid="{00000000-0006-0000-0200-00000A000000}">
      <text>
        <r>
          <rPr>
            <b/>
            <sz val="9"/>
            <rFont val="宋体"/>
            <charset val="134"/>
          </rPr>
          <t>根据是否计入顶板铺盖、栏杆等决定其相应数值</t>
        </r>
      </text>
    </comment>
    <comment ref="B161" authorId="1" shapeId="0" xr:uid="{00000000-0006-0000-0200-00000B000000}">
      <text>
        <r>
          <rPr>
            <b/>
            <sz val="9"/>
            <rFont val="宋体"/>
            <charset val="134"/>
          </rPr>
          <t>纵向</t>
        </r>
      </text>
    </comment>
    <comment ref="B195" authorId="0" shapeId="0" xr:uid="{00000000-0006-0000-0200-00000C000000}">
      <text>
        <r>
          <rPr>
            <b/>
            <sz val="9"/>
            <rFont val="宋体"/>
            <charset val="134"/>
          </rPr>
          <t>配筋计算使用</t>
        </r>
        <r>
          <rPr>
            <sz val="9"/>
            <rFont val="宋体"/>
            <charset val="134"/>
          </rPr>
          <t xml:space="preserve">
</t>
        </r>
      </text>
    </comment>
    <comment ref="E195" authorId="1" shapeId="0" xr:uid="{00000000-0006-0000-0200-00000D000000}">
      <text>
        <r>
          <rPr>
            <b/>
            <sz val="9"/>
            <rFont val="宋体"/>
            <charset val="134"/>
          </rPr>
          <t xml:space="preserve">上翼缘计算尺寸偏小，偏安全。
</t>
        </r>
        <r>
          <rPr>
            <sz val="9"/>
            <rFont val="宋体"/>
            <charset val="134"/>
          </rPr>
          <t xml:space="preserve">
</t>
        </r>
      </text>
    </comment>
    <comment ref="E200" authorId="2" shapeId="0" xr:uid="{00000000-0006-0000-0200-00000E000000}">
      <text>
        <r>
          <rPr>
            <b/>
            <sz val="9"/>
            <rFont val="宋体"/>
            <charset val="134"/>
          </rPr>
          <t>作者:</t>
        </r>
        <r>
          <rPr>
            <sz val="9"/>
            <rFont val="宋体"/>
            <charset val="134"/>
          </rPr>
          <t xml:space="preserve">
圆形波纹管</t>
        </r>
      </text>
    </comment>
    <comment ref="E210" authorId="2" shapeId="0" xr:uid="{00000000-0006-0000-0200-00000F000000}">
      <text>
        <r>
          <rPr>
            <b/>
            <sz val="9"/>
            <rFont val="宋体"/>
            <charset val="134"/>
          </rPr>
          <t>作者:</t>
        </r>
        <r>
          <rPr>
            <sz val="9"/>
            <rFont val="宋体"/>
            <charset val="134"/>
          </rPr>
          <t xml:space="preserve">
提高5mm</t>
        </r>
      </text>
    </comment>
    <comment ref="D254" authorId="0" shapeId="0" xr:uid="{00000000-0006-0000-0200-000010000000}">
      <text>
        <r>
          <rPr>
            <b/>
            <sz val="9"/>
            <rFont val="宋体"/>
            <charset val="134"/>
          </rPr>
          <t>需要注意Ψ的值</t>
        </r>
        <r>
          <rPr>
            <sz val="9"/>
            <rFont val="宋体"/>
            <charset val="134"/>
          </rPr>
          <t xml:space="preserve">
</t>
        </r>
      </text>
    </comment>
    <comment ref="C271" authorId="0" shapeId="0" xr:uid="{00000000-0006-0000-0200-000011000000}">
      <text>
        <r>
          <rPr>
            <b/>
            <sz val="9"/>
            <rFont val="宋体"/>
            <charset val="134"/>
          </rPr>
          <t>构件年平均湿度低于40%时，σl5增加30%。</t>
        </r>
        <r>
          <rPr>
            <sz val="9"/>
            <rFont val="宋体"/>
            <charset val="134"/>
          </rPr>
          <t xml:space="preserve">
</t>
        </r>
      </text>
    </comment>
    <comment ref="D296" authorId="0" shapeId="0" xr:uid="{00000000-0006-0000-0200-000012000000}">
      <text>
        <r>
          <rPr>
            <b/>
            <sz val="9"/>
            <rFont val="宋体"/>
            <charset val="134"/>
          </rPr>
          <t>根据钢筋型号查表</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56" authorId="0" shapeId="0" xr:uid="{00000000-0006-0000-0300-000001000000}">
      <text>
        <r>
          <rPr>
            <b/>
            <sz val="9"/>
            <rFont val="宋体"/>
            <charset val="134"/>
          </rPr>
          <t>作者:</t>
        </r>
        <r>
          <rPr>
            <sz val="9"/>
            <rFont val="宋体"/>
            <charset val="134"/>
          </rPr>
          <t xml:space="preserve">
圆形波纹管</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AutoBVT</author>
    <author>HMH</author>
  </authors>
  <commentList>
    <comment ref="D17" authorId="0" shapeId="0" xr:uid="{00000000-0006-0000-0400-000001000000}">
      <text>
        <r>
          <rPr>
            <b/>
            <sz val="9"/>
            <rFont val="宋体"/>
            <charset val="134"/>
          </rPr>
          <t>需要注意Ψ的值</t>
        </r>
        <r>
          <rPr>
            <sz val="9"/>
            <rFont val="宋体"/>
            <charset val="134"/>
          </rPr>
          <t xml:space="preserve">
</t>
        </r>
      </text>
    </comment>
    <comment ref="C19" authorId="1" shapeId="0" xr:uid="{00000000-0006-0000-0400-000002000000}">
      <text>
        <r>
          <rPr>
            <b/>
            <sz val="9"/>
            <rFont val="宋体"/>
            <charset val="134"/>
          </rPr>
          <t>HMH:</t>
        </r>
        <r>
          <rPr>
            <sz val="9"/>
            <rFont val="宋体"/>
            <charset val="134"/>
          </rPr>
          <t xml:space="preserve">
仅第一批预应力损失</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5" authorId="0" shapeId="0" xr:uid="{00000000-0006-0000-0700-000001000000}">
      <text>
        <r>
          <rPr>
            <b/>
            <sz val="9"/>
            <rFont val="宋体"/>
            <charset val="134"/>
          </rPr>
          <t>单智杰</t>
        </r>
        <r>
          <rPr>
            <b/>
            <sz val="9"/>
            <rFont val="Tahoma"/>
            <family val="2"/>
          </rPr>
          <t>:</t>
        </r>
        <r>
          <rPr>
            <b/>
            <sz val="9"/>
            <rFont val="宋体"/>
            <charset val="134"/>
          </rPr>
          <t>拉为正，压为负</t>
        </r>
      </text>
    </comment>
  </commentList>
</comments>
</file>

<file path=xl/sharedStrings.xml><?xml version="1.0" encoding="utf-8"?>
<sst xmlns="http://schemas.openxmlformats.org/spreadsheetml/2006/main" count="2793" uniqueCount="1589">
  <si>
    <r>
      <rPr>
        <sz val="14"/>
        <rFont val="Times New Roman"/>
        <family val="1"/>
      </rPr>
      <t xml:space="preserve">1 </t>
    </r>
    <r>
      <rPr>
        <sz val="14"/>
        <rFont val="黑体"/>
        <charset val="134"/>
      </rPr>
      <t>作用于槽身的荷载</t>
    </r>
  </si>
  <si>
    <r>
      <rPr>
        <sz val="11"/>
        <rFont val="Times New Roman"/>
        <family val="1"/>
      </rPr>
      <t>1)</t>
    </r>
    <r>
      <rPr>
        <sz val="11"/>
        <rFont val="宋体"/>
        <charset val="134"/>
      </rPr>
      <t>自重荷载（含栏杆、顶面铺装）</t>
    </r>
  </si>
  <si>
    <r>
      <rPr>
        <sz val="11"/>
        <rFont val="Times New Roman"/>
        <family val="1"/>
      </rPr>
      <t>2)</t>
    </r>
    <r>
      <rPr>
        <sz val="11"/>
        <rFont val="宋体"/>
        <charset val="134"/>
      </rPr>
      <t>设计水重及水压力</t>
    </r>
  </si>
  <si>
    <r>
      <rPr>
        <sz val="11"/>
        <rFont val="Times New Roman"/>
        <family val="1"/>
      </rPr>
      <t>3)</t>
    </r>
    <r>
      <rPr>
        <sz val="11"/>
        <rFont val="宋体"/>
        <charset val="134"/>
      </rPr>
      <t>人群荷载</t>
    </r>
  </si>
  <si>
    <r>
      <rPr>
        <sz val="11"/>
        <rFont val="Times New Roman"/>
        <family val="1"/>
      </rPr>
      <t>4)</t>
    </r>
    <r>
      <rPr>
        <sz val="11"/>
        <rFont val="宋体"/>
        <charset val="134"/>
      </rPr>
      <t>雪冰荷载</t>
    </r>
  </si>
  <si>
    <r>
      <rPr>
        <sz val="11"/>
        <rFont val="Times New Roman"/>
        <family val="1"/>
      </rPr>
      <t>5)</t>
    </r>
    <r>
      <rPr>
        <sz val="11"/>
        <rFont val="宋体"/>
        <charset val="134"/>
      </rPr>
      <t>风荷载</t>
    </r>
  </si>
  <si>
    <r>
      <rPr>
        <sz val="11"/>
        <rFont val="Times New Roman"/>
        <family val="1"/>
      </rPr>
      <t>6)</t>
    </r>
    <r>
      <rPr>
        <sz val="11"/>
        <rFont val="宋体"/>
        <charset val="134"/>
      </rPr>
      <t>温度变化及砼收缩引起的荷载</t>
    </r>
  </si>
  <si>
    <r>
      <rPr>
        <sz val="11"/>
        <rFont val="Times New Roman"/>
        <family val="1"/>
      </rPr>
      <t>7)</t>
    </r>
    <r>
      <rPr>
        <sz val="11"/>
        <rFont val="宋体"/>
        <charset val="134"/>
      </rPr>
      <t>地震荷载</t>
    </r>
  </si>
  <si>
    <r>
      <rPr>
        <sz val="11"/>
        <rFont val="Times New Roman"/>
        <family val="1"/>
      </rPr>
      <t>8)</t>
    </r>
    <r>
      <rPr>
        <sz val="11"/>
        <rFont val="宋体"/>
        <charset val="134"/>
      </rPr>
      <t>预应力荷载</t>
    </r>
  </si>
  <si>
    <r>
      <rPr>
        <sz val="11"/>
        <rFont val="Times New Roman"/>
        <family val="1"/>
      </rPr>
      <t>9)</t>
    </r>
    <r>
      <rPr>
        <sz val="11"/>
        <rFont val="宋体"/>
        <charset val="134"/>
      </rPr>
      <t>其它可能的施工荷载</t>
    </r>
  </si>
  <si>
    <r>
      <rPr>
        <sz val="14"/>
        <rFont val="黑体"/>
        <charset val="134"/>
      </rPr>
      <t>结构尺寸初设</t>
    </r>
  </si>
  <si>
    <r>
      <rPr>
        <sz val="11"/>
        <color theme="1"/>
        <rFont val="宋体"/>
        <charset val="134"/>
      </rPr>
      <t>槽壳内半径</t>
    </r>
    <r>
      <rPr>
        <sz val="11"/>
        <color theme="1"/>
        <rFont val="Times New Roman"/>
        <family val="1"/>
      </rPr>
      <t>R0=</t>
    </r>
  </si>
  <si>
    <t>m</t>
  </si>
  <si>
    <r>
      <rPr>
        <sz val="11"/>
        <color theme="1"/>
        <rFont val="宋体"/>
        <charset val="134"/>
      </rPr>
      <t>跨度</t>
    </r>
    <r>
      <rPr>
        <sz val="11"/>
        <color theme="1"/>
        <rFont val="Times New Roman"/>
        <family val="1"/>
      </rPr>
      <t>L=</t>
    </r>
  </si>
  <si>
    <r>
      <rPr>
        <sz val="11"/>
        <color theme="1"/>
        <rFont val="宋体"/>
        <charset val="134"/>
      </rPr>
      <t>跨宽比</t>
    </r>
    <r>
      <rPr>
        <sz val="11"/>
        <color theme="1"/>
        <rFont val="Times New Roman"/>
        <family val="1"/>
      </rPr>
      <t>=</t>
    </r>
  </si>
  <si>
    <t>L/(2R0)=</t>
  </si>
  <si>
    <r>
      <rPr>
        <sz val="11"/>
        <color theme="1"/>
        <rFont val="Times New Roman"/>
        <family val="1"/>
      </rPr>
      <t>3</t>
    </r>
    <r>
      <rPr>
        <sz val="11"/>
        <color theme="1"/>
        <rFont val="宋体"/>
        <charset val="134"/>
      </rPr>
      <t>～</t>
    </r>
    <r>
      <rPr>
        <sz val="11"/>
        <color theme="1"/>
        <rFont val="Times New Roman"/>
        <family val="1"/>
      </rPr>
      <t>4</t>
    </r>
  </si>
  <si>
    <t>R0</t>
  </si>
  <si>
    <r>
      <rPr>
        <sz val="11"/>
        <color theme="1"/>
        <rFont val="宋体"/>
        <charset val="134"/>
      </rPr>
      <t>经验范围值</t>
    </r>
    <r>
      <rPr>
        <sz val="11"/>
        <color theme="1"/>
        <rFont val="Times New Roman"/>
        <family val="1"/>
      </rPr>
      <t>(m)</t>
    </r>
  </si>
  <si>
    <r>
      <rPr>
        <sz val="11"/>
        <color theme="1"/>
        <rFont val="宋体"/>
        <charset val="134"/>
      </rPr>
      <t>设计值</t>
    </r>
    <r>
      <rPr>
        <sz val="11"/>
        <color theme="1"/>
        <rFont val="Times New Roman"/>
        <family val="1"/>
      </rPr>
      <t>(m)</t>
    </r>
  </si>
  <si>
    <r>
      <rPr>
        <sz val="11"/>
        <color theme="1"/>
        <rFont val="宋体"/>
        <charset val="134"/>
      </rPr>
      <t>壁厚</t>
    </r>
    <r>
      <rPr>
        <sz val="11"/>
        <color theme="1"/>
        <rFont val="Times New Roman"/>
        <family val="1"/>
      </rPr>
      <t xml:space="preserve"> t</t>
    </r>
  </si>
  <si>
    <r>
      <rPr>
        <sz val="11"/>
        <color theme="1"/>
        <rFont val="Times New Roman"/>
        <family val="1"/>
      </rPr>
      <t>(1/10</t>
    </r>
    <r>
      <rPr>
        <sz val="11"/>
        <color theme="1"/>
        <rFont val="宋体"/>
        <charset val="134"/>
      </rPr>
      <t>～</t>
    </r>
    <r>
      <rPr>
        <sz val="11"/>
        <color theme="1"/>
        <rFont val="Times New Roman"/>
        <family val="1"/>
      </rPr>
      <t>1/15) R0</t>
    </r>
  </si>
  <si>
    <r>
      <rPr>
        <sz val="11"/>
        <color theme="1"/>
        <rFont val="宋体"/>
        <charset val="134"/>
      </rPr>
      <t>顶梁宽</t>
    </r>
    <r>
      <rPr>
        <sz val="11"/>
        <color theme="1"/>
        <rFont val="Times New Roman"/>
        <family val="1"/>
      </rPr>
      <t xml:space="preserve"> a</t>
    </r>
  </si>
  <si>
    <r>
      <rPr>
        <sz val="11"/>
        <color theme="1"/>
        <rFont val="Times New Roman"/>
        <family val="1"/>
      </rPr>
      <t>(1.5</t>
    </r>
    <r>
      <rPr>
        <sz val="11"/>
        <color theme="1"/>
        <rFont val="宋体"/>
        <charset val="134"/>
      </rPr>
      <t>～</t>
    </r>
    <r>
      <rPr>
        <sz val="11"/>
        <color theme="1"/>
        <rFont val="Times New Roman"/>
        <family val="1"/>
      </rPr>
      <t>2.5) t</t>
    </r>
  </si>
  <si>
    <r>
      <rPr>
        <sz val="11"/>
        <color theme="1"/>
        <rFont val="宋体"/>
        <charset val="134"/>
      </rPr>
      <t>顶梁高</t>
    </r>
    <r>
      <rPr>
        <sz val="11"/>
        <color theme="1"/>
        <rFont val="Times New Roman"/>
        <family val="1"/>
      </rPr>
      <t xml:space="preserve"> b</t>
    </r>
  </si>
  <si>
    <r>
      <rPr>
        <sz val="11"/>
        <color theme="1"/>
        <rFont val="Times New Roman"/>
        <family val="1"/>
      </rPr>
      <t>(1</t>
    </r>
    <r>
      <rPr>
        <sz val="11"/>
        <color theme="1"/>
        <rFont val="宋体"/>
        <charset val="134"/>
      </rPr>
      <t>～</t>
    </r>
    <r>
      <rPr>
        <sz val="11"/>
        <color theme="1"/>
        <rFont val="Times New Roman"/>
        <family val="1"/>
      </rPr>
      <t>2) t</t>
    </r>
  </si>
  <si>
    <r>
      <rPr>
        <sz val="11"/>
        <color theme="1"/>
        <rFont val="宋体"/>
        <charset val="134"/>
      </rPr>
      <t>顶梁斜高</t>
    </r>
    <r>
      <rPr>
        <sz val="11"/>
        <color theme="1"/>
        <rFont val="Times New Roman"/>
        <family val="1"/>
      </rPr>
      <t>c</t>
    </r>
  </si>
  <si>
    <r>
      <rPr>
        <sz val="11"/>
        <color theme="1"/>
        <rFont val="宋体"/>
        <charset val="134"/>
      </rPr>
      <t>槽底弧段加厚宽</t>
    </r>
    <r>
      <rPr>
        <sz val="11"/>
        <color theme="1"/>
        <rFont val="Times New Roman"/>
        <family val="1"/>
      </rPr>
      <t xml:space="preserve"> d0</t>
    </r>
  </si>
  <si>
    <r>
      <rPr>
        <sz val="11"/>
        <color theme="1"/>
        <rFont val="Times New Roman"/>
        <family val="1"/>
      </rPr>
      <t>(0.5</t>
    </r>
    <r>
      <rPr>
        <sz val="11"/>
        <color theme="1"/>
        <rFont val="宋体"/>
        <charset val="134"/>
      </rPr>
      <t>～</t>
    </r>
    <r>
      <rPr>
        <sz val="11"/>
        <color theme="1"/>
        <rFont val="Times New Roman"/>
        <family val="1"/>
      </rPr>
      <t>0.6) R0</t>
    </r>
  </si>
  <si>
    <r>
      <rPr>
        <sz val="11"/>
        <color theme="1"/>
        <rFont val="宋体"/>
        <charset val="134"/>
      </rPr>
      <t>槽底弧段加厚高</t>
    </r>
    <r>
      <rPr>
        <sz val="11"/>
        <color theme="1"/>
        <rFont val="Times New Roman"/>
        <family val="1"/>
      </rPr>
      <t xml:space="preserve"> t0</t>
    </r>
  </si>
  <si>
    <r>
      <rPr>
        <sz val="11"/>
        <color theme="1"/>
        <rFont val="Times New Roman"/>
        <family val="1"/>
      </rPr>
      <t>(1</t>
    </r>
    <r>
      <rPr>
        <sz val="11"/>
        <color theme="1"/>
        <rFont val="宋体"/>
        <charset val="134"/>
      </rPr>
      <t>～</t>
    </r>
    <r>
      <rPr>
        <sz val="11"/>
        <color theme="1"/>
        <rFont val="Times New Roman"/>
        <family val="1"/>
      </rPr>
      <t>1.5) t</t>
    </r>
  </si>
  <si>
    <r>
      <rPr>
        <sz val="11"/>
        <color theme="1"/>
        <rFont val="宋体"/>
        <charset val="134"/>
      </rPr>
      <t>直段高</t>
    </r>
    <r>
      <rPr>
        <sz val="11"/>
        <color theme="1"/>
        <rFont val="Times New Roman"/>
        <family val="1"/>
      </rPr>
      <t xml:space="preserve"> f</t>
    </r>
  </si>
  <si>
    <r>
      <rPr>
        <sz val="11"/>
        <color theme="1"/>
        <rFont val="Times New Roman"/>
        <family val="1"/>
      </rPr>
      <t>(0.4</t>
    </r>
    <r>
      <rPr>
        <sz val="11"/>
        <color theme="1"/>
        <rFont val="宋体"/>
        <charset val="134"/>
      </rPr>
      <t>～</t>
    </r>
    <r>
      <rPr>
        <sz val="11"/>
        <color theme="1"/>
        <rFont val="Times New Roman"/>
        <family val="1"/>
      </rPr>
      <t>0.6) R0</t>
    </r>
  </si>
  <si>
    <r>
      <rPr>
        <sz val="11"/>
        <color theme="1"/>
        <rFont val="宋体"/>
        <charset val="134"/>
      </rPr>
      <t>加厚区斜边水平投影</t>
    </r>
    <r>
      <rPr>
        <sz val="11"/>
        <color theme="1"/>
        <rFont val="Times New Roman"/>
        <family val="1"/>
      </rPr>
      <t xml:space="preserve"> S</t>
    </r>
    <r>
      <rPr>
        <vertAlign val="subscript"/>
        <sz val="12"/>
        <rFont val="Times New Roman"/>
        <family val="1"/>
      </rPr>
      <t>0</t>
    </r>
  </si>
  <si>
    <t>图纸量取</t>
  </si>
  <si>
    <t>其它构造措施尺寸</t>
  </si>
  <si>
    <r>
      <rPr>
        <sz val="11"/>
        <color theme="1"/>
        <rFont val="宋体"/>
        <charset val="134"/>
      </rPr>
      <t>人行道板厚度</t>
    </r>
    <r>
      <rPr>
        <sz val="11"/>
        <color theme="1"/>
        <rFont val="Times New Roman"/>
        <family val="1"/>
      </rPr>
      <t>=</t>
    </r>
  </si>
  <si>
    <r>
      <rPr>
        <sz val="11"/>
        <color theme="1"/>
        <rFont val="宋体"/>
        <charset val="134"/>
      </rPr>
      <t>人行道板长度</t>
    </r>
    <r>
      <rPr>
        <sz val="11"/>
        <color theme="1"/>
        <rFont val="Times New Roman"/>
        <family val="1"/>
      </rPr>
      <t>=</t>
    </r>
  </si>
  <si>
    <r>
      <rPr>
        <sz val="11"/>
        <color theme="1"/>
        <rFont val="宋体"/>
        <charset val="134"/>
      </rPr>
      <t>拉杆宽</t>
    </r>
    <r>
      <rPr>
        <sz val="11"/>
        <color theme="1"/>
        <rFont val="Times New Roman"/>
        <family val="1"/>
      </rPr>
      <t>=</t>
    </r>
  </si>
  <si>
    <r>
      <rPr>
        <sz val="11"/>
        <color theme="1"/>
        <rFont val="宋体"/>
        <charset val="134"/>
      </rPr>
      <t>拉杆高</t>
    </r>
    <r>
      <rPr>
        <sz val="11"/>
        <color theme="1"/>
        <rFont val="Times New Roman"/>
        <family val="1"/>
      </rPr>
      <t>=</t>
    </r>
  </si>
  <si>
    <r>
      <rPr>
        <sz val="11"/>
        <color theme="1"/>
        <rFont val="宋体"/>
        <charset val="134"/>
      </rPr>
      <t>拉杆长</t>
    </r>
    <r>
      <rPr>
        <sz val="11"/>
        <color theme="1"/>
        <rFont val="Times New Roman"/>
        <family val="1"/>
      </rPr>
      <t>=</t>
    </r>
  </si>
  <si>
    <r>
      <rPr>
        <sz val="11"/>
        <color theme="1"/>
        <rFont val="宋体"/>
        <charset val="134"/>
      </rPr>
      <t>拉杆间距</t>
    </r>
    <r>
      <rPr>
        <sz val="11"/>
        <color theme="1"/>
        <rFont val="Times New Roman"/>
        <family val="1"/>
      </rPr>
      <t>=</t>
    </r>
  </si>
  <si>
    <r>
      <rPr>
        <sz val="11"/>
        <color theme="1"/>
        <rFont val="宋体"/>
        <charset val="134"/>
      </rPr>
      <t>人行道长度</t>
    </r>
    <r>
      <rPr>
        <sz val="11"/>
        <color theme="1"/>
        <rFont val="Times New Roman"/>
        <family val="1"/>
      </rPr>
      <t>=</t>
    </r>
  </si>
  <si>
    <r>
      <rPr>
        <sz val="12"/>
        <rFont val="宋体"/>
        <charset val="134"/>
      </rPr>
      <t>设计水深</t>
    </r>
  </si>
  <si>
    <r>
      <rPr>
        <sz val="12"/>
        <rFont val="宋体"/>
        <charset val="134"/>
      </rPr>
      <t>加大水深</t>
    </r>
  </si>
  <si>
    <r>
      <rPr>
        <sz val="12"/>
        <rFont val="宋体"/>
        <charset val="134"/>
      </rPr>
      <t>满槽水深</t>
    </r>
  </si>
  <si>
    <r>
      <rPr>
        <sz val="11"/>
        <color theme="1"/>
        <rFont val="宋体"/>
        <charset val="134"/>
      </rPr>
      <t>槽身高</t>
    </r>
  </si>
  <si>
    <t>H/t=</t>
  </si>
  <si>
    <r>
      <rPr>
        <sz val="11"/>
        <color theme="1"/>
        <rFont val="Times New Roman"/>
        <family val="1"/>
      </rPr>
      <t>15</t>
    </r>
    <r>
      <rPr>
        <sz val="11"/>
        <color theme="1"/>
        <rFont val="宋体"/>
        <charset val="134"/>
      </rPr>
      <t>～</t>
    </r>
    <r>
      <rPr>
        <sz val="11"/>
        <color theme="1"/>
        <rFont val="Times New Roman"/>
        <family val="1"/>
      </rPr>
      <t>20</t>
    </r>
  </si>
  <si>
    <r>
      <rPr>
        <sz val="12"/>
        <rFont val="宋体"/>
        <charset val="134"/>
      </rPr>
      <t>渡槽高</t>
    </r>
    <r>
      <rPr>
        <sz val="12"/>
        <rFont val="Times New Roman"/>
        <family val="1"/>
      </rPr>
      <t>h=</t>
    </r>
  </si>
  <si>
    <r>
      <rPr>
        <sz val="11"/>
        <color theme="1"/>
        <rFont val="Times New Roman"/>
        <family val="1"/>
      </rPr>
      <t>C40</t>
    </r>
    <r>
      <rPr>
        <sz val="11"/>
        <color theme="1"/>
        <rFont val="宋体"/>
        <charset val="134"/>
      </rPr>
      <t>，考虑到施工工艺等具体条件，计算中混凝土强度偏安全地取用</t>
    </r>
    <r>
      <rPr>
        <sz val="11"/>
        <color theme="1"/>
        <rFont val="Times New Roman"/>
        <family val="1"/>
      </rPr>
      <t>C40</t>
    </r>
    <r>
      <rPr>
        <sz val="11"/>
        <color theme="1"/>
        <rFont val="宋体"/>
        <charset val="134"/>
      </rPr>
      <t>的数值</t>
    </r>
  </si>
  <si>
    <r>
      <rPr>
        <sz val="14"/>
        <rFont val="黑体"/>
        <charset val="134"/>
      </rPr>
      <t>纵向结构计算</t>
    </r>
  </si>
  <si>
    <r>
      <rPr>
        <sz val="12"/>
        <rFont val="Times New Roman"/>
        <family val="1"/>
      </rPr>
      <t>3.1</t>
    </r>
    <r>
      <rPr>
        <sz val="12"/>
        <rFont val="黑体"/>
        <charset val="134"/>
      </rPr>
      <t>材料常数：</t>
    </r>
  </si>
  <si>
    <r>
      <rPr>
        <sz val="11"/>
        <color rgb="FFFF0000"/>
        <rFont val="Times New Roman"/>
        <family val="1"/>
      </rPr>
      <t>C40</t>
    </r>
    <r>
      <rPr>
        <sz val="11"/>
        <rFont val="宋体"/>
        <charset val="134"/>
      </rPr>
      <t>砼轴心抗压强度设计值</t>
    </r>
    <r>
      <rPr>
        <sz val="11"/>
        <rFont val="Times New Roman"/>
        <family val="1"/>
      </rPr>
      <t>f</t>
    </r>
    <r>
      <rPr>
        <vertAlign val="subscript"/>
        <sz val="11"/>
        <rFont val="Times New Roman"/>
        <family val="1"/>
      </rPr>
      <t>c</t>
    </r>
    <r>
      <rPr>
        <sz val="11"/>
        <rFont val="Times New Roman"/>
        <family val="1"/>
      </rPr>
      <t>=</t>
    </r>
  </si>
  <si>
    <r>
      <rPr>
        <sz val="11"/>
        <rFont val="Times New Roman"/>
        <family val="1"/>
      </rPr>
      <t>N/mm</t>
    </r>
    <r>
      <rPr>
        <vertAlign val="superscript"/>
        <sz val="11"/>
        <rFont val="Times New Roman"/>
        <family val="1"/>
      </rPr>
      <t>2</t>
    </r>
  </si>
  <si>
    <r>
      <rPr>
        <sz val="11"/>
        <rFont val="宋体"/>
        <charset val="134"/>
      </rPr>
      <t>混凝土</t>
    </r>
  </si>
  <si>
    <r>
      <rPr>
        <sz val="11"/>
        <rFont val="Times New Roman"/>
        <family val="1"/>
      </rPr>
      <t>C40</t>
    </r>
    <r>
      <rPr>
        <sz val="11"/>
        <rFont val="宋体"/>
        <charset val="134"/>
      </rPr>
      <t>砼轴心抗拉强度设计值</t>
    </r>
    <r>
      <rPr>
        <sz val="11"/>
        <rFont val="Times New Roman"/>
        <family val="1"/>
      </rPr>
      <t>ft=</t>
    </r>
  </si>
  <si>
    <r>
      <rPr>
        <sz val="11"/>
        <rFont val="Times New Roman"/>
        <family val="1"/>
      </rPr>
      <t>C40</t>
    </r>
    <r>
      <rPr>
        <sz val="11"/>
        <rFont val="宋体"/>
        <charset val="134"/>
      </rPr>
      <t>砼轴心抗拉强度标准值</t>
    </r>
    <r>
      <rPr>
        <sz val="11"/>
        <rFont val="Times New Roman"/>
        <family val="1"/>
      </rPr>
      <t>ftk=</t>
    </r>
  </si>
  <si>
    <r>
      <rPr>
        <sz val="11"/>
        <rFont val="Times New Roman"/>
        <family val="1"/>
      </rPr>
      <t>C40</t>
    </r>
    <r>
      <rPr>
        <sz val="11"/>
        <rFont val="宋体"/>
        <charset val="134"/>
      </rPr>
      <t>砼轴心抗压强度标准值</t>
    </r>
    <r>
      <rPr>
        <sz val="11"/>
        <rFont val="Times New Roman"/>
        <family val="1"/>
      </rPr>
      <t>fck=</t>
    </r>
  </si>
  <si>
    <r>
      <rPr>
        <sz val="11"/>
        <rFont val="Times New Roman"/>
        <family val="1"/>
      </rPr>
      <t>C40</t>
    </r>
    <r>
      <rPr>
        <sz val="11"/>
        <rFont val="宋体"/>
        <charset val="134"/>
      </rPr>
      <t>弹模</t>
    </r>
    <r>
      <rPr>
        <sz val="11"/>
        <rFont val="Times New Roman"/>
        <family val="1"/>
      </rPr>
      <t>Ec=</t>
    </r>
  </si>
  <si>
    <r>
      <rPr>
        <sz val="12"/>
        <rFont val="宋体"/>
        <charset val="134"/>
      </rPr>
      <t>施工实际混凝土轴心抗压强度</t>
    </r>
    <r>
      <rPr>
        <sz val="12"/>
        <rFont val="Times New Roman"/>
        <family val="1"/>
      </rPr>
      <t>f'</t>
    </r>
    <r>
      <rPr>
        <vertAlign val="subscript"/>
        <sz val="12"/>
        <rFont val="Times New Roman"/>
        <family val="1"/>
      </rPr>
      <t>ck</t>
    </r>
    <r>
      <rPr>
        <sz val="12"/>
        <rFont val="Times New Roman"/>
        <family val="1"/>
      </rPr>
      <t>=</t>
    </r>
  </si>
  <si>
    <r>
      <rPr>
        <sz val="11"/>
        <rFont val="Times New Roman"/>
        <family val="1"/>
      </rPr>
      <t>0.75</t>
    </r>
    <r>
      <rPr>
        <sz val="11"/>
        <rFont val="宋体"/>
        <charset val="134"/>
      </rPr>
      <t>？</t>
    </r>
    <r>
      <rPr>
        <sz val="11"/>
        <rFont val="Times New Roman"/>
        <family val="1"/>
      </rPr>
      <t>0.9</t>
    </r>
    <r>
      <rPr>
        <sz val="11"/>
        <rFont val="宋体"/>
        <charset val="134"/>
      </rPr>
      <t>？贵州</t>
    </r>
    <r>
      <rPr>
        <sz val="11"/>
        <rFont val="Times New Roman"/>
        <family val="1"/>
      </rPr>
      <t>0.9</t>
    </r>
    <r>
      <rPr>
        <sz val="11"/>
        <rFont val="宋体"/>
        <charset val="134"/>
      </rPr>
      <t>矩形？一分院</t>
    </r>
    <r>
      <rPr>
        <sz val="11"/>
        <rFont val="Times New Roman"/>
        <family val="1"/>
      </rPr>
      <t>0.75U</t>
    </r>
    <r>
      <rPr>
        <sz val="11"/>
        <rFont val="宋体"/>
        <charset val="134"/>
      </rPr>
      <t>型</t>
    </r>
  </si>
  <si>
    <r>
      <rPr>
        <sz val="12"/>
        <rFont val="宋体"/>
        <charset val="134"/>
      </rPr>
      <t>施工实际混凝土轴心抗拉强度</t>
    </r>
    <r>
      <rPr>
        <sz val="12"/>
        <rFont val="Times New Roman"/>
        <family val="1"/>
      </rPr>
      <t>f'</t>
    </r>
    <r>
      <rPr>
        <vertAlign val="subscript"/>
        <sz val="12"/>
        <rFont val="Times New Roman"/>
        <family val="1"/>
      </rPr>
      <t>tk</t>
    </r>
    <r>
      <rPr>
        <sz val="12"/>
        <rFont val="Times New Roman"/>
        <family val="1"/>
      </rPr>
      <t>=</t>
    </r>
  </si>
  <si>
    <r>
      <rPr>
        <sz val="12"/>
        <rFont val="宋体"/>
        <charset val="134"/>
      </rPr>
      <t>施加预应力时混凝土立方体抗压强度</t>
    </r>
    <r>
      <rPr>
        <sz val="12"/>
        <rFont val="Times New Roman"/>
        <family val="1"/>
      </rPr>
      <t>f'</t>
    </r>
    <r>
      <rPr>
        <vertAlign val="subscript"/>
        <sz val="12"/>
        <rFont val="Times New Roman"/>
        <family val="1"/>
      </rPr>
      <t>cu</t>
    </r>
    <r>
      <rPr>
        <sz val="12"/>
        <rFont val="Times New Roman"/>
        <family val="1"/>
      </rPr>
      <t>=</t>
    </r>
  </si>
  <si>
    <r>
      <rPr>
        <sz val="11"/>
        <color rgb="FFFF0000"/>
        <rFont val="Times New Roman"/>
        <family val="1"/>
      </rPr>
      <t>HRB400</t>
    </r>
    <r>
      <rPr>
        <sz val="11"/>
        <rFont val="Times New Roman"/>
        <family val="1"/>
      </rPr>
      <t>(φ)</t>
    </r>
    <r>
      <rPr>
        <sz val="11"/>
        <rFont val="宋体"/>
        <charset val="134"/>
      </rPr>
      <t>钢筋抗拉强度设计值</t>
    </r>
    <r>
      <rPr>
        <sz val="11"/>
        <rFont val="Times New Roman"/>
        <family val="1"/>
      </rPr>
      <t>f</t>
    </r>
    <r>
      <rPr>
        <vertAlign val="subscript"/>
        <sz val="11"/>
        <rFont val="Times New Roman"/>
        <family val="1"/>
      </rPr>
      <t>y</t>
    </r>
    <r>
      <rPr>
        <sz val="11"/>
        <rFont val="Times New Roman"/>
        <family val="1"/>
      </rPr>
      <t>=</t>
    </r>
  </si>
  <si>
    <r>
      <rPr>
        <sz val="11"/>
        <rFont val="Times New Roman"/>
        <family val="1"/>
      </rPr>
      <t>HRB</t>
    </r>
    <r>
      <rPr>
        <sz val="11"/>
        <color rgb="FFFF0000"/>
        <rFont val="Times New Roman"/>
        <family val="1"/>
      </rPr>
      <t>400</t>
    </r>
    <r>
      <rPr>
        <sz val="11"/>
        <rFont val="Times New Roman"/>
        <family val="1"/>
      </rPr>
      <t>(φ)</t>
    </r>
    <r>
      <rPr>
        <sz val="11"/>
        <rFont val="宋体"/>
        <charset val="134"/>
      </rPr>
      <t>钢筋抗压强度设计值</t>
    </r>
    <r>
      <rPr>
        <sz val="11"/>
        <rFont val="Times New Roman"/>
        <family val="1"/>
      </rPr>
      <t>f</t>
    </r>
    <r>
      <rPr>
        <vertAlign val="superscript"/>
        <sz val="11"/>
        <rFont val="宋体"/>
        <charset val="134"/>
      </rPr>
      <t>′</t>
    </r>
    <r>
      <rPr>
        <vertAlign val="subscript"/>
        <sz val="11"/>
        <rFont val="Times New Roman"/>
        <family val="1"/>
      </rPr>
      <t>y</t>
    </r>
    <r>
      <rPr>
        <sz val="11"/>
        <rFont val="Times New Roman"/>
        <family val="1"/>
      </rPr>
      <t>=</t>
    </r>
  </si>
  <si>
    <r>
      <rPr>
        <sz val="11"/>
        <rFont val="Times New Roman"/>
        <family val="1"/>
      </rPr>
      <t>HRB</t>
    </r>
    <r>
      <rPr>
        <sz val="11"/>
        <color rgb="FFFF0000"/>
        <rFont val="Times New Roman"/>
        <family val="1"/>
      </rPr>
      <t>400</t>
    </r>
    <r>
      <rPr>
        <sz val="11"/>
        <rFont val="Times New Roman"/>
        <family val="1"/>
      </rPr>
      <t>(φ)</t>
    </r>
    <r>
      <rPr>
        <sz val="11"/>
        <rFont val="宋体"/>
        <charset val="134"/>
      </rPr>
      <t>钢筋、</t>
    </r>
    <r>
      <rPr>
        <sz val="11"/>
        <rFont val="Times New Roman"/>
        <family val="1"/>
      </rPr>
      <t>HRB335(φ)</t>
    </r>
    <r>
      <rPr>
        <sz val="11"/>
        <rFont val="宋体"/>
        <charset val="134"/>
      </rPr>
      <t>钢筋弹模</t>
    </r>
    <r>
      <rPr>
        <sz val="11"/>
        <rFont val="Times New Roman"/>
        <family val="1"/>
      </rPr>
      <t>E</t>
    </r>
    <r>
      <rPr>
        <vertAlign val="subscript"/>
        <sz val="11"/>
        <rFont val="Times New Roman"/>
        <family val="1"/>
      </rPr>
      <t>s</t>
    </r>
    <r>
      <rPr>
        <sz val="11"/>
        <rFont val="Times New Roman"/>
        <family val="1"/>
      </rPr>
      <t>=</t>
    </r>
  </si>
  <si>
    <r>
      <rPr>
        <sz val="11"/>
        <rFont val="宋体"/>
        <charset val="134"/>
      </rPr>
      <t>！</t>
    </r>
  </si>
  <si>
    <r>
      <rPr>
        <sz val="11"/>
        <color rgb="FFFF0000"/>
        <rFont val="Times New Roman"/>
        <family val="1"/>
      </rPr>
      <t>φ</t>
    </r>
    <r>
      <rPr>
        <vertAlign val="superscript"/>
        <sz val="11"/>
        <color rgb="FFFF0000"/>
        <rFont val="Times New Roman"/>
        <family val="1"/>
      </rPr>
      <t>ps</t>
    </r>
    <r>
      <rPr>
        <sz val="11"/>
        <rFont val="Times New Roman"/>
        <family val="1"/>
      </rPr>
      <t>32</t>
    </r>
    <r>
      <rPr>
        <sz val="11"/>
        <rFont val="宋体"/>
        <charset val="134"/>
      </rPr>
      <t>螺纹钢筋抗拉强度标准值</t>
    </r>
    <r>
      <rPr>
        <sz val="11"/>
        <rFont val="Times New Roman"/>
        <family val="1"/>
      </rPr>
      <t>f</t>
    </r>
    <r>
      <rPr>
        <vertAlign val="subscript"/>
        <sz val="11"/>
        <rFont val="Times New Roman"/>
        <family val="1"/>
      </rPr>
      <t>ptk</t>
    </r>
    <r>
      <rPr>
        <sz val="11"/>
        <rFont val="Times New Roman"/>
        <family val="1"/>
      </rPr>
      <t>=</t>
    </r>
  </si>
  <si>
    <r>
      <rPr>
        <sz val="11"/>
        <rFont val="Times New Roman"/>
        <family val="1"/>
      </rPr>
      <t>N/mm</t>
    </r>
    <r>
      <rPr>
        <vertAlign val="superscript"/>
        <sz val="11"/>
        <rFont val="Times New Roman"/>
        <family val="1"/>
      </rPr>
      <t>3</t>
    </r>
  </si>
  <si>
    <r>
      <rPr>
        <sz val="11"/>
        <rFont val="Times New Roman"/>
        <family val="1"/>
      </rPr>
      <t>HRB335</t>
    </r>
    <r>
      <rPr>
        <u/>
        <sz val="11"/>
        <rFont val="Times New Roman"/>
        <family val="1"/>
      </rPr>
      <t>φ</t>
    </r>
    <r>
      <rPr>
        <sz val="11"/>
        <rFont val="宋体"/>
        <charset val="134"/>
      </rPr>
      <t>钢筋抗拉强度设计值</t>
    </r>
    <r>
      <rPr>
        <sz val="11"/>
        <rFont val="Times New Roman"/>
        <family val="1"/>
      </rPr>
      <t>f</t>
    </r>
    <r>
      <rPr>
        <vertAlign val="subscript"/>
        <sz val="11"/>
        <rFont val="Times New Roman"/>
        <family val="1"/>
      </rPr>
      <t>py</t>
    </r>
    <r>
      <rPr>
        <sz val="11"/>
        <rFont val="Times New Roman"/>
        <family val="1"/>
      </rPr>
      <t>=</t>
    </r>
  </si>
  <si>
    <r>
      <rPr>
        <sz val="11"/>
        <rFont val="Times New Roman"/>
        <family val="1"/>
      </rPr>
      <t>φ</t>
    </r>
    <r>
      <rPr>
        <vertAlign val="superscript"/>
        <sz val="11"/>
        <rFont val="Times New Roman"/>
        <family val="1"/>
      </rPr>
      <t>s</t>
    </r>
    <r>
      <rPr>
        <sz val="11"/>
        <rFont val="Times New Roman"/>
        <family val="1"/>
      </rPr>
      <t>1×7</t>
    </r>
    <r>
      <rPr>
        <sz val="11"/>
        <rFont val="宋体"/>
        <charset val="134"/>
      </rPr>
      <t>预应力钢绞线强度标准值</t>
    </r>
    <r>
      <rPr>
        <sz val="11"/>
        <rFont val="Times New Roman"/>
        <family val="1"/>
      </rPr>
      <t>f</t>
    </r>
    <r>
      <rPr>
        <vertAlign val="subscript"/>
        <sz val="11"/>
        <rFont val="Times New Roman"/>
        <family val="1"/>
      </rPr>
      <t>ptk</t>
    </r>
    <r>
      <rPr>
        <sz val="11"/>
        <rFont val="Times New Roman"/>
        <family val="1"/>
      </rPr>
      <t>=</t>
    </r>
  </si>
  <si>
    <r>
      <rPr>
        <sz val="11"/>
        <rFont val="宋体"/>
        <charset val="134"/>
      </rPr>
      <t>抗拉强度设计值</t>
    </r>
    <r>
      <rPr>
        <sz val="11"/>
        <rFont val="Times New Roman"/>
        <family val="1"/>
      </rPr>
      <t>f</t>
    </r>
    <r>
      <rPr>
        <vertAlign val="subscript"/>
        <sz val="11"/>
        <rFont val="Times New Roman"/>
        <family val="1"/>
      </rPr>
      <t>py</t>
    </r>
    <r>
      <rPr>
        <sz val="11"/>
        <rFont val="Times New Roman"/>
        <family val="1"/>
      </rPr>
      <t>=</t>
    </r>
  </si>
  <si>
    <t xml:space="preserve"> </t>
  </si>
  <si>
    <r>
      <rPr>
        <sz val="11"/>
        <rFont val="宋体"/>
        <charset val="134"/>
      </rPr>
      <t>！抗压强度设计值</t>
    </r>
    <r>
      <rPr>
        <sz val="11"/>
        <rFont val="Times New Roman"/>
        <family val="1"/>
      </rPr>
      <t>f</t>
    </r>
    <r>
      <rPr>
        <vertAlign val="superscript"/>
        <sz val="11"/>
        <rFont val="宋体"/>
        <charset val="134"/>
      </rPr>
      <t>′</t>
    </r>
    <r>
      <rPr>
        <vertAlign val="subscript"/>
        <sz val="11"/>
        <rFont val="Times New Roman"/>
        <family val="1"/>
      </rPr>
      <t>py</t>
    </r>
    <r>
      <rPr>
        <sz val="11"/>
        <rFont val="Times New Roman"/>
        <family val="1"/>
      </rPr>
      <t>=</t>
    </r>
  </si>
  <si>
    <r>
      <rPr>
        <sz val="11"/>
        <rFont val="宋体"/>
        <charset val="134"/>
      </rPr>
      <t>钢绞线弹模</t>
    </r>
    <r>
      <rPr>
        <sz val="11"/>
        <rFont val="Times New Roman"/>
        <family val="1"/>
      </rPr>
      <t>E</t>
    </r>
    <r>
      <rPr>
        <sz val="11"/>
        <rFont val="宋体"/>
        <charset val="134"/>
      </rPr>
      <t>′</t>
    </r>
    <r>
      <rPr>
        <vertAlign val="subscript"/>
        <sz val="11"/>
        <rFont val="Times New Roman"/>
        <family val="1"/>
      </rPr>
      <t>p</t>
    </r>
    <r>
      <rPr>
        <sz val="11"/>
        <rFont val="Times New Roman"/>
        <family val="1"/>
      </rPr>
      <t>=</t>
    </r>
  </si>
  <si>
    <r>
      <rPr>
        <sz val="12"/>
        <rFont val="Times New Roman"/>
        <family val="1"/>
      </rPr>
      <t>3.2</t>
    </r>
    <r>
      <rPr>
        <sz val="12"/>
        <rFont val="黑体"/>
        <charset val="134"/>
      </rPr>
      <t>内力计算：</t>
    </r>
  </si>
  <si>
    <r>
      <rPr>
        <sz val="11"/>
        <rFont val="宋体"/>
        <charset val="134"/>
      </rPr>
      <t>槽壳分块</t>
    </r>
    <r>
      <rPr>
        <sz val="11"/>
        <rFont val="Times New Roman"/>
        <family val="1"/>
      </rPr>
      <t>Ai,</t>
    </r>
    <r>
      <rPr>
        <sz val="11"/>
        <rFont val="宋体"/>
        <charset val="134"/>
      </rPr>
      <t>各分块重心至槽顶距离</t>
    </r>
    <r>
      <rPr>
        <sz val="11"/>
        <rFont val="Times New Roman"/>
        <family val="1"/>
      </rPr>
      <t>yi</t>
    </r>
    <r>
      <rPr>
        <sz val="11"/>
        <rFont val="宋体"/>
        <charset val="134"/>
      </rPr>
      <t>，各分块重心直槽壳重心轴距离</t>
    </r>
    <r>
      <rPr>
        <sz val="11"/>
        <rFont val="Times New Roman"/>
        <family val="1"/>
      </rPr>
      <t>y,</t>
    </r>
    <r>
      <rPr>
        <sz val="11"/>
        <rFont val="宋体"/>
        <charset val="134"/>
      </rPr>
      <t>各分块对自身轴惯性距</t>
    </r>
    <r>
      <rPr>
        <sz val="11"/>
        <rFont val="Times New Roman"/>
        <family val="1"/>
      </rPr>
      <t>Ii</t>
    </r>
  </si>
  <si>
    <r>
      <rPr>
        <sz val="11"/>
        <color theme="1"/>
        <rFont val="Times New Roman"/>
        <family val="1"/>
      </rPr>
      <t>(</t>
    </r>
    <r>
      <rPr>
        <sz val="11"/>
        <color theme="1"/>
        <rFont val="宋体"/>
        <charset val="134"/>
      </rPr>
      <t>见右上图）</t>
    </r>
  </si>
  <si>
    <r>
      <rPr>
        <sz val="11"/>
        <rFont val="宋体"/>
        <charset val="134"/>
      </rPr>
      <t>分块序号</t>
    </r>
  </si>
  <si>
    <r>
      <rPr>
        <sz val="11"/>
        <rFont val="Times New Roman"/>
        <family val="1"/>
      </rPr>
      <t>Ai(m</t>
    </r>
    <r>
      <rPr>
        <vertAlign val="superscript"/>
        <sz val="11"/>
        <rFont val="Times New Roman"/>
        <family val="1"/>
      </rPr>
      <t>2</t>
    </r>
    <r>
      <rPr>
        <sz val="11"/>
        <rFont val="Times New Roman"/>
        <family val="1"/>
      </rPr>
      <t>)</t>
    </r>
  </si>
  <si>
    <t>yi</t>
  </si>
  <si>
    <t>Ayi</t>
  </si>
  <si>
    <t>y=|y1-yi|</t>
  </si>
  <si>
    <r>
      <rPr>
        <sz val="11"/>
        <rFont val="Times New Roman"/>
        <family val="1"/>
      </rPr>
      <t>Aiy</t>
    </r>
    <r>
      <rPr>
        <vertAlign val="superscript"/>
        <sz val="11"/>
        <rFont val="Times New Roman"/>
        <family val="1"/>
      </rPr>
      <t>2</t>
    </r>
  </si>
  <si>
    <t>Ii</t>
  </si>
  <si>
    <r>
      <rPr>
        <sz val="11"/>
        <color theme="1"/>
        <rFont val="宋体"/>
        <charset val="134"/>
      </rPr>
      <t>人行道板</t>
    </r>
  </si>
  <si>
    <r>
      <rPr>
        <sz val="11"/>
        <rFont val="宋体"/>
        <charset val="134"/>
      </rPr>
      <t>∑</t>
    </r>
  </si>
  <si>
    <r>
      <rPr>
        <sz val="11"/>
        <rFont val="宋体"/>
        <charset val="134"/>
      </rPr>
      <t>混凝土截面面积</t>
    </r>
    <r>
      <rPr>
        <sz val="11"/>
        <rFont val="Times New Roman"/>
        <family val="1"/>
      </rPr>
      <t>A</t>
    </r>
    <r>
      <rPr>
        <vertAlign val="subscript"/>
        <sz val="11"/>
        <rFont val="Times New Roman"/>
        <family val="1"/>
      </rPr>
      <t>c</t>
    </r>
    <r>
      <rPr>
        <sz val="11"/>
        <rFont val="Times New Roman"/>
        <family val="1"/>
      </rPr>
      <t>=</t>
    </r>
  </si>
  <si>
    <r>
      <rPr>
        <sz val="11"/>
        <rFont val="Times New Roman"/>
        <family val="1"/>
      </rPr>
      <t>m</t>
    </r>
    <r>
      <rPr>
        <vertAlign val="superscript"/>
        <sz val="11"/>
        <rFont val="Times New Roman"/>
        <family val="1"/>
      </rPr>
      <t>2</t>
    </r>
  </si>
  <si>
    <r>
      <rPr>
        <sz val="11"/>
        <rFont val="宋体"/>
        <charset val="134"/>
      </rPr>
      <t>混凝土截面重心至槽顶边缘距离</t>
    </r>
    <r>
      <rPr>
        <sz val="11"/>
        <rFont val="Times New Roman"/>
        <family val="1"/>
      </rPr>
      <t>y</t>
    </r>
    <r>
      <rPr>
        <vertAlign val="subscript"/>
        <sz val="11"/>
        <rFont val="Times New Roman"/>
        <family val="1"/>
      </rPr>
      <t>1</t>
    </r>
    <r>
      <rPr>
        <sz val="11"/>
        <rFont val="Times New Roman"/>
        <family val="1"/>
      </rPr>
      <t>=</t>
    </r>
  </si>
  <si>
    <r>
      <rPr>
        <sz val="11"/>
        <rFont val="宋体"/>
        <charset val="134"/>
      </rPr>
      <t>混凝土截面重心至槽底边缘距离</t>
    </r>
    <r>
      <rPr>
        <sz val="11"/>
        <rFont val="Times New Roman"/>
        <family val="1"/>
      </rPr>
      <t>y</t>
    </r>
    <r>
      <rPr>
        <vertAlign val="subscript"/>
        <sz val="11"/>
        <rFont val="Times New Roman"/>
        <family val="1"/>
      </rPr>
      <t>2</t>
    </r>
    <r>
      <rPr>
        <sz val="11"/>
        <rFont val="Times New Roman"/>
        <family val="1"/>
      </rPr>
      <t>=</t>
    </r>
  </si>
  <si>
    <r>
      <rPr>
        <sz val="11"/>
        <rFont val="宋体"/>
        <charset val="134"/>
      </rPr>
      <t>截面的惯性矩</t>
    </r>
    <r>
      <rPr>
        <sz val="11"/>
        <rFont val="Times New Roman"/>
        <family val="1"/>
      </rPr>
      <t>I</t>
    </r>
    <r>
      <rPr>
        <vertAlign val="subscript"/>
        <sz val="11"/>
        <rFont val="Times New Roman"/>
        <family val="1"/>
      </rPr>
      <t>c</t>
    </r>
    <r>
      <rPr>
        <sz val="11"/>
        <rFont val="Times New Roman"/>
        <family val="1"/>
      </rPr>
      <t>=</t>
    </r>
    <r>
      <rPr>
        <sz val="11"/>
        <rFont val="宋体"/>
        <charset val="134"/>
      </rPr>
      <t>∑</t>
    </r>
    <r>
      <rPr>
        <sz val="11"/>
        <rFont val="Times New Roman"/>
        <family val="1"/>
      </rPr>
      <t>Ii+</t>
    </r>
    <r>
      <rPr>
        <sz val="11"/>
        <rFont val="宋体"/>
        <charset val="134"/>
      </rPr>
      <t>∑</t>
    </r>
    <r>
      <rPr>
        <sz val="11"/>
        <rFont val="Times New Roman"/>
        <family val="1"/>
      </rPr>
      <t>Aiy</t>
    </r>
    <r>
      <rPr>
        <vertAlign val="superscript"/>
        <sz val="11"/>
        <rFont val="Times New Roman"/>
        <family val="1"/>
      </rPr>
      <t>2</t>
    </r>
    <r>
      <rPr>
        <sz val="11"/>
        <rFont val="Times New Roman"/>
        <family val="1"/>
      </rPr>
      <t>=</t>
    </r>
  </si>
  <si>
    <r>
      <rPr>
        <sz val="11"/>
        <rFont val="Times New Roman"/>
        <family val="1"/>
      </rPr>
      <t>m</t>
    </r>
    <r>
      <rPr>
        <vertAlign val="superscript"/>
        <sz val="11"/>
        <rFont val="Times New Roman"/>
        <family val="1"/>
      </rPr>
      <t>4</t>
    </r>
  </si>
  <si>
    <r>
      <rPr>
        <sz val="11"/>
        <color theme="1"/>
        <rFont val="宋体"/>
        <charset val="134"/>
      </rPr>
      <t>壳槽平均半径</t>
    </r>
    <r>
      <rPr>
        <sz val="11"/>
        <color theme="1"/>
        <rFont val="Times New Roman"/>
        <family val="1"/>
      </rPr>
      <t>R=</t>
    </r>
  </si>
  <si>
    <r>
      <rPr>
        <sz val="11"/>
        <color theme="1"/>
        <rFont val="宋体"/>
        <charset val="134"/>
      </rPr>
      <t>截面重心至圆心的高度</t>
    </r>
    <r>
      <rPr>
        <sz val="11"/>
        <color theme="1"/>
        <rFont val="Times New Roman"/>
        <family val="1"/>
      </rPr>
      <t>K=</t>
    </r>
  </si>
  <si>
    <t>cosθ=</t>
  </si>
  <si>
    <t>K/R=</t>
  </si>
  <si>
    <t>θ=</t>
  </si>
  <si>
    <r>
      <rPr>
        <sz val="11"/>
        <color theme="1"/>
        <rFont val="宋体"/>
        <charset val="134"/>
      </rPr>
      <t>圆弧段面积对重心轴的面积矩</t>
    </r>
    <r>
      <rPr>
        <sz val="11"/>
        <color theme="1"/>
        <rFont val="Times New Roman"/>
        <family val="1"/>
      </rPr>
      <t>S1=</t>
    </r>
  </si>
  <si>
    <r>
      <rPr>
        <sz val="11"/>
        <rFont val="Times New Roman"/>
        <family val="1"/>
      </rPr>
      <t>m</t>
    </r>
    <r>
      <rPr>
        <vertAlign val="superscript"/>
        <sz val="11"/>
        <rFont val="Times New Roman"/>
        <family val="1"/>
      </rPr>
      <t>3</t>
    </r>
  </si>
  <si>
    <r>
      <rPr>
        <sz val="11"/>
        <color theme="1"/>
        <rFont val="宋体"/>
        <charset val="134"/>
      </rPr>
      <t>槽底加厚部分对重心轴的面积矩</t>
    </r>
    <r>
      <rPr>
        <sz val="11"/>
        <color theme="1"/>
        <rFont val="Times New Roman"/>
        <family val="1"/>
      </rPr>
      <t>S2=</t>
    </r>
  </si>
  <si>
    <t>S=S1+S2=</t>
  </si>
  <si>
    <r>
      <rPr>
        <sz val="12"/>
        <rFont val="Times New Roman"/>
        <family val="1"/>
      </rPr>
      <t>3.2.1</t>
    </r>
    <r>
      <rPr>
        <sz val="12"/>
        <rFont val="华文楷体"/>
        <charset val="134"/>
      </rPr>
      <t>槽壳自重：</t>
    </r>
  </si>
  <si>
    <r>
      <rPr>
        <sz val="11"/>
        <rFont val="宋体"/>
        <charset val="134"/>
      </rPr>
      <t>系数</t>
    </r>
    <r>
      <rPr>
        <sz val="11"/>
        <rFont val="Times New Roman"/>
        <family val="1"/>
      </rPr>
      <t>=</t>
    </r>
  </si>
  <si>
    <r>
      <rPr>
        <sz val="11"/>
        <rFont val="宋体"/>
        <charset val="134"/>
      </rPr>
      <t>预应力砼容重：</t>
    </r>
    <r>
      <rPr>
        <sz val="11"/>
        <rFont val="Times New Roman"/>
        <family val="1"/>
      </rPr>
      <t>γ</t>
    </r>
    <r>
      <rPr>
        <vertAlign val="subscript"/>
        <sz val="11"/>
        <rFont val="Times New Roman"/>
        <family val="1"/>
      </rPr>
      <t>1</t>
    </r>
    <r>
      <rPr>
        <sz val="11"/>
        <rFont val="Times New Roman"/>
        <family val="1"/>
      </rPr>
      <t>=</t>
    </r>
  </si>
  <si>
    <r>
      <rPr>
        <sz val="11"/>
        <rFont val="Times New Roman"/>
        <family val="1"/>
      </rPr>
      <t>KN/m</t>
    </r>
    <r>
      <rPr>
        <vertAlign val="superscript"/>
        <sz val="11"/>
        <rFont val="Times New Roman"/>
        <family val="1"/>
      </rPr>
      <t>3</t>
    </r>
  </si>
  <si>
    <r>
      <rPr>
        <sz val="11"/>
        <rFont val="宋体"/>
        <charset val="134"/>
      </rPr>
      <t>标准值：</t>
    </r>
    <r>
      <rPr>
        <sz val="11"/>
        <rFont val="Times New Roman"/>
        <family val="1"/>
      </rPr>
      <t>q</t>
    </r>
    <r>
      <rPr>
        <vertAlign val="subscript"/>
        <sz val="11"/>
        <rFont val="Times New Roman"/>
        <family val="1"/>
      </rPr>
      <t>01</t>
    </r>
    <r>
      <rPr>
        <sz val="11"/>
        <rFont val="Times New Roman"/>
        <family val="1"/>
      </rPr>
      <t>=S</t>
    </r>
    <r>
      <rPr>
        <vertAlign val="subscript"/>
        <sz val="11"/>
        <rFont val="Times New Roman"/>
        <family val="1"/>
      </rPr>
      <t>1</t>
    </r>
    <r>
      <rPr>
        <sz val="11"/>
        <rFont val="Times New Roman"/>
        <family val="1"/>
      </rPr>
      <t>γ</t>
    </r>
    <r>
      <rPr>
        <vertAlign val="subscript"/>
        <sz val="11"/>
        <rFont val="Times New Roman"/>
        <family val="1"/>
      </rPr>
      <t>1</t>
    </r>
    <r>
      <rPr>
        <sz val="11"/>
        <rFont val="Times New Roman"/>
        <family val="1"/>
      </rPr>
      <t>=</t>
    </r>
  </si>
  <si>
    <t>KN/m</t>
  </si>
  <si>
    <r>
      <rPr>
        <sz val="11"/>
        <rFont val="宋体"/>
        <charset val="134"/>
      </rPr>
      <t>设计值：</t>
    </r>
    <r>
      <rPr>
        <sz val="11"/>
        <rFont val="Times New Roman"/>
        <family val="1"/>
      </rPr>
      <t>q</t>
    </r>
    <r>
      <rPr>
        <vertAlign val="subscript"/>
        <sz val="11"/>
        <rFont val="Times New Roman"/>
        <family val="1"/>
      </rPr>
      <t>1</t>
    </r>
    <r>
      <rPr>
        <sz val="11"/>
        <rFont val="Times New Roman"/>
        <family val="1"/>
      </rPr>
      <t>=</t>
    </r>
  </si>
  <si>
    <r>
      <rPr>
        <sz val="12"/>
        <rFont val="Times New Roman"/>
        <family val="1"/>
      </rPr>
      <t>3.2.2</t>
    </r>
    <r>
      <rPr>
        <sz val="12"/>
        <rFont val="华文楷体"/>
        <charset val="134"/>
      </rPr>
      <t>拉杆自重：</t>
    </r>
  </si>
  <si>
    <r>
      <rPr>
        <sz val="11"/>
        <rFont val="宋体"/>
        <charset val="134"/>
      </rPr>
      <t>砼容重：</t>
    </r>
    <r>
      <rPr>
        <sz val="11"/>
        <rFont val="Times New Roman"/>
        <family val="1"/>
      </rPr>
      <t>γ</t>
    </r>
    <r>
      <rPr>
        <vertAlign val="subscript"/>
        <sz val="11"/>
        <rFont val="Times New Roman"/>
        <family val="1"/>
      </rPr>
      <t>2</t>
    </r>
    <r>
      <rPr>
        <sz val="11"/>
        <rFont val="Times New Roman"/>
        <family val="1"/>
      </rPr>
      <t>=</t>
    </r>
  </si>
  <si>
    <r>
      <rPr>
        <sz val="11"/>
        <rFont val="宋体"/>
        <charset val="134"/>
      </rPr>
      <t>标准值：</t>
    </r>
    <r>
      <rPr>
        <sz val="11"/>
        <rFont val="Times New Roman"/>
        <family val="1"/>
      </rPr>
      <t>q</t>
    </r>
    <r>
      <rPr>
        <vertAlign val="subscript"/>
        <sz val="11"/>
        <rFont val="Times New Roman"/>
        <family val="1"/>
      </rPr>
      <t>02</t>
    </r>
    <r>
      <rPr>
        <sz val="11"/>
        <rFont val="Times New Roman"/>
        <family val="1"/>
      </rPr>
      <t>=</t>
    </r>
  </si>
  <si>
    <r>
      <rPr>
        <sz val="11"/>
        <rFont val="宋体"/>
        <charset val="134"/>
      </rPr>
      <t>设计值：</t>
    </r>
    <r>
      <rPr>
        <sz val="11"/>
        <rFont val="Times New Roman"/>
        <family val="1"/>
      </rPr>
      <t>q</t>
    </r>
    <r>
      <rPr>
        <vertAlign val="subscript"/>
        <sz val="11"/>
        <rFont val="Times New Roman"/>
        <family val="1"/>
      </rPr>
      <t>2</t>
    </r>
    <r>
      <rPr>
        <sz val="11"/>
        <rFont val="Times New Roman"/>
        <family val="1"/>
      </rPr>
      <t>=</t>
    </r>
  </si>
  <si>
    <r>
      <rPr>
        <sz val="12"/>
        <rFont val="Times New Roman"/>
        <family val="1"/>
      </rPr>
      <t>3.2.3</t>
    </r>
    <r>
      <rPr>
        <sz val="12"/>
        <rFont val="华文楷体"/>
        <charset val="134"/>
      </rPr>
      <t>人群荷载：</t>
    </r>
  </si>
  <si>
    <r>
      <rPr>
        <sz val="11"/>
        <rFont val="宋体"/>
        <charset val="134"/>
      </rPr>
      <t>人群荷载：</t>
    </r>
    <r>
      <rPr>
        <sz val="11"/>
        <rFont val="Times New Roman"/>
        <family val="1"/>
      </rPr>
      <t>q</t>
    </r>
    <r>
      <rPr>
        <vertAlign val="subscript"/>
        <sz val="11"/>
        <rFont val="宋体"/>
        <charset val="134"/>
      </rPr>
      <t>人</t>
    </r>
    <r>
      <rPr>
        <sz val="11"/>
        <rFont val="Times New Roman"/>
        <family val="1"/>
      </rPr>
      <t>=</t>
    </r>
  </si>
  <si>
    <r>
      <rPr>
        <sz val="11"/>
        <rFont val="Times New Roman"/>
        <family val="1"/>
      </rPr>
      <t>KN/m</t>
    </r>
    <r>
      <rPr>
        <vertAlign val="superscript"/>
        <sz val="11"/>
        <rFont val="Times New Roman"/>
        <family val="1"/>
      </rPr>
      <t>2</t>
    </r>
  </si>
  <si>
    <r>
      <rPr>
        <sz val="11"/>
        <rFont val="宋体"/>
        <charset val="134"/>
      </rPr>
      <t>标准值：</t>
    </r>
    <r>
      <rPr>
        <sz val="11"/>
        <rFont val="Times New Roman"/>
        <family val="1"/>
      </rPr>
      <t>q</t>
    </r>
    <r>
      <rPr>
        <vertAlign val="subscript"/>
        <sz val="11"/>
        <rFont val="Times New Roman"/>
        <family val="1"/>
      </rPr>
      <t>03</t>
    </r>
    <r>
      <rPr>
        <sz val="11"/>
        <rFont val="Times New Roman"/>
        <family val="1"/>
      </rPr>
      <t>=</t>
    </r>
  </si>
  <si>
    <r>
      <rPr>
        <sz val="11"/>
        <rFont val="宋体"/>
        <charset val="134"/>
      </rPr>
      <t>设计值：</t>
    </r>
    <r>
      <rPr>
        <sz val="11"/>
        <rFont val="Times New Roman"/>
        <family val="1"/>
      </rPr>
      <t>q</t>
    </r>
    <r>
      <rPr>
        <vertAlign val="subscript"/>
        <sz val="11"/>
        <rFont val="Times New Roman"/>
        <family val="1"/>
      </rPr>
      <t>3</t>
    </r>
    <r>
      <rPr>
        <sz val="11"/>
        <rFont val="Times New Roman"/>
        <family val="1"/>
      </rPr>
      <t>=</t>
    </r>
  </si>
  <si>
    <r>
      <rPr>
        <sz val="12"/>
        <rFont val="Times New Roman"/>
        <family val="1"/>
      </rPr>
      <t>3.2.4</t>
    </r>
    <r>
      <rPr>
        <sz val="12"/>
        <rFont val="华文楷体"/>
        <charset val="134"/>
      </rPr>
      <t>水重：</t>
    </r>
  </si>
  <si>
    <r>
      <rPr>
        <sz val="11"/>
        <rFont val="宋体"/>
        <charset val="134"/>
      </rPr>
      <t>设计水深：</t>
    </r>
  </si>
  <si>
    <r>
      <rPr>
        <sz val="11"/>
        <rFont val="宋体"/>
        <charset val="134"/>
      </rPr>
      <t>水容重：</t>
    </r>
    <r>
      <rPr>
        <sz val="11"/>
        <rFont val="Times New Roman"/>
        <family val="1"/>
      </rPr>
      <t>γ</t>
    </r>
    <r>
      <rPr>
        <vertAlign val="subscript"/>
        <sz val="11"/>
        <rFont val="Times New Roman"/>
        <family val="1"/>
      </rPr>
      <t>2</t>
    </r>
    <r>
      <rPr>
        <sz val="11"/>
        <rFont val="Times New Roman"/>
        <family val="1"/>
      </rPr>
      <t>=</t>
    </r>
  </si>
  <si>
    <r>
      <rPr>
        <sz val="11"/>
        <rFont val="宋体"/>
        <charset val="134"/>
      </rPr>
      <t>设计水深</t>
    </r>
    <r>
      <rPr>
        <sz val="11"/>
        <rFont val="Times New Roman"/>
        <family val="1"/>
      </rPr>
      <t>hs=</t>
    </r>
  </si>
  <si>
    <r>
      <rPr>
        <sz val="11"/>
        <color theme="1"/>
        <rFont val="宋体"/>
        <charset val="134"/>
      </rPr>
      <t>圆心以上水深</t>
    </r>
    <r>
      <rPr>
        <sz val="11"/>
        <color theme="1"/>
        <rFont val="Times New Roman"/>
        <family val="1"/>
      </rPr>
      <t>=</t>
    </r>
  </si>
  <si>
    <r>
      <rPr>
        <sz val="11"/>
        <rFont val="宋体"/>
        <charset val="134"/>
      </rPr>
      <t>过水断面：</t>
    </r>
    <r>
      <rPr>
        <sz val="11"/>
        <rFont val="Times New Roman"/>
        <family val="1"/>
      </rPr>
      <t>S</t>
    </r>
    <r>
      <rPr>
        <vertAlign val="subscript"/>
        <sz val="11"/>
        <rFont val="Times New Roman"/>
        <family val="1"/>
      </rPr>
      <t>2</t>
    </r>
    <r>
      <rPr>
        <sz val="11"/>
        <rFont val="Times New Roman"/>
        <family val="1"/>
      </rPr>
      <t>=</t>
    </r>
  </si>
  <si>
    <r>
      <rPr>
        <sz val="11"/>
        <color theme="1"/>
        <rFont val="Times New Roman"/>
        <family val="1"/>
      </rPr>
      <t>m</t>
    </r>
    <r>
      <rPr>
        <vertAlign val="superscript"/>
        <sz val="11"/>
        <color theme="1"/>
        <rFont val="Times New Roman"/>
        <family val="1"/>
      </rPr>
      <t>2</t>
    </r>
  </si>
  <si>
    <r>
      <rPr>
        <sz val="11"/>
        <rFont val="宋体"/>
        <charset val="134"/>
      </rPr>
      <t>标准值：</t>
    </r>
    <r>
      <rPr>
        <sz val="11"/>
        <rFont val="Times New Roman"/>
        <family val="1"/>
      </rPr>
      <t>q</t>
    </r>
    <r>
      <rPr>
        <vertAlign val="subscript"/>
        <sz val="11"/>
        <rFont val="Times New Roman"/>
        <family val="1"/>
      </rPr>
      <t>04</t>
    </r>
    <r>
      <rPr>
        <sz val="11"/>
        <rFont val="Times New Roman"/>
        <family val="1"/>
      </rPr>
      <t>=S2γ</t>
    </r>
    <r>
      <rPr>
        <vertAlign val="subscript"/>
        <sz val="11"/>
        <rFont val="Times New Roman"/>
        <family val="1"/>
      </rPr>
      <t>2</t>
    </r>
    <r>
      <rPr>
        <sz val="11"/>
        <rFont val="Times New Roman"/>
        <family val="1"/>
      </rPr>
      <t>=</t>
    </r>
  </si>
  <si>
    <r>
      <rPr>
        <sz val="11"/>
        <rFont val="宋体"/>
        <charset val="134"/>
      </rPr>
      <t>满槽水深：</t>
    </r>
  </si>
  <si>
    <r>
      <rPr>
        <sz val="11"/>
        <rFont val="宋体"/>
        <charset val="134"/>
      </rPr>
      <t>满槽水深</t>
    </r>
    <r>
      <rPr>
        <sz val="11"/>
        <rFont val="Times New Roman"/>
        <family val="1"/>
      </rPr>
      <t>hm=</t>
    </r>
  </si>
  <si>
    <r>
      <rPr>
        <sz val="11"/>
        <rFont val="宋体"/>
        <charset val="134"/>
      </rPr>
      <t>过水断面：</t>
    </r>
    <r>
      <rPr>
        <sz val="11"/>
        <rFont val="Times New Roman"/>
        <family val="1"/>
      </rPr>
      <t>S</t>
    </r>
    <r>
      <rPr>
        <vertAlign val="subscript"/>
        <sz val="11"/>
        <rFont val="Times New Roman"/>
        <family val="1"/>
      </rPr>
      <t>3</t>
    </r>
    <r>
      <rPr>
        <sz val="11"/>
        <rFont val="Times New Roman"/>
        <family val="1"/>
      </rPr>
      <t>=</t>
    </r>
  </si>
  <si>
    <r>
      <rPr>
        <sz val="11"/>
        <rFont val="宋体"/>
        <charset val="134"/>
      </rPr>
      <t>标准值：</t>
    </r>
    <r>
      <rPr>
        <sz val="11"/>
        <rFont val="Times New Roman"/>
        <family val="1"/>
      </rPr>
      <t>q</t>
    </r>
    <r>
      <rPr>
        <vertAlign val="subscript"/>
        <sz val="11"/>
        <rFont val="Times New Roman"/>
        <family val="1"/>
      </rPr>
      <t>05</t>
    </r>
    <r>
      <rPr>
        <sz val="11"/>
        <rFont val="Times New Roman"/>
        <family val="1"/>
      </rPr>
      <t>=S3γ</t>
    </r>
    <r>
      <rPr>
        <vertAlign val="subscript"/>
        <sz val="11"/>
        <rFont val="Times New Roman"/>
        <family val="1"/>
      </rPr>
      <t>2</t>
    </r>
    <r>
      <rPr>
        <sz val="11"/>
        <rFont val="Times New Roman"/>
        <family val="1"/>
      </rPr>
      <t>=</t>
    </r>
  </si>
  <si>
    <r>
      <rPr>
        <sz val="11"/>
        <rFont val="宋体"/>
        <charset val="134"/>
      </rPr>
      <t>设计值：</t>
    </r>
    <r>
      <rPr>
        <sz val="11"/>
        <rFont val="Times New Roman"/>
        <family val="1"/>
      </rPr>
      <t>q</t>
    </r>
    <r>
      <rPr>
        <vertAlign val="subscript"/>
        <sz val="11"/>
        <rFont val="Times New Roman"/>
        <family val="1"/>
      </rPr>
      <t>5</t>
    </r>
    <r>
      <rPr>
        <sz val="11"/>
        <rFont val="Times New Roman"/>
        <family val="1"/>
      </rPr>
      <t>=</t>
    </r>
  </si>
  <si>
    <r>
      <rPr>
        <sz val="12"/>
        <rFont val="Times New Roman"/>
        <family val="1"/>
      </rPr>
      <t>3.2.5</t>
    </r>
    <r>
      <rPr>
        <sz val="12"/>
        <rFont val="华文楷体"/>
        <charset val="134"/>
      </rPr>
      <t>栏杆自重：</t>
    </r>
  </si>
  <si>
    <r>
      <rPr>
        <sz val="11"/>
        <rFont val="宋体"/>
        <charset val="134"/>
      </rPr>
      <t>标准值：</t>
    </r>
    <r>
      <rPr>
        <sz val="11"/>
        <rFont val="Times New Roman"/>
        <family val="1"/>
      </rPr>
      <t>q</t>
    </r>
    <r>
      <rPr>
        <vertAlign val="subscript"/>
        <sz val="11"/>
        <rFont val="Times New Roman"/>
        <family val="1"/>
      </rPr>
      <t>06</t>
    </r>
    <r>
      <rPr>
        <sz val="11"/>
        <rFont val="Times New Roman"/>
        <family val="1"/>
      </rPr>
      <t>=</t>
    </r>
  </si>
  <si>
    <r>
      <rPr>
        <sz val="11"/>
        <rFont val="宋体"/>
        <charset val="134"/>
      </rPr>
      <t>设计值：</t>
    </r>
    <r>
      <rPr>
        <sz val="11"/>
        <rFont val="Times New Roman"/>
        <family val="1"/>
      </rPr>
      <t>q</t>
    </r>
    <r>
      <rPr>
        <vertAlign val="subscript"/>
        <sz val="11"/>
        <rFont val="Times New Roman"/>
        <family val="1"/>
      </rPr>
      <t>6</t>
    </r>
    <r>
      <rPr>
        <sz val="11"/>
        <rFont val="Times New Roman"/>
        <family val="1"/>
      </rPr>
      <t>=</t>
    </r>
  </si>
  <si>
    <r>
      <rPr>
        <sz val="12"/>
        <rFont val="Times New Roman"/>
        <family val="1"/>
      </rPr>
      <t>3.2.6</t>
    </r>
    <r>
      <rPr>
        <sz val="12"/>
        <rFont val="华文楷体"/>
        <charset val="134"/>
      </rPr>
      <t>顶板铺重重：</t>
    </r>
  </si>
  <si>
    <r>
      <rPr>
        <sz val="11"/>
        <rFont val="Times New Roman"/>
        <family val="1"/>
      </rPr>
      <t xml:space="preserve">  </t>
    </r>
    <r>
      <rPr>
        <sz val="11"/>
        <rFont val="宋体"/>
        <charset val="134"/>
      </rPr>
      <t>铺装容重：</t>
    </r>
    <r>
      <rPr>
        <sz val="11"/>
        <rFont val="Times New Roman"/>
        <family val="1"/>
      </rPr>
      <t>γ</t>
    </r>
    <r>
      <rPr>
        <vertAlign val="subscript"/>
        <sz val="11"/>
        <rFont val="Times New Roman"/>
        <family val="1"/>
      </rPr>
      <t>7</t>
    </r>
    <r>
      <rPr>
        <sz val="11"/>
        <rFont val="Times New Roman"/>
        <family val="1"/>
      </rPr>
      <t>=</t>
    </r>
  </si>
  <si>
    <r>
      <rPr>
        <sz val="11"/>
        <rFont val="宋体"/>
        <charset val="134"/>
      </rPr>
      <t>分布宽度：</t>
    </r>
    <r>
      <rPr>
        <sz val="11"/>
        <rFont val="Times New Roman"/>
        <family val="1"/>
      </rPr>
      <t>B</t>
    </r>
    <r>
      <rPr>
        <vertAlign val="subscript"/>
        <sz val="11"/>
        <rFont val="宋体"/>
        <charset val="134"/>
      </rPr>
      <t>顶</t>
    </r>
    <r>
      <rPr>
        <sz val="11"/>
        <rFont val="Times New Roman"/>
        <family val="1"/>
      </rPr>
      <t>=</t>
    </r>
  </si>
  <si>
    <r>
      <rPr>
        <sz val="11"/>
        <rFont val="宋体"/>
        <charset val="134"/>
      </rPr>
      <t>厚度</t>
    </r>
    <r>
      <rPr>
        <sz val="11"/>
        <rFont val="Times New Roman"/>
        <family val="1"/>
      </rPr>
      <t>δ=</t>
    </r>
  </si>
  <si>
    <r>
      <rPr>
        <sz val="11"/>
        <rFont val="宋体"/>
        <charset val="134"/>
      </rPr>
      <t>标准值：</t>
    </r>
    <r>
      <rPr>
        <sz val="11"/>
        <rFont val="Times New Roman"/>
        <family val="1"/>
      </rPr>
      <t>q</t>
    </r>
    <r>
      <rPr>
        <vertAlign val="subscript"/>
        <sz val="11"/>
        <rFont val="Times New Roman"/>
        <family val="1"/>
      </rPr>
      <t>07</t>
    </r>
    <r>
      <rPr>
        <sz val="11"/>
        <rFont val="Times New Roman"/>
        <family val="1"/>
      </rPr>
      <t>=B</t>
    </r>
    <r>
      <rPr>
        <vertAlign val="subscript"/>
        <sz val="11"/>
        <rFont val="宋体"/>
        <charset val="134"/>
      </rPr>
      <t>顶</t>
    </r>
    <r>
      <rPr>
        <sz val="11"/>
        <rFont val="Times New Roman"/>
        <family val="1"/>
      </rPr>
      <t>γ</t>
    </r>
    <r>
      <rPr>
        <vertAlign val="subscript"/>
        <sz val="11"/>
        <rFont val="Times New Roman"/>
        <family val="1"/>
      </rPr>
      <t>6</t>
    </r>
    <r>
      <rPr>
        <sz val="11"/>
        <rFont val="Times New Roman"/>
        <family val="1"/>
      </rPr>
      <t>=</t>
    </r>
  </si>
  <si>
    <r>
      <rPr>
        <sz val="11"/>
        <rFont val="宋体"/>
        <charset val="134"/>
      </rPr>
      <t>设计值：</t>
    </r>
    <r>
      <rPr>
        <sz val="11"/>
        <rFont val="Times New Roman"/>
        <family val="1"/>
      </rPr>
      <t>q</t>
    </r>
    <r>
      <rPr>
        <vertAlign val="subscript"/>
        <sz val="11"/>
        <rFont val="Times New Roman"/>
        <family val="1"/>
      </rPr>
      <t>7</t>
    </r>
    <r>
      <rPr>
        <sz val="11"/>
        <rFont val="Times New Roman"/>
        <family val="1"/>
      </rPr>
      <t>=</t>
    </r>
  </si>
  <si>
    <r>
      <rPr>
        <sz val="11"/>
        <rFont val="宋体"/>
        <charset val="134"/>
      </rPr>
      <t>基本组合：</t>
    </r>
  </si>
  <si>
    <r>
      <rPr>
        <sz val="11"/>
        <rFont val="宋体"/>
        <charset val="134"/>
      </rPr>
      <t>承载力安全系数</t>
    </r>
    <r>
      <rPr>
        <sz val="11"/>
        <rFont val="Times New Roman"/>
        <family val="1"/>
      </rPr>
      <t>:K</t>
    </r>
    <r>
      <rPr>
        <vertAlign val="subscript"/>
        <sz val="11"/>
        <rFont val="宋体"/>
        <charset val="134"/>
      </rPr>
      <t>基</t>
    </r>
    <r>
      <rPr>
        <sz val="11"/>
        <rFont val="Times New Roman"/>
        <family val="1"/>
      </rPr>
      <t>=</t>
    </r>
  </si>
  <si>
    <r>
      <rPr>
        <sz val="11"/>
        <rFont val="宋体"/>
        <charset val="134"/>
      </rPr>
      <t>偶然组合：</t>
    </r>
  </si>
  <si>
    <r>
      <rPr>
        <sz val="11"/>
        <rFont val="宋体"/>
        <charset val="134"/>
      </rPr>
      <t>承载力安全系数</t>
    </r>
    <r>
      <rPr>
        <sz val="11"/>
        <rFont val="Times New Roman"/>
        <family val="1"/>
      </rPr>
      <t>:K</t>
    </r>
    <r>
      <rPr>
        <vertAlign val="subscript"/>
        <sz val="11"/>
        <rFont val="宋体"/>
        <charset val="134"/>
      </rPr>
      <t>偶</t>
    </r>
    <r>
      <rPr>
        <sz val="11"/>
        <rFont val="Times New Roman"/>
        <family val="1"/>
      </rPr>
      <t>=</t>
    </r>
  </si>
  <si>
    <r>
      <rPr>
        <sz val="11"/>
        <rFont val="宋体"/>
        <charset val="134"/>
      </rPr>
      <t>设计工况下槽身均布荷载标准值</t>
    </r>
    <r>
      <rPr>
        <sz val="11"/>
        <rFont val="Times New Roman"/>
        <family val="1"/>
      </rPr>
      <t>q</t>
    </r>
    <r>
      <rPr>
        <vertAlign val="subscript"/>
        <sz val="11"/>
        <rFont val="Times New Roman"/>
        <family val="1"/>
      </rPr>
      <t>0s</t>
    </r>
    <r>
      <rPr>
        <sz val="11"/>
        <rFont val="Times New Roman"/>
        <family val="1"/>
      </rPr>
      <t>=</t>
    </r>
  </si>
  <si>
    <r>
      <rPr>
        <sz val="11"/>
        <rFont val="宋体"/>
        <charset val="134"/>
      </rPr>
      <t>根据是否计入顶板铺盖、栏杆等决定其相应数值</t>
    </r>
  </si>
  <si>
    <r>
      <rPr>
        <sz val="11"/>
        <rFont val="宋体"/>
        <charset val="134"/>
      </rPr>
      <t>设计工况下槽身均布荷载设计值</t>
    </r>
    <r>
      <rPr>
        <sz val="11"/>
        <rFont val="Times New Roman"/>
        <family val="1"/>
      </rPr>
      <t>qs=</t>
    </r>
  </si>
  <si>
    <r>
      <rPr>
        <sz val="11"/>
        <rFont val="宋体"/>
        <charset val="134"/>
      </rPr>
      <t>满槽工况下槽身均布荷载标准值</t>
    </r>
    <r>
      <rPr>
        <sz val="11"/>
        <rFont val="Times New Roman"/>
        <family val="1"/>
      </rPr>
      <t>q</t>
    </r>
    <r>
      <rPr>
        <vertAlign val="subscript"/>
        <sz val="11"/>
        <rFont val="Times New Roman"/>
        <family val="1"/>
      </rPr>
      <t>0m</t>
    </r>
    <r>
      <rPr>
        <sz val="11"/>
        <rFont val="Times New Roman"/>
        <family val="1"/>
      </rPr>
      <t>=</t>
    </r>
  </si>
  <si>
    <r>
      <rPr>
        <sz val="11"/>
        <rFont val="宋体"/>
        <charset val="134"/>
      </rPr>
      <t>满槽工况下槽身均布荷载设计值</t>
    </r>
    <r>
      <rPr>
        <sz val="11"/>
        <rFont val="Times New Roman"/>
        <family val="1"/>
      </rPr>
      <t>qm=</t>
    </r>
  </si>
  <si>
    <r>
      <rPr>
        <sz val="11"/>
        <rFont val="Times New Roman"/>
        <family val="1"/>
      </rPr>
      <t>K</t>
    </r>
    <r>
      <rPr>
        <vertAlign val="subscript"/>
        <sz val="11"/>
        <rFont val="宋体"/>
        <charset val="134"/>
      </rPr>
      <t>基</t>
    </r>
    <r>
      <rPr>
        <sz val="11"/>
        <rFont val="Times New Roman"/>
        <family val="1"/>
      </rPr>
      <t>q</t>
    </r>
    <r>
      <rPr>
        <vertAlign val="subscript"/>
        <sz val="11"/>
        <rFont val="Times New Roman"/>
        <family val="1"/>
      </rPr>
      <t>s</t>
    </r>
    <r>
      <rPr>
        <sz val="11"/>
        <rFont val="Times New Roman"/>
        <family val="1"/>
      </rPr>
      <t>=</t>
    </r>
  </si>
  <si>
    <r>
      <rPr>
        <sz val="11"/>
        <rFont val="Times New Roman"/>
        <family val="1"/>
      </rPr>
      <t>K</t>
    </r>
    <r>
      <rPr>
        <vertAlign val="subscript"/>
        <sz val="11"/>
        <rFont val="宋体"/>
        <charset val="134"/>
      </rPr>
      <t>偶</t>
    </r>
    <r>
      <rPr>
        <sz val="11"/>
        <rFont val="Times New Roman"/>
        <family val="1"/>
      </rPr>
      <t>q</t>
    </r>
    <r>
      <rPr>
        <vertAlign val="subscript"/>
        <sz val="11"/>
        <rFont val="Times New Roman"/>
        <family val="1"/>
      </rPr>
      <t>m</t>
    </r>
    <r>
      <rPr>
        <sz val="11"/>
        <rFont val="Times New Roman"/>
        <family val="1"/>
      </rPr>
      <t>=</t>
    </r>
  </si>
  <si>
    <r>
      <rPr>
        <sz val="11"/>
        <rFont val="宋体"/>
        <charset val="134"/>
      </rPr>
      <t>计算弯矩跨度</t>
    </r>
    <r>
      <rPr>
        <sz val="11"/>
        <rFont val="Times New Roman"/>
        <family val="1"/>
      </rPr>
      <t>l</t>
    </r>
    <r>
      <rPr>
        <vertAlign val="subscript"/>
        <sz val="11"/>
        <rFont val="Times New Roman"/>
        <family val="1"/>
      </rPr>
      <t>0</t>
    </r>
    <r>
      <rPr>
        <sz val="11"/>
        <rFont val="Times New Roman"/>
        <family val="1"/>
      </rPr>
      <t>=</t>
    </r>
  </si>
  <si>
    <r>
      <rPr>
        <sz val="11"/>
        <rFont val="宋体"/>
        <charset val="134"/>
      </rPr>
      <t>（</t>
    </r>
    <r>
      <rPr>
        <sz val="11"/>
        <rFont val="Times New Roman"/>
        <family val="1"/>
      </rPr>
      <t>0.6</t>
    </r>
    <r>
      <rPr>
        <sz val="11"/>
        <rFont val="宋体"/>
        <charset val="134"/>
      </rPr>
      <t>支座支撑宽度）</t>
    </r>
  </si>
  <si>
    <r>
      <rPr>
        <sz val="11"/>
        <rFont val="宋体"/>
        <charset val="134"/>
      </rPr>
      <t>计算剪力跨度</t>
    </r>
    <r>
      <rPr>
        <sz val="11"/>
        <rFont val="Times New Roman"/>
        <family val="1"/>
      </rPr>
      <t>l</t>
    </r>
    <r>
      <rPr>
        <vertAlign val="subscript"/>
        <sz val="11"/>
        <rFont val="Times New Roman"/>
        <family val="1"/>
      </rPr>
      <t>n</t>
    </r>
    <r>
      <rPr>
        <sz val="11"/>
        <rFont val="Times New Roman"/>
        <family val="1"/>
      </rPr>
      <t>=</t>
    </r>
  </si>
  <si>
    <r>
      <rPr>
        <sz val="11"/>
        <rFont val="宋体"/>
        <charset val="134"/>
      </rPr>
      <t>跨中弯矩标准值</t>
    </r>
    <r>
      <rPr>
        <sz val="11"/>
        <rFont val="Times New Roman"/>
        <family val="1"/>
      </rPr>
      <t>M</t>
    </r>
    <r>
      <rPr>
        <vertAlign val="subscript"/>
        <sz val="11"/>
        <rFont val="Times New Roman"/>
        <family val="1"/>
      </rPr>
      <t>ks</t>
    </r>
    <r>
      <rPr>
        <sz val="11"/>
        <rFont val="Times New Roman"/>
        <family val="1"/>
      </rPr>
      <t>=q</t>
    </r>
    <r>
      <rPr>
        <vertAlign val="subscript"/>
        <sz val="11"/>
        <rFont val="Times New Roman"/>
        <family val="1"/>
      </rPr>
      <t>0s</t>
    </r>
    <r>
      <rPr>
        <sz val="11"/>
        <rFont val="Times New Roman"/>
        <family val="1"/>
      </rPr>
      <t>l</t>
    </r>
    <r>
      <rPr>
        <vertAlign val="subscript"/>
        <sz val="11"/>
        <rFont val="Times New Roman"/>
        <family val="1"/>
      </rPr>
      <t>0</t>
    </r>
    <r>
      <rPr>
        <vertAlign val="superscript"/>
        <sz val="11"/>
        <rFont val="Times New Roman"/>
        <family val="1"/>
      </rPr>
      <t>2</t>
    </r>
    <r>
      <rPr>
        <sz val="11"/>
        <rFont val="Times New Roman"/>
        <family val="1"/>
      </rPr>
      <t>/8=</t>
    </r>
  </si>
  <si>
    <t>KN.m</t>
  </si>
  <si>
    <r>
      <rPr>
        <sz val="11"/>
        <rFont val="宋体"/>
        <charset val="134"/>
      </rPr>
      <t>最大剪力标准值</t>
    </r>
    <r>
      <rPr>
        <sz val="11"/>
        <rFont val="Times New Roman"/>
        <family val="1"/>
      </rPr>
      <t>V</t>
    </r>
    <r>
      <rPr>
        <vertAlign val="subscript"/>
        <sz val="11"/>
        <rFont val="Times New Roman"/>
        <family val="1"/>
      </rPr>
      <t>ks</t>
    </r>
    <r>
      <rPr>
        <sz val="11"/>
        <rFont val="Times New Roman"/>
        <family val="1"/>
      </rPr>
      <t>=q</t>
    </r>
    <r>
      <rPr>
        <vertAlign val="subscript"/>
        <sz val="11"/>
        <rFont val="Times New Roman"/>
        <family val="1"/>
      </rPr>
      <t>0s</t>
    </r>
    <r>
      <rPr>
        <sz val="11"/>
        <rFont val="Times New Roman"/>
        <family val="1"/>
      </rPr>
      <t>l</t>
    </r>
    <r>
      <rPr>
        <vertAlign val="subscript"/>
        <sz val="11"/>
        <rFont val="Times New Roman"/>
        <family val="1"/>
      </rPr>
      <t>n</t>
    </r>
    <r>
      <rPr>
        <sz val="11"/>
        <rFont val="Times New Roman"/>
        <family val="1"/>
      </rPr>
      <t>/2=</t>
    </r>
  </si>
  <si>
    <t>KN</t>
  </si>
  <si>
    <r>
      <rPr>
        <sz val="11"/>
        <rFont val="宋体"/>
        <charset val="134"/>
      </rPr>
      <t>跨中弯矩设计值</t>
    </r>
    <r>
      <rPr>
        <sz val="11"/>
        <rFont val="Times New Roman"/>
        <family val="1"/>
      </rPr>
      <t>M</t>
    </r>
    <r>
      <rPr>
        <vertAlign val="subscript"/>
        <sz val="11"/>
        <rFont val="Times New Roman"/>
        <family val="1"/>
      </rPr>
      <t>s</t>
    </r>
    <r>
      <rPr>
        <sz val="11"/>
        <rFont val="Times New Roman"/>
        <family val="1"/>
      </rPr>
      <t>=q</t>
    </r>
    <r>
      <rPr>
        <vertAlign val="subscript"/>
        <sz val="11"/>
        <rFont val="Times New Roman"/>
        <family val="1"/>
      </rPr>
      <t>s</t>
    </r>
    <r>
      <rPr>
        <sz val="11"/>
        <rFont val="Times New Roman"/>
        <family val="1"/>
      </rPr>
      <t>l</t>
    </r>
    <r>
      <rPr>
        <vertAlign val="subscript"/>
        <sz val="11"/>
        <rFont val="Times New Roman"/>
        <family val="1"/>
      </rPr>
      <t>0</t>
    </r>
    <r>
      <rPr>
        <vertAlign val="superscript"/>
        <sz val="11"/>
        <rFont val="Times New Roman"/>
        <family val="1"/>
      </rPr>
      <t>2</t>
    </r>
    <r>
      <rPr>
        <sz val="11"/>
        <rFont val="Times New Roman"/>
        <family val="1"/>
      </rPr>
      <t>/8=</t>
    </r>
  </si>
  <si>
    <r>
      <rPr>
        <sz val="11"/>
        <rFont val="宋体"/>
        <charset val="134"/>
      </rPr>
      <t>最大剪力设计值</t>
    </r>
    <r>
      <rPr>
        <sz val="11"/>
        <rFont val="Times New Roman"/>
        <family val="1"/>
      </rPr>
      <t>V</t>
    </r>
    <r>
      <rPr>
        <vertAlign val="subscript"/>
        <sz val="11"/>
        <rFont val="Times New Roman"/>
        <family val="1"/>
      </rPr>
      <t>s</t>
    </r>
    <r>
      <rPr>
        <sz val="11"/>
        <rFont val="Times New Roman"/>
        <family val="1"/>
      </rPr>
      <t>=q</t>
    </r>
    <r>
      <rPr>
        <vertAlign val="subscript"/>
        <sz val="11"/>
        <rFont val="Times New Roman"/>
        <family val="1"/>
      </rPr>
      <t>s</t>
    </r>
    <r>
      <rPr>
        <sz val="11"/>
        <rFont val="Times New Roman"/>
        <family val="1"/>
      </rPr>
      <t>l</t>
    </r>
    <r>
      <rPr>
        <vertAlign val="subscript"/>
        <sz val="11"/>
        <rFont val="Times New Roman"/>
        <family val="1"/>
      </rPr>
      <t>n</t>
    </r>
    <r>
      <rPr>
        <sz val="11"/>
        <rFont val="Times New Roman"/>
        <family val="1"/>
      </rPr>
      <t>/2=</t>
    </r>
  </si>
  <si>
    <r>
      <rPr>
        <sz val="12"/>
        <rFont val="Times New Roman"/>
        <family val="1"/>
      </rPr>
      <t>3.3</t>
    </r>
    <r>
      <rPr>
        <sz val="12"/>
        <rFont val="黑体"/>
        <charset val="134"/>
      </rPr>
      <t>正截面承载力计算</t>
    </r>
  </si>
  <si>
    <r>
      <rPr>
        <sz val="12"/>
        <rFont val="黑体"/>
        <charset val="134"/>
      </rPr>
      <t>将</t>
    </r>
    <r>
      <rPr>
        <sz val="12"/>
        <rFont val="Times New Roman"/>
        <family val="1"/>
      </rPr>
      <t>U</t>
    </r>
    <r>
      <rPr>
        <sz val="12"/>
        <rFont val="黑体"/>
        <charset val="134"/>
      </rPr>
      <t>型截面简化为</t>
    </r>
    <r>
      <rPr>
        <sz val="12"/>
        <rFont val="Times New Roman"/>
        <family val="1"/>
      </rPr>
      <t>T</t>
    </r>
    <r>
      <rPr>
        <sz val="12"/>
        <rFont val="黑体"/>
        <charset val="134"/>
      </rPr>
      <t>型截面</t>
    </r>
  </si>
  <si>
    <r>
      <rPr>
        <sz val="11"/>
        <color rgb="FF0000FF"/>
        <rFont val="黑体"/>
        <charset val="134"/>
      </rPr>
      <t>受拉区预应力钢绞线：</t>
    </r>
  </si>
  <si>
    <r>
      <rPr>
        <sz val="11"/>
        <rFont val="宋体"/>
        <charset val="134"/>
      </rPr>
      <t>查《水工混凝土结构设计规范》（</t>
    </r>
    <r>
      <rPr>
        <sz val="11"/>
        <rFont val="Times New Roman"/>
        <family val="1"/>
      </rPr>
      <t>SL191-2008</t>
    </r>
    <r>
      <rPr>
        <sz val="11"/>
        <rFont val="宋体"/>
        <charset val="134"/>
      </rPr>
      <t>）</t>
    </r>
  </si>
  <si>
    <r>
      <rPr>
        <sz val="11"/>
        <rFont val="宋体"/>
        <charset val="134"/>
      </rPr>
      <t>选用预应力钢绞线</t>
    </r>
    <r>
      <rPr>
        <sz val="11"/>
        <rFont val="Times New Roman"/>
        <family val="1"/>
      </rPr>
      <t xml:space="preserve"> 1X7-15.20-1860</t>
    </r>
  </si>
  <si>
    <r>
      <rPr>
        <sz val="11"/>
        <rFont val="宋体"/>
        <charset val="134"/>
      </rPr>
      <t>单根钢绞线面积</t>
    </r>
    <r>
      <rPr>
        <sz val="11"/>
        <rFont val="Times New Roman"/>
        <family val="1"/>
      </rPr>
      <t>S</t>
    </r>
    <r>
      <rPr>
        <vertAlign val="subscript"/>
        <sz val="11"/>
        <rFont val="Times New Roman"/>
        <family val="1"/>
      </rPr>
      <t>n</t>
    </r>
    <r>
      <rPr>
        <sz val="11"/>
        <rFont val="Times New Roman"/>
        <family val="1"/>
      </rPr>
      <t>=</t>
    </r>
  </si>
  <si>
    <r>
      <rPr>
        <sz val="11"/>
        <rFont val="Times New Roman"/>
        <family val="1"/>
      </rPr>
      <t>mm</t>
    </r>
    <r>
      <rPr>
        <vertAlign val="superscript"/>
        <sz val="11"/>
        <rFont val="Times New Roman"/>
        <family val="1"/>
      </rPr>
      <t>2</t>
    </r>
  </si>
  <si>
    <r>
      <rPr>
        <sz val="12"/>
        <rFont val="Times New Roman"/>
        <family val="1"/>
      </rPr>
      <t>φ</t>
    </r>
    <r>
      <rPr>
        <vertAlign val="superscript"/>
        <sz val="12"/>
        <rFont val="Times New Roman"/>
        <family val="1"/>
      </rPr>
      <t>s</t>
    </r>
    <r>
      <rPr>
        <sz val="12"/>
        <rFont val="Times New Roman"/>
        <family val="1"/>
      </rPr>
      <t>1×7</t>
    </r>
  </si>
  <si>
    <r>
      <rPr>
        <sz val="11"/>
        <color theme="1"/>
        <rFont val="宋体"/>
        <charset val="134"/>
      </rPr>
      <t>钢绞线</t>
    </r>
  </si>
  <si>
    <r>
      <rPr>
        <sz val="11"/>
        <rFont val="宋体"/>
        <charset val="134"/>
      </rPr>
      <t>单束钢绞线根数</t>
    </r>
    <r>
      <rPr>
        <sz val="11"/>
        <rFont val="Times New Roman"/>
        <family val="1"/>
      </rPr>
      <t>n=</t>
    </r>
  </si>
  <si>
    <r>
      <rPr>
        <sz val="11"/>
        <rFont val="宋体"/>
        <charset val="134"/>
      </rPr>
      <t>根</t>
    </r>
  </si>
  <si>
    <r>
      <rPr>
        <sz val="11"/>
        <rFont val="宋体"/>
        <charset val="134"/>
      </rPr>
      <t>单束钢绞线面积</t>
    </r>
    <r>
      <rPr>
        <sz val="11"/>
        <rFont val="Times New Roman"/>
        <family val="1"/>
      </rPr>
      <t>S=nS</t>
    </r>
    <r>
      <rPr>
        <vertAlign val="subscript"/>
        <sz val="11"/>
        <rFont val="Times New Roman"/>
        <family val="1"/>
      </rPr>
      <t>n</t>
    </r>
    <r>
      <rPr>
        <sz val="11"/>
        <rFont val="Times New Roman"/>
        <family val="1"/>
      </rPr>
      <t>=</t>
    </r>
  </si>
  <si>
    <t>N=</t>
  </si>
  <si>
    <r>
      <rPr>
        <sz val="11"/>
        <rFont val="宋体"/>
        <charset val="134"/>
      </rPr>
      <t>束</t>
    </r>
  </si>
  <si>
    <r>
      <rPr>
        <sz val="11"/>
        <rFont val="宋体"/>
        <charset val="134"/>
      </rPr>
      <t>受拉区预应力钢筋面积</t>
    </r>
    <r>
      <rPr>
        <sz val="11"/>
        <rFont val="Times New Roman"/>
        <family val="1"/>
      </rPr>
      <t>A</t>
    </r>
    <r>
      <rPr>
        <vertAlign val="subscript"/>
        <sz val="11"/>
        <rFont val="Times New Roman"/>
        <family val="1"/>
      </rPr>
      <t>P</t>
    </r>
    <r>
      <rPr>
        <sz val="11"/>
        <rFont val="Times New Roman"/>
        <family val="1"/>
      </rPr>
      <t>=SN=</t>
    </r>
  </si>
  <si>
    <r>
      <rPr>
        <sz val="11"/>
        <color theme="1"/>
        <rFont val="宋体"/>
        <charset val="134"/>
      </rPr>
      <t>！</t>
    </r>
  </si>
  <si>
    <r>
      <rPr>
        <sz val="11"/>
        <color rgb="FF0000FF"/>
        <rFont val="黑体"/>
        <charset val="134"/>
      </rPr>
      <t>受压区预应力钢绞线：</t>
    </r>
  </si>
  <si>
    <r>
      <rPr>
        <sz val="11"/>
        <rFont val="宋体"/>
        <charset val="134"/>
      </rPr>
      <t>单根钢绞线面积</t>
    </r>
    <r>
      <rPr>
        <sz val="11"/>
        <rFont val="Times New Roman"/>
        <family val="1"/>
      </rPr>
      <t>S'</t>
    </r>
    <r>
      <rPr>
        <vertAlign val="subscript"/>
        <sz val="11"/>
        <rFont val="Times New Roman"/>
        <family val="1"/>
      </rPr>
      <t>n</t>
    </r>
    <r>
      <rPr>
        <sz val="11"/>
        <rFont val="Times New Roman"/>
        <family val="1"/>
      </rPr>
      <t>=</t>
    </r>
  </si>
  <si>
    <r>
      <rPr>
        <sz val="11"/>
        <rFont val="宋体"/>
        <charset val="134"/>
      </rPr>
      <t>单束钢绞线根数</t>
    </r>
    <r>
      <rPr>
        <sz val="11"/>
        <rFont val="Times New Roman"/>
        <family val="1"/>
      </rPr>
      <t>n'=</t>
    </r>
  </si>
  <si>
    <r>
      <rPr>
        <sz val="11"/>
        <rFont val="宋体"/>
        <charset val="134"/>
      </rPr>
      <t>单束钢绞线面积</t>
    </r>
    <r>
      <rPr>
        <sz val="11"/>
        <rFont val="Times New Roman"/>
        <family val="1"/>
      </rPr>
      <t>S'=n'S'</t>
    </r>
    <r>
      <rPr>
        <vertAlign val="subscript"/>
        <sz val="11"/>
        <rFont val="Times New Roman"/>
        <family val="1"/>
      </rPr>
      <t>n</t>
    </r>
    <r>
      <rPr>
        <sz val="11"/>
        <rFont val="Times New Roman"/>
        <family val="1"/>
      </rPr>
      <t>=</t>
    </r>
  </si>
  <si>
    <t>N'=</t>
  </si>
  <si>
    <r>
      <rPr>
        <sz val="11"/>
        <rFont val="宋体"/>
        <charset val="134"/>
      </rPr>
      <t>受压区预应力钢筋面积</t>
    </r>
    <r>
      <rPr>
        <sz val="11"/>
        <rFont val="Times New Roman"/>
        <family val="1"/>
      </rPr>
      <t>A'</t>
    </r>
    <r>
      <rPr>
        <vertAlign val="subscript"/>
        <sz val="11"/>
        <rFont val="Times New Roman"/>
        <family val="1"/>
      </rPr>
      <t>P</t>
    </r>
    <r>
      <rPr>
        <sz val="11"/>
        <rFont val="Times New Roman"/>
        <family val="1"/>
      </rPr>
      <t>=S'N'=</t>
    </r>
  </si>
  <si>
    <r>
      <rPr>
        <sz val="11"/>
        <color rgb="FF0000FF"/>
        <rFont val="黑体"/>
        <charset val="134"/>
      </rPr>
      <t>受拉区普通钢筋：</t>
    </r>
  </si>
  <si>
    <r>
      <rPr>
        <sz val="11"/>
        <rFont val="宋体"/>
        <charset val="134"/>
      </rPr>
      <t>单根钢筋面积</t>
    </r>
    <r>
      <rPr>
        <sz val="11"/>
        <rFont val="Times New Roman"/>
        <family val="1"/>
      </rPr>
      <t>S</t>
    </r>
    <r>
      <rPr>
        <vertAlign val="subscript"/>
        <sz val="11"/>
        <rFont val="Times New Roman"/>
        <family val="1"/>
      </rPr>
      <t>1</t>
    </r>
    <r>
      <rPr>
        <sz val="11"/>
        <rFont val="Times New Roman"/>
        <family val="1"/>
      </rPr>
      <t>=</t>
    </r>
  </si>
  <si>
    <t>D=25</t>
  </si>
  <si>
    <t>mm</t>
  </si>
  <si>
    <r>
      <rPr>
        <sz val="11"/>
        <rFont val="Times New Roman"/>
        <family val="1"/>
      </rPr>
      <t>n</t>
    </r>
    <r>
      <rPr>
        <vertAlign val="subscript"/>
        <sz val="11"/>
        <rFont val="Times New Roman"/>
        <family val="1"/>
      </rPr>
      <t>1</t>
    </r>
    <r>
      <rPr>
        <sz val="11"/>
        <rFont val="Times New Roman"/>
        <family val="1"/>
      </rPr>
      <t>=</t>
    </r>
  </si>
  <si>
    <t>HRB400</t>
  </si>
  <si>
    <r>
      <rPr>
        <sz val="11"/>
        <rFont val="宋体"/>
        <charset val="134"/>
      </rPr>
      <t>受拉区普通钢筋面积</t>
    </r>
    <r>
      <rPr>
        <sz val="11"/>
        <rFont val="Times New Roman"/>
        <family val="1"/>
      </rPr>
      <t>A</t>
    </r>
    <r>
      <rPr>
        <vertAlign val="subscript"/>
        <sz val="11"/>
        <rFont val="Times New Roman"/>
        <family val="1"/>
      </rPr>
      <t>s</t>
    </r>
    <r>
      <rPr>
        <sz val="11"/>
        <rFont val="Times New Roman"/>
        <family val="1"/>
      </rPr>
      <t>=n</t>
    </r>
    <r>
      <rPr>
        <vertAlign val="subscript"/>
        <sz val="11"/>
        <rFont val="Times New Roman"/>
        <family val="1"/>
      </rPr>
      <t>1</t>
    </r>
    <r>
      <rPr>
        <sz val="11"/>
        <rFont val="Times New Roman"/>
        <family val="1"/>
      </rPr>
      <t>S</t>
    </r>
    <r>
      <rPr>
        <vertAlign val="subscript"/>
        <sz val="11"/>
        <rFont val="Times New Roman"/>
        <family val="1"/>
      </rPr>
      <t>1</t>
    </r>
    <r>
      <rPr>
        <sz val="11"/>
        <rFont val="Times New Roman"/>
        <family val="1"/>
      </rPr>
      <t>=</t>
    </r>
  </si>
  <si>
    <r>
      <rPr>
        <sz val="11"/>
        <color rgb="FF0000FF"/>
        <rFont val="黑体"/>
        <charset val="134"/>
      </rPr>
      <t>受压区普通钢筋：</t>
    </r>
  </si>
  <si>
    <r>
      <rPr>
        <sz val="11"/>
        <rFont val="宋体"/>
        <charset val="134"/>
      </rPr>
      <t>单根钢筋面积</t>
    </r>
    <r>
      <rPr>
        <sz val="11"/>
        <rFont val="Times New Roman"/>
        <family val="1"/>
      </rPr>
      <t>S'</t>
    </r>
    <r>
      <rPr>
        <vertAlign val="subscript"/>
        <sz val="11"/>
        <rFont val="Times New Roman"/>
        <family val="1"/>
      </rPr>
      <t>1</t>
    </r>
    <r>
      <rPr>
        <sz val="11"/>
        <rFont val="Times New Roman"/>
        <family val="1"/>
      </rPr>
      <t>=</t>
    </r>
  </si>
  <si>
    <r>
      <rPr>
        <sz val="11"/>
        <rFont val="Times New Roman"/>
        <family val="1"/>
      </rPr>
      <t>n'</t>
    </r>
    <r>
      <rPr>
        <vertAlign val="subscript"/>
        <sz val="11"/>
        <rFont val="Times New Roman"/>
        <family val="1"/>
      </rPr>
      <t>1</t>
    </r>
    <r>
      <rPr>
        <sz val="11"/>
        <rFont val="Times New Roman"/>
        <family val="1"/>
      </rPr>
      <t>=</t>
    </r>
  </si>
  <si>
    <r>
      <rPr>
        <sz val="11"/>
        <rFont val="宋体"/>
        <charset val="134"/>
      </rPr>
      <t>受压区普通钢筋面积</t>
    </r>
    <r>
      <rPr>
        <sz val="11"/>
        <rFont val="Times New Roman"/>
        <family val="1"/>
      </rPr>
      <t>A</t>
    </r>
    <r>
      <rPr>
        <vertAlign val="superscript"/>
        <sz val="11"/>
        <rFont val="Times New Roman"/>
        <family val="1"/>
      </rPr>
      <t>'</t>
    </r>
    <r>
      <rPr>
        <vertAlign val="subscript"/>
        <sz val="11"/>
        <rFont val="Times New Roman"/>
        <family val="1"/>
      </rPr>
      <t>s</t>
    </r>
    <r>
      <rPr>
        <sz val="11"/>
        <rFont val="Times New Roman"/>
        <family val="1"/>
      </rPr>
      <t>=n'</t>
    </r>
    <r>
      <rPr>
        <vertAlign val="subscript"/>
        <sz val="11"/>
        <rFont val="Times New Roman"/>
        <family val="1"/>
      </rPr>
      <t>1</t>
    </r>
    <r>
      <rPr>
        <sz val="11"/>
        <rFont val="Times New Roman"/>
        <family val="1"/>
      </rPr>
      <t>S'</t>
    </r>
    <r>
      <rPr>
        <vertAlign val="subscript"/>
        <sz val="11"/>
        <rFont val="Times New Roman"/>
        <family val="1"/>
      </rPr>
      <t>1</t>
    </r>
    <r>
      <rPr>
        <sz val="11"/>
        <rFont val="Times New Roman"/>
        <family val="1"/>
      </rPr>
      <t>=</t>
    </r>
  </si>
  <si>
    <r>
      <rPr>
        <sz val="11"/>
        <rFont val="宋体"/>
        <charset val="134"/>
      </rPr>
      <t>上翼缘宽度</t>
    </r>
    <r>
      <rPr>
        <sz val="11"/>
        <rFont val="Times New Roman"/>
        <family val="1"/>
      </rPr>
      <t>b</t>
    </r>
    <r>
      <rPr>
        <vertAlign val="superscript"/>
        <sz val="11"/>
        <rFont val="宋体"/>
        <charset val="134"/>
      </rPr>
      <t>′</t>
    </r>
    <r>
      <rPr>
        <sz val="11"/>
        <rFont val="Times New Roman"/>
        <family val="1"/>
      </rPr>
      <t>f=2(a+t)=</t>
    </r>
  </si>
  <si>
    <r>
      <rPr>
        <sz val="11"/>
        <rFont val="宋体"/>
        <charset val="134"/>
      </rPr>
      <t>上翼缘高度</t>
    </r>
    <r>
      <rPr>
        <sz val="11"/>
        <rFont val="Times New Roman"/>
        <family val="1"/>
      </rPr>
      <t>h</t>
    </r>
    <r>
      <rPr>
        <vertAlign val="superscript"/>
        <sz val="11"/>
        <rFont val="宋体"/>
        <charset val="134"/>
      </rPr>
      <t>′</t>
    </r>
    <r>
      <rPr>
        <sz val="11"/>
        <rFont val="Times New Roman"/>
        <family val="1"/>
      </rPr>
      <t>f=0.5(b+b+c)=</t>
    </r>
  </si>
  <si>
    <r>
      <rPr>
        <sz val="11"/>
        <rFont val="宋体"/>
        <charset val="134"/>
      </rPr>
      <t>腹板宽度</t>
    </r>
    <r>
      <rPr>
        <sz val="11"/>
        <rFont val="Times New Roman"/>
        <family val="1"/>
      </rPr>
      <t>b=2t=</t>
    </r>
  </si>
  <si>
    <r>
      <rPr>
        <sz val="11"/>
        <rFont val="宋体"/>
        <charset val="134"/>
      </rPr>
      <t>单根钢绞线</t>
    </r>
    <r>
      <rPr>
        <sz val="11"/>
        <color rgb="FFFF0000"/>
        <rFont val="宋体"/>
        <charset val="134"/>
      </rPr>
      <t>公称</t>
    </r>
    <r>
      <rPr>
        <sz val="11"/>
        <rFont val="宋体"/>
        <charset val="134"/>
      </rPr>
      <t>直径</t>
    </r>
    <r>
      <rPr>
        <sz val="11"/>
        <rFont val="Times New Roman"/>
        <family val="1"/>
      </rPr>
      <t>d=</t>
    </r>
  </si>
  <si>
    <r>
      <rPr>
        <sz val="11"/>
        <rFont val="宋体"/>
        <charset val="134"/>
      </rPr>
      <t>受拉区单束钢绞线</t>
    </r>
    <r>
      <rPr>
        <sz val="11"/>
        <color rgb="FFFF0000"/>
        <rFont val="宋体"/>
        <charset val="134"/>
      </rPr>
      <t>公称</t>
    </r>
    <r>
      <rPr>
        <sz val="11"/>
        <rFont val="宋体"/>
        <charset val="134"/>
      </rPr>
      <t>直径</t>
    </r>
    <r>
      <rPr>
        <sz val="11"/>
        <rFont val="Times New Roman"/>
        <family val="1"/>
      </rPr>
      <t>d</t>
    </r>
    <r>
      <rPr>
        <vertAlign val="subscript"/>
        <sz val="11"/>
        <rFont val="Times New Roman"/>
        <family val="1"/>
      </rPr>
      <t>l</t>
    </r>
    <r>
      <rPr>
        <sz val="11"/>
        <rFont val="Times New Roman"/>
        <family val="1"/>
      </rPr>
      <t>=</t>
    </r>
  </si>
  <si>
    <r>
      <rPr>
        <sz val="11"/>
        <rFont val="宋体"/>
        <charset val="134"/>
      </rPr>
      <t>受拉区单</t>
    </r>
    <r>
      <rPr>
        <sz val="11"/>
        <color rgb="FFFF0000"/>
        <rFont val="宋体"/>
        <charset val="134"/>
      </rPr>
      <t>束</t>
    </r>
    <r>
      <rPr>
        <sz val="11"/>
        <rFont val="宋体"/>
        <charset val="134"/>
      </rPr>
      <t>孔道</t>
    </r>
    <r>
      <rPr>
        <sz val="11"/>
        <rFont val="Times New Roman"/>
        <family val="1"/>
      </rPr>
      <t>d</t>
    </r>
    <r>
      <rPr>
        <vertAlign val="subscript"/>
        <sz val="11"/>
        <rFont val="宋体"/>
        <charset val="134"/>
      </rPr>
      <t>孔</t>
    </r>
    <r>
      <rPr>
        <vertAlign val="subscript"/>
        <sz val="11"/>
        <rFont val="Times New Roman"/>
        <family val="1"/>
      </rPr>
      <t>l</t>
    </r>
    <r>
      <rPr>
        <sz val="11"/>
        <rFont val="Times New Roman"/>
        <family val="1"/>
      </rPr>
      <t>=</t>
    </r>
  </si>
  <si>
    <r>
      <rPr>
        <sz val="11"/>
        <color rgb="FF0000FF"/>
        <rFont val="宋体"/>
        <charset val="134"/>
      </rPr>
      <t>孔道直径应比预应力钢筋束外径大</t>
    </r>
    <r>
      <rPr>
        <sz val="11"/>
        <color rgb="FF0000FF"/>
        <rFont val="Times New Roman"/>
        <family val="1"/>
      </rPr>
      <t>10</t>
    </r>
    <r>
      <rPr>
        <sz val="11"/>
        <color rgb="FF0000FF"/>
        <rFont val="宋体"/>
        <charset val="134"/>
      </rPr>
      <t>～</t>
    </r>
    <r>
      <rPr>
        <sz val="11"/>
        <color rgb="FF0000FF"/>
        <rFont val="Times New Roman"/>
        <family val="1"/>
      </rPr>
      <t>15mm</t>
    </r>
  </si>
  <si>
    <r>
      <rPr>
        <sz val="11"/>
        <color rgb="FF0000FF"/>
        <rFont val="宋体"/>
        <charset val="134"/>
      </rPr>
      <t>贵州按单根，一分院按单束换算公称直径？</t>
    </r>
  </si>
  <si>
    <r>
      <rPr>
        <sz val="11"/>
        <color rgb="FF0000FF"/>
        <rFont val="宋体"/>
        <charset val="134"/>
      </rPr>
      <t>红色字体为我自己改的</t>
    </r>
  </si>
  <si>
    <r>
      <rPr>
        <sz val="11"/>
        <rFont val="Times New Roman"/>
        <family val="1"/>
      </rPr>
      <t>A</t>
    </r>
    <r>
      <rPr>
        <vertAlign val="subscript"/>
        <sz val="11"/>
        <rFont val="Times New Roman"/>
        <family val="1"/>
      </rPr>
      <t>k</t>
    </r>
    <r>
      <rPr>
        <sz val="11"/>
        <rFont val="Times New Roman"/>
        <family val="1"/>
      </rPr>
      <t>=N(πd</t>
    </r>
    <r>
      <rPr>
        <vertAlign val="superscript"/>
        <sz val="11"/>
        <rFont val="Times New Roman"/>
        <family val="1"/>
      </rPr>
      <t>2</t>
    </r>
    <r>
      <rPr>
        <vertAlign val="subscript"/>
        <sz val="11"/>
        <rFont val="宋体"/>
        <charset val="134"/>
      </rPr>
      <t>孔</t>
    </r>
    <r>
      <rPr>
        <sz val="11"/>
        <rFont val="Times New Roman"/>
        <family val="1"/>
      </rPr>
      <t>/4)=</t>
    </r>
  </si>
  <si>
    <r>
      <rPr>
        <sz val="11"/>
        <rFont val="宋体"/>
        <charset val="134"/>
      </rPr>
      <t>受压区单</t>
    </r>
    <r>
      <rPr>
        <sz val="11"/>
        <color rgb="FFFF0000"/>
        <rFont val="宋体"/>
        <charset val="134"/>
      </rPr>
      <t>束</t>
    </r>
    <r>
      <rPr>
        <sz val="11"/>
        <rFont val="宋体"/>
        <charset val="134"/>
      </rPr>
      <t>钢绞线公称直径</t>
    </r>
    <r>
      <rPr>
        <sz val="11"/>
        <rFont val="Times New Roman"/>
        <family val="1"/>
      </rPr>
      <t>d</t>
    </r>
    <r>
      <rPr>
        <vertAlign val="subscript"/>
        <sz val="11"/>
        <rFont val="Times New Roman"/>
        <family val="1"/>
      </rPr>
      <t>y</t>
    </r>
    <r>
      <rPr>
        <sz val="11"/>
        <rFont val="Times New Roman"/>
        <family val="1"/>
      </rPr>
      <t>=</t>
    </r>
  </si>
  <si>
    <r>
      <rPr>
        <sz val="11"/>
        <rFont val="宋体"/>
        <charset val="134"/>
      </rPr>
      <t>受压区单</t>
    </r>
    <r>
      <rPr>
        <sz val="11"/>
        <color rgb="FFFF0000"/>
        <rFont val="宋体"/>
        <charset val="134"/>
      </rPr>
      <t>束</t>
    </r>
    <r>
      <rPr>
        <sz val="11"/>
        <rFont val="宋体"/>
        <charset val="134"/>
      </rPr>
      <t>孔道</t>
    </r>
    <r>
      <rPr>
        <sz val="11"/>
        <rFont val="Times New Roman"/>
        <family val="1"/>
      </rPr>
      <t>d</t>
    </r>
    <r>
      <rPr>
        <vertAlign val="subscript"/>
        <sz val="11"/>
        <rFont val="宋体"/>
        <charset val="134"/>
      </rPr>
      <t>孔</t>
    </r>
    <r>
      <rPr>
        <vertAlign val="subscript"/>
        <sz val="11"/>
        <rFont val="Times New Roman"/>
        <family val="1"/>
      </rPr>
      <t>y</t>
    </r>
    <r>
      <rPr>
        <sz val="11"/>
        <rFont val="Times New Roman"/>
        <family val="1"/>
      </rPr>
      <t>=</t>
    </r>
  </si>
  <si>
    <r>
      <rPr>
        <sz val="11"/>
        <rFont val="Times New Roman"/>
        <family val="1"/>
      </rPr>
      <t>A</t>
    </r>
    <r>
      <rPr>
        <vertAlign val="superscript"/>
        <sz val="11"/>
        <rFont val="Times New Roman"/>
        <family val="1"/>
      </rPr>
      <t>'</t>
    </r>
    <r>
      <rPr>
        <vertAlign val="subscript"/>
        <sz val="11"/>
        <rFont val="Times New Roman"/>
        <family val="1"/>
      </rPr>
      <t>k</t>
    </r>
    <r>
      <rPr>
        <sz val="11"/>
        <rFont val="Times New Roman"/>
        <family val="1"/>
      </rPr>
      <t>=N</t>
    </r>
    <r>
      <rPr>
        <vertAlign val="superscript"/>
        <sz val="11"/>
        <rFont val="Times New Roman"/>
        <family val="1"/>
      </rPr>
      <t>'</t>
    </r>
    <r>
      <rPr>
        <sz val="11"/>
        <rFont val="Times New Roman"/>
        <family val="1"/>
      </rPr>
      <t>(πd</t>
    </r>
    <r>
      <rPr>
        <vertAlign val="superscript"/>
        <sz val="11"/>
        <rFont val="Times New Roman"/>
        <family val="1"/>
      </rPr>
      <t>2</t>
    </r>
    <r>
      <rPr>
        <vertAlign val="subscript"/>
        <sz val="11"/>
        <rFont val="宋体"/>
        <charset val="134"/>
      </rPr>
      <t>孔</t>
    </r>
    <r>
      <rPr>
        <sz val="11"/>
        <rFont val="Times New Roman"/>
        <family val="1"/>
      </rPr>
      <t>/4)=</t>
    </r>
  </si>
  <si>
    <r>
      <rPr>
        <sz val="11"/>
        <rFont val="Times New Roman"/>
        <family val="1"/>
      </rPr>
      <t>A</t>
    </r>
    <r>
      <rPr>
        <vertAlign val="subscript"/>
        <sz val="11"/>
        <rFont val="Times New Roman"/>
        <family val="1"/>
      </rPr>
      <t>m</t>
    </r>
    <r>
      <rPr>
        <sz val="11"/>
        <rFont val="Times New Roman"/>
        <family val="1"/>
      </rPr>
      <t>=A</t>
    </r>
    <r>
      <rPr>
        <vertAlign val="subscript"/>
        <sz val="11"/>
        <rFont val="Times New Roman"/>
        <family val="1"/>
      </rPr>
      <t>k</t>
    </r>
    <r>
      <rPr>
        <sz val="11"/>
        <rFont val="Times New Roman"/>
        <family val="1"/>
      </rPr>
      <t>+A</t>
    </r>
    <r>
      <rPr>
        <vertAlign val="superscript"/>
        <sz val="11"/>
        <rFont val="Times New Roman"/>
        <family val="1"/>
      </rPr>
      <t>'</t>
    </r>
    <r>
      <rPr>
        <vertAlign val="subscript"/>
        <sz val="11"/>
        <rFont val="Times New Roman"/>
        <family val="1"/>
      </rPr>
      <t>k</t>
    </r>
    <r>
      <rPr>
        <sz val="11"/>
        <rFont val="Times New Roman"/>
        <family val="1"/>
      </rPr>
      <t>=</t>
    </r>
  </si>
  <si>
    <r>
      <rPr>
        <sz val="11"/>
        <rFont val="宋体"/>
        <charset val="134"/>
      </rPr>
      <t>预应力钢筋</t>
    </r>
    <r>
      <rPr>
        <sz val="11"/>
        <rFont val="Times New Roman"/>
        <family val="1"/>
      </rPr>
      <t>α</t>
    </r>
    <r>
      <rPr>
        <vertAlign val="subscript"/>
        <sz val="11"/>
        <rFont val="Times New Roman"/>
        <family val="1"/>
      </rPr>
      <t>P</t>
    </r>
    <r>
      <rPr>
        <sz val="11"/>
        <rFont val="Times New Roman"/>
        <family val="1"/>
      </rPr>
      <t>=E</t>
    </r>
    <r>
      <rPr>
        <vertAlign val="subscript"/>
        <sz val="11"/>
        <rFont val="Times New Roman"/>
        <family val="1"/>
      </rPr>
      <t>p</t>
    </r>
    <r>
      <rPr>
        <sz val="11"/>
        <rFont val="Times New Roman"/>
        <family val="1"/>
      </rPr>
      <t>/E</t>
    </r>
    <r>
      <rPr>
        <vertAlign val="subscript"/>
        <sz val="11"/>
        <rFont val="Times New Roman"/>
        <family val="1"/>
      </rPr>
      <t>c</t>
    </r>
    <r>
      <rPr>
        <sz val="11"/>
        <rFont val="Times New Roman"/>
        <family val="1"/>
      </rPr>
      <t>=</t>
    </r>
  </si>
  <si>
    <r>
      <rPr>
        <sz val="11"/>
        <rFont val="宋体"/>
        <charset val="134"/>
      </rPr>
      <t>普通钢筋</t>
    </r>
    <r>
      <rPr>
        <sz val="11"/>
        <rFont val="Times New Roman"/>
        <family val="1"/>
      </rPr>
      <t>α</t>
    </r>
    <r>
      <rPr>
        <vertAlign val="subscript"/>
        <sz val="11"/>
        <rFont val="Times New Roman"/>
        <family val="1"/>
      </rPr>
      <t>E</t>
    </r>
    <r>
      <rPr>
        <sz val="11"/>
        <rFont val="Times New Roman"/>
        <family val="1"/>
      </rPr>
      <t>=E</t>
    </r>
    <r>
      <rPr>
        <vertAlign val="subscript"/>
        <sz val="11"/>
        <rFont val="Times New Roman"/>
        <family val="1"/>
      </rPr>
      <t>s</t>
    </r>
    <r>
      <rPr>
        <sz val="11"/>
        <rFont val="Times New Roman"/>
        <family val="1"/>
      </rPr>
      <t>/E</t>
    </r>
    <r>
      <rPr>
        <vertAlign val="subscript"/>
        <sz val="11"/>
        <rFont val="Times New Roman"/>
        <family val="1"/>
      </rPr>
      <t>c</t>
    </r>
    <r>
      <rPr>
        <sz val="11"/>
        <rFont val="Times New Roman"/>
        <family val="1"/>
      </rPr>
      <t>=</t>
    </r>
  </si>
  <si>
    <r>
      <rPr>
        <sz val="11"/>
        <rFont val="Times New Roman"/>
        <family val="1"/>
      </rPr>
      <t>α</t>
    </r>
    <r>
      <rPr>
        <vertAlign val="subscript"/>
        <sz val="11"/>
        <rFont val="Times New Roman"/>
        <family val="1"/>
      </rPr>
      <t>E</t>
    </r>
    <r>
      <rPr>
        <sz val="11"/>
        <rFont val="Times New Roman"/>
        <family val="1"/>
      </rPr>
      <t>(A</t>
    </r>
    <r>
      <rPr>
        <vertAlign val="subscript"/>
        <sz val="11"/>
        <rFont val="Times New Roman"/>
        <family val="1"/>
      </rPr>
      <t>s</t>
    </r>
    <r>
      <rPr>
        <sz val="11"/>
        <rFont val="Times New Roman"/>
        <family val="1"/>
      </rPr>
      <t>+A</t>
    </r>
    <r>
      <rPr>
        <vertAlign val="superscript"/>
        <sz val="11"/>
        <rFont val="宋体"/>
        <charset val="134"/>
      </rPr>
      <t>′</t>
    </r>
    <r>
      <rPr>
        <vertAlign val="subscript"/>
        <sz val="11"/>
        <rFont val="Times New Roman"/>
        <family val="1"/>
      </rPr>
      <t>s</t>
    </r>
    <r>
      <rPr>
        <sz val="11"/>
        <rFont val="Times New Roman"/>
        <family val="1"/>
      </rPr>
      <t>)=</t>
    </r>
  </si>
  <si>
    <r>
      <rPr>
        <sz val="11"/>
        <rFont val="宋体"/>
        <charset val="134"/>
      </rPr>
      <t>净截面面积</t>
    </r>
    <r>
      <rPr>
        <sz val="11"/>
        <rFont val="Times New Roman"/>
        <family val="1"/>
      </rPr>
      <t>A</t>
    </r>
    <r>
      <rPr>
        <vertAlign val="subscript"/>
        <sz val="11"/>
        <rFont val="Times New Roman"/>
        <family val="1"/>
      </rPr>
      <t>n</t>
    </r>
    <r>
      <rPr>
        <sz val="11"/>
        <rFont val="Times New Roman"/>
        <family val="1"/>
      </rPr>
      <t>=A</t>
    </r>
    <r>
      <rPr>
        <vertAlign val="subscript"/>
        <sz val="11"/>
        <rFont val="Times New Roman"/>
        <family val="1"/>
      </rPr>
      <t>c</t>
    </r>
    <r>
      <rPr>
        <sz val="11"/>
        <rFont val="Times New Roman"/>
        <family val="1"/>
      </rPr>
      <t>-A</t>
    </r>
    <r>
      <rPr>
        <vertAlign val="subscript"/>
        <sz val="11"/>
        <rFont val="Times New Roman"/>
        <family val="1"/>
      </rPr>
      <t>m</t>
    </r>
    <r>
      <rPr>
        <sz val="11"/>
        <rFont val="Times New Roman"/>
        <family val="1"/>
      </rPr>
      <t>+α</t>
    </r>
    <r>
      <rPr>
        <vertAlign val="subscript"/>
        <sz val="11"/>
        <rFont val="Times New Roman"/>
        <family val="1"/>
      </rPr>
      <t>E</t>
    </r>
    <r>
      <rPr>
        <sz val="11"/>
        <rFont val="Times New Roman"/>
        <family val="1"/>
      </rPr>
      <t>(A</t>
    </r>
    <r>
      <rPr>
        <vertAlign val="subscript"/>
        <sz val="11"/>
        <rFont val="Times New Roman"/>
        <family val="1"/>
      </rPr>
      <t>s</t>
    </r>
    <r>
      <rPr>
        <sz val="11"/>
        <rFont val="Times New Roman"/>
        <family val="1"/>
      </rPr>
      <t>+A</t>
    </r>
    <r>
      <rPr>
        <sz val="11"/>
        <rFont val="宋体"/>
        <charset val="134"/>
      </rPr>
      <t>′</t>
    </r>
    <r>
      <rPr>
        <sz val="11"/>
        <rFont val="Times New Roman"/>
        <family val="1"/>
      </rPr>
      <t>s)=</t>
    </r>
  </si>
  <si>
    <r>
      <rPr>
        <sz val="11"/>
        <rFont val="宋体"/>
        <charset val="134"/>
      </rPr>
      <t>保护层厚度</t>
    </r>
    <r>
      <rPr>
        <sz val="11"/>
        <rFont val="Times New Roman"/>
        <family val="1"/>
      </rPr>
      <t>c=</t>
    </r>
  </si>
  <si>
    <r>
      <rPr>
        <sz val="11"/>
        <rFont val="宋体"/>
        <charset val="134"/>
      </rPr>
      <t>普通受拉钢筋合力点至受拉边缘的距离</t>
    </r>
    <r>
      <rPr>
        <sz val="11"/>
        <rFont val="Times New Roman"/>
        <family val="1"/>
      </rPr>
      <t>a</t>
    </r>
    <r>
      <rPr>
        <vertAlign val="subscript"/>
        <sz val="11"/>
        <rFont val="Times New Roman"/>
        <family val="1"/>
      </rPr>
      <t>s</t>
    </r>
    <r>
      <rPr>
        <sz val="11"/>
        <rFont val="Times New Roman"/>
        <family val="1"/>
      </rPr>
      <t>=</t>
    </r>
  </si>
  <si>
    <r>
      <rPr>
        <sz val="11"/>
        <color theme="1"/>
        <rFont val="宋体"/>
        <charset val="134"/>
      </rPr>
      <t>初算</t>
    </r>
  </si>
  <si>
    <r>
      <rPr>
        <sz val="11"/>
        <rFont val="宋体"/>
        <charset val="134"/>
      </rPr>
      <t>普通受压钢筋合力点至受压边缘的距离</t>
    </r>
    <r>
      <rPr>
        <sz val="11"/>
        <rFont val="Times New Roman"/>
        <family val="1"/>
      </rPr>
      <t>a'</t>
    </r>
    <r>
      <rPr>
        <vertAlign val="subscript"/>
        <sz val="11"/>
        <rFont val="Times New Roman"/>
        <family val="1"/>
      </rPr>
      <t>s</t>
    </r>
    <r>
      <rPr>
        <sz val="11"/>
        <rFont val="Times New Roman"/>
        <family val="1"/>
      </rPr>
      <t>=</t>
    </r>
  </si>
  <si>
    <r>
      <rPr>
        <sz val="11"/>
        <rFont val="宋体"/>
        <charset val="134"/>
      </rPr>
      <t>受压区全部纵向钢筋合力点至受压边缘的距离</t>
    </r>
    <r>
      <rPr>
        <sz val="11"/>
        <rFont val="Times New Roman"/>
        <family val="1"/>
      </rPr>
      <t>a'=</t>
    </r>
  </si>
  <si>
    <r>
      <rPr>
        <sz val="11"/>
        <rFont val="宋体"/>
        <charset val="134"/>
      </rPr>
      <t>受压区纵向预应力钢筋合力点至受压边缘的距离</t>
    </r>
    <r>
      <rPr>
        <sz val="11"/>
        <rFont val="Times New Roman"/>
        <family val="1"/>
      </rPr>
      <t>a'</t>
    </r>
    <r>
      <rPr>
        <vertAlign val="subscript"/>
        <sz val="11"/>
        <rFont val="Times New Roman"/>
        <family val="1"/>
      </rPr>
      <t>p</t>
    </r>
    <r>
      <rPr>
        <sz val="11"/>
        <rFont val="Times New Roman"/>
        <family val="1"/>
      </rPr>
      <t>=</t>
    </r>
  </si>
  <si>
    <r>
      <rPr>
        <sz val="11"/>
        <rFont val="宋体"/>
        <charset val="134"/>
      </rPr>
      <t>受拉区纵向预应力钢筋合力点至受拉边缘的距离</t>
    </r>
    <r>
      <rPr>
        <sz val="11"/>
        <rFont val="Times New Roman"/>
        <family val="1"/>
      </rPr>
      <t>a</t>
    </r>
    <r>
      <rPr>
        <vertAlign val="subscript"/>
        <sz val="11"/>
        <rFont val="Times New Roman"/>
        <family val="1"/>
      </rPr>
      <t>p</t>
    </r>
    <r>
      <rPr>
        <sz val="11"/>
        <rFont val="Times New Roman"/>
        <family val="1"/>
      </rPr>
      <t>=</t>
    </r>
  </si>
  <si>
    <r>
      <rPr>
        <sz val="11"/>
        <rFont val="宋体"/>
        <charset val="134"/>
      </rPr>
      <t>受拉区全部纵向钢筋合力点至受拉边缘的距离</t>
    </r>
    <r>
      <rPr>
        <sz val="11"/>
        <rFont val="Times New Roman"/>
        <family val="1"/>
      </rPr>
      <t>a=</t>
    </r>
  </si>
  <si>
    <r>
      <rPr>
        <sz val="11"/>
        <rFont val="宋体"/>
        <charset val="134"/>
      </rPr>
      <t>截面有效高度</t>
    </r>
    <r>
      <rPr>
        <sz val="11"/>
        <rFont val="Times New Roman"/>
        <family val="1"/>
      </rPr>
      <t>h</t>
    </r>
    <r>
      <rPr>
        <vertAlign val="subscript"/>
        <sz val="11"/>
        <rFont val="Times New Roman"/>
        <family val="1"/>
      </rPr>
      <t>0</t>
    </r>
    <r>
      <rPr>
        <sz val="11"/>
        <rFont val="Times New Roman"/>
        <family val="1"/>
      </rPr>
      <t>=</t>
    </r>
  </si>
  <si>
    <r>
      <rPr>
        <sz val="11"/>
        <rFont val="黑体"/>
        <charset val="134"/>
      </rPr>
      <t>混凝土净截面重心至受压边缘的距离</t>
    </r>
    <r>
      <rPr>
        <sz val="11"/>
        <rFont val="Times New Roman"/>
        <family val="1"/>
      </rPr>
      <t>y</t>
    </r>
    <r>
      <rPr>
        <vertAlign val="subscript"/>
        <sz val="11"/>
        <rFont val="Times New Roman"/>
        <family val="1"/>
      </rPr>
      <t>n1</t>
    </r>
    <r>
      <rPr>
        <sz val="11"/>
        <rFont val="Times New Roman"/>
        <family val="1"/>
      </rPr>
      <t>=</t>
    </r>
  </si>
  <si>
    <r>
      <rPr>
        <sz val="11"/>
        <rFont val="宋体"/>
        <charset val="134"/>
      </rPr>
      <t>混凝土净截面重心至受拉边缘的距离</t>
    </r>
    <r>
      <rPr>
        <sz val="11"/>
        <rFont val="Times New Roman"/>
        <family val="1"/>
      </rPr>
      <t>y</t>
    </r>
    <r>
      <rPr>
        <vertAlign val="subscript"/>
        <sz val="11"/>
        <rFont val="Times New Roman"/>
        <family val="1"/>
      </rPr>
      <t>n2</t>
    </r>
    <r>
      <rPr>
        <sz val="11"/>
        <rFont val="Times New Roman"/>
        <family val="1"/>
      </rPr>
      <t>=h-y</t>
    </r>
    <r>
      <rPr>
        <vertAlign val="subscript"/>
        <sz val="11"/>
        <rFont val="Times New Roman"/>
        <family val="1"/>
      </rPr>
      <t>n1</t>
    </r>
    <r>
      <rPr>
        <sz val="11"/>
        <rFont val="Times New Roman"/>
        <family val="1"/>
      </rPr>
      <t>=</t>
    </r>
  </si>
  <si>
    <r>
      <rPr>
        <sz val="11"/>
        <rFont val="黑体"/>
        <charset val="134"/>
      </rPr>
      <t>净截面的惯性矩</t>
    </r>
    <r>
      <rPr>
        <sz val="11"/>
        <rFont val="Times New Roman"/>
        <family val="1"/>
      </rPr>
      <t>I</t>
    </r>
    <r>
      <rPr>
        <vertAlign val="subscript"/>
        <sz val="11"/>
        <rFont val="Times New Roman"/>
        <family val="1"/>
      </rPr>
      <t>n</t>
    </r>
    <r>
      <rPr>
        <sz val="11"/>
        <rFont val="Times New Roman"/>
        <family val="1"/>
      </rPr>
      <t>:</t>
    </r>
  </si>
  <si>
    <r>
      <rPr>
        <sz val="11"/>
        <color theme="1"/>
        <rFont val="宋体"/>
        <charset val="134"/>
      </rPr>
      <t>公式尚少了</t>
    </r>
    <r>
      <rPr>
        <sz val="11"/>
        <color theme="1"/>
        <rFont val="Times New Roman"/>
        <family val="1"/>
      </rPr>
      <t>A</t>
    </r>
    <r>
      <rPr>
        <vertAlign val="subscript"/>
        <sz val="11"/>
        <color theme="1"/>
        <rFont val="Times New Roman"/>
        <family val="1"/>
      </rPr>
      <t>c</t>
    </r>
    <r>
      <rPr>
        <sz val="11"/>
        <color theme="1"/>
        <rFont val="Times New Roman"/>
        <family val="1"/>
      </rPr>
      <t>(y</t>
    </r>
    <r>
      <rPr>
        <vertAlign val="subscript"/>
        <sz val="11"/>
        <color theme="1"/>
        <rFont val="Times New Roman"/>
        <family val="1"/>
      </rPr>
      <t>1</t>
    </r>
    <r>
      <rPr>
        <sz val="11"/>
        <color theme="1"/>
        <rFont val="Times New Roman"/>
        <family val="1"/>
      </rPr>
      <t>-y</t>
    </r>
    <r>
      <rPr>
        <vertAlign val="subscript"/>
        <sz val="11"/>
        <color theme="1"/>
        <rFont val="Times New Roman"/>
        <family val="1"/>
      </rPr>
      <t>n1</t>
    </r>
    <r>
      <rPr>
        <sz val="11"/>
        <color theme="1"/>
        <rFont val="Times New Roman"/>
        <family val="1"/>
      </rPr>
      <t>)</t>
    </r>
    <r>
      <rPr>
        <vertAlign val="superscript"/>
        <sz val="11"/>
        <color theme="1"/>
        <rFont val="Times New Roman"/>
        <family val="1"/>
      </rPr>
      <t>2</t>
    </r>
    <r>
      <rPr>
        <sz val="11"/>
        <color theme="1"/>
        <rFont val="宋体"/>
        <charset val="134"/>
      </rPr>
      <t>但是两者距离所差甚小，</t>
    </r>
  </si>
  <si>
    <r>
      <rPr>
        <sz val="11"/>
        <rFont val="Times New Roman"/>
        <family val="1"/>
      </rPr>
      <t>I</t>
    </r>
    <r>
      <rPr>
        <vertAlign val="subscript"/>
        <sz val="11"/>
        <rFont val="Times New Roman"/>
        <family val="1"/>
      </rPr>
      <t>n</t>
    </r>
    <r>
      <rPr>
        <sz val="11"/>
        <rFont val="Times New Roman"/>
        <family val="1"/>
      </rPr>
      <t>=</t>
    </r>
  </si>
  <si>
    <r>
      <rPr>
        <sz val="11"/>
        <color theme="1"/>
        <rFont val="Times New Roman"/>
        <family val="1"/>
      </rPr>
      <t>mm</t>
    </r>
    <r>
      <rPr>
        <vertAlign val="superscript"/>
        <sz val="11"/>
        <color theme="1"/>
        <rFont val="Times New Roman"/>
        <family val="1"/>
      </rPr>
      <t>4</t>
    </r>
  </si>
  <si>
    <r>
      <rPr>
        <sz val="11"/>
        <color theme="1"/>
        <rFont val="宋体"/>
        <charset val="134"/>
      </rPr>
      <t>可忽略也可加上，我加上了</t>
    </r>
  </si>
  <si>
    <r>
      <rPr>
        <sz val="11"/>
        <rFont val="宋体"/>
        <charset val="134"/>
      </rPr>
      <t>换算面积</t>
    </r>
    <r>
      <rPr>
        <sz val="11"/>
        <rFont val="Times New Roman"/>
        <family val="1"/>
      </rPr>
      <t>A</t>
    </r>
    <r>
      <rPr>
        <vertAlign val="subscript"/>
        <sz val="11"/>
        <rFont val="Times New Roman"/>
        <family val="1"/>
      </rPr>
      <t>0</t>
    </r>
    <r>
      <rPr>
        <sz val="11"/>
        <rFont val="Times New Roman"/>
        <family val="1"/>
      </rPr>
      <t>=A</t>
    </r>
    <r>
      <rPr>
        <vertAlign val="subscript"/>
        <sz val="11"/>
        <rFont val="Times New Roman"/>
        <family val="1"/>
      </rPr>
      <t>n</t>
    </r>
    <r>
      <rPr>
        <sz val="11"/>
        <rFont val="Times New Roman"/>
        <family val="1"/>
      </rPr>
      <t>+α'</t>
    </r>
    <r>
      <rPr>
        <vertAlign val="subscript"/>
        <sz val="11"/>
        <rFont val="Times New Roman"/>
        <family val="1"/>
      </rPr>
      <t>E</t>
    </r>
    <r>
      <rPr>
        <sz val="11"/>
        <rFont val="Times New Roman"/>
        <family val="1"/>
      </rPr>
      <t>(A</t>
    </r>
    <r>
      <rPr>
        <vertAlign val="subscript"/>
        <sz val="11"/>
        <rFont val="Times New Roman"/>
        <family val="1"/>
      </rPr>
      <t>p</t>
    </r>
    <r>
      <rPr>
        <sz val="11"/>
        <rFont val="Times New Roman"/>
        <family val="1"/>
      </rPr>
      <t>+A</t>
    </r>
    <r>
      <rPr>
        <vertAlign val="superscript"/>
        <sz val="11"/>
        <rFont val="Times New Roman"/>
        <family val="1"/>
      </rPr>
      <t>'</t>
    </r>
    <r>
      <rPr>
        <vertAlign val="subscript"/>
        <sz val="11"/>
        <rFont val="Times New Roman"/>
        <family val="1"/>
      </rPr>
      <t>p</t>
    </r>
    <r>
      <rPr>
        <sz val="11"/>
        <rFont val="Times New Roman"/>
        <family val="1"/>
      </rPr>
      <t>)=</t>
    </r>
  </si>
  <si>
    <r>
      <rPr>
        <sz val="11"/>
        <color theme="1"/>
        <rFont val="Times New Roman"/>
        <family val="1"/>
      </rPr>
      <t>mm</t>
    </r>
    <r>
      <rPr>
        <vertAlign val="superscript"/>
        <sz val="11"/>
        <color theme="1"/>
        <rFont val="Times New Roman"/>
        <family val="1"/>
      </rPr>
      <t>2</t>
    </r>
  </si>
  <si>
    <r>
      <rPr>
        <sz val="11"/>
        <rFont val="宋体"/>
        <charset val="134"/>
      </rPr>
      <t>换算截面重心至受压边缘的距离</t>
    </r>
    <r>
      <rPr>
        <sz val="11"/>
        <rFont val="Times New Roman"/>
        <family val="1"/>
      </rPr>
      <t>y</t>
    </r>
    <r>
      <rPr>
        <vertAlign val="subscript"/>
        <sz val="11"/>
        <rFont val="Times New Roman"/>
        <family val="1"/>
      </rPr>
      <t>01</t>
    </r>
    <r>
      <rPr>
        <sz val="11"/>
        <rFont val="宋体"/>
        <charset val="134"/>
      </rPr>
      <t>：</t>
    </r>
  </si>
  <si>
    <r>
      <rPr>
        <sz val="11"/>
        <rFont val="Times New Roman"/>
        <family val="1"/>
      </rPr>
      <t>y</t>
    </r>
    <r>
      <rPr>
        <vertAlign val="subscript"/>
        <sz val="11"/>
        <rFont val="Times New Roman"/>
        <family val="1"/>
      </rPr>
      <t>01</t>
    </r>
    <r>
      <rPr>
        <sz val="11"/>
        <rFont val="Times New Roman"/>
        <family val="1"/>
      </rPr>
      <t>=</t>
    </r>
  </si>
  <si>
    <r>
      <rPr>
        <sz val="11"/>
        <rFont val="宋体"/>
        <charset val="134"/>
      </rPr>
      <t>换算截面重心至受拉边缘的距离</t>
    </r>
    <r>
      <rPr>
        <sz val="11"/>
        <rFont val="Times New Roman"/>
        <family val="1"/>
      </rPr>
      <t>y</t>
    </r>
    <r>
      <rPr>
        <vertAlign val="subscript"/>
        <sz val="11"/>
        <rFont val="Times New Roman"/>
        <family val="1"/>
      </rPr>
      <t>02</t>
    </r>
    <r>
      <rPr>
        <sz val="11"/>
        <rFont val="Times New Roman"/>
        <family val="1"/>
      </rPr>
      <t>=h-y</t>
    </r>
    <r>
      <rPr>
        <vertAlign val="subscript"/>
        <sz val="11"/>
        <rFont val="Times New Roman"/>
        <family val="1"/>
      </rPr>
      <t>01</t>
    </r>
    <r>
      <rPr>
        <sz val="11"/>
        <rFont val="Times New Roman"/>
        <family val="1"/>
      </rPr>
      <t>=</t>
    </r>
  </si>
  <si>
    <r>
      <rPr>
        <sz val="11"/>
        <rFont val="黑体"/>
        <charset val="134"/>
      </rPr>
      <t>换算截面的惯性矩</t>
    </r>
    <r>
      <rPr>
        <sz val="11"/>
        <rFont val="Times New Roman"/>
        <family val="1"/>
      </rPr>
      <t>I</t>
    </r>
    <r>
      <rPr>
        <vertAlign val="subscript"/>
        <sz val="11"/>
        <rFont val="Times New Roman"/>
        <family val="1"/>
      </rPr>
      <t>0</t>
    </r>
    <r>
      <rPr>
        <sz val="11"/>
        <rFont val="Times New Roman"/>
        <family val="1"/>
      </rPr>
      <t>:</t>
    </r>
  </si>
  <si>
    <r>
      <rPr>
        <sz val="11"/>
        <rFont val="Times New Roman"/>
        <family val="1"/>
      </rPr>
      <t>I</t>
    </r>
    <r>
      <rPr>
        <vertAlign val="subscript"/>
        <sz val="11"/>
        <rFont val="Times New Roman"/>
        <family val="1"/>
      </rPr>
      <t>0</t>
    </r>
    <r>
      <rPr>
        <sz val="11"/>
        <rFont val="Times New Roman"/>
        <family val="1"/>
      </rPr>
      <t>=</t>
    </r>
  </si>
  <si>
    <r>
      <rPr>
        <sz val="11"/>
        <color theme="1"/>
        <rFont val="Times New Roman"/>
        <family val="1"/>
      </rPr>
      <t>α'</t>
    </r>
    <r>
      <rPr>
        <vertAlign val="subscript"/>
        <sz val="11"/>
        <color theme="1"/>
        <rFont val="Times New Roman"/>
        <family val="1"/>
      </rPr>
      <t>e</t>
    </r>
    <r>
      <rPr>
        <sz val="11"/>
        <color theme="1"/>
        <rFont val="宋体"/>
        <charset val="134"/>
      </rPr>
      <t>即</t>
    </r>
    <r>
      <rPr>
        <sz val="11"/>
        <color theme="1"/>
        <rFont val="Times New Roman"/>
        <family val="1"/>
      </rPr>
      <t>α’</t>
    </r>
    <r>
      <rPr>
        <vertAlign val="subscript"/>
        <sz val="11"/>
        <color theme="1"/>
        <rFont val="Times New Roman"/>
        <family val="1"/>
      </rPr>
      <t>p</t>
    </r>
  </si>
  <si>
    <r>
      <rPr>
        <sz val="11"/>
        <rFont val="宋体"/>
        <charset val="134"/>
      </rPr>
      <t>换算截面受拉边缘的弹性抵抗矩</t>
    </r>
    <r>
      <rPr>
        <sz val="11"/>
        <rFont val="Times New Roman"/>
        <family val="1"/>
      </rPr>
      <t>W</t>
    </r>
    <r>
      <rPr>
        <vertAlign val="subscript"/>
        <sz val="11"/>
        <rFont val="Times New Roman"/>
        <family val="1"/>
      </rPr>
      <t>0</t>
    </r>
    <r>
      <rPr>
        <sz val="11"/>
        <rFont val="Times New Roman"/>
        <family val="1"/>
      </rPr>
      <t>=I</t>
    </r>
    <r>
      <rPr>
        <vertAlign val="subscript"/>
        <sz val="11"/>
        <rFont val="Times New Roman"/>
        <family val="1"/>
      </rPr>
      <t>0</t>
    </r>
    <r>
      <rPr>
        <sz val="11"/>
        <rFont val="Times New Roman"/>
        <family val="1"/>
      </rPr>
      <t>/y</t>
    </r>
    <r>
      <rPr>
        <vertAlign val="subscript"/>
        <sz val="11"/>
        <rFont val="Times New Roman"/>
        <family val="1"/>
      </rPr>
      <t>o2</t>
    </r>
    <r>
      <rPr>
        <sz val="11"/>
        <rFont val="Times New Roman"/>
        <family val="1"/>
      </rPr>
      <t>=</t>
    </r>
  </si>
  <si>
    <r>
      <rPr>
        <sz val="11"/>
        <color theme="1"/>
        <rFont val="Times New Roman"/>
        <family val="1"/>
      </rPr>
      <t>mm</t>
    </r>
    <r>
      <rPr>
        <vertAlign val="superscript"/>
        <sz val="11"/>
        <color theme="1"/>
        <rFont val="Times New Roman"/>
        <family val="1"/>
      </rPr>
      <t>3</t>
    </r>
  </si>
  <si>
    <r>
      <rPr>
        <sz val="11"/>
        <rFont val="宋体"/>
        <charset val="134"/>
      </rPr>
      <t>换算截面受压边缘的弹性抵抗矩</t>
    </r>
    <r>
      <rPr>
        <sz val="11"/>
        <rFont val="Times New Roman"/>
        <family val="1"/>
      </rPr>
      <t>W</t>
    </r>
    <r>
      <rPr>
        <vertAlign val="subscript"/>
        <sz val="11"/>
        <rFont val="Times New Roman"/>
        <family val="1"/>
      </rPr>
      <t>01</t>
    </r>
    <r>
      <rPr>
        <sz val="11"/>
        <rFont val="Times New Roman"/>
        <family val="1"/>
      </rPr>
      <t>=I</t>
    </r>
    <r>
      <rPr>
        <vertAlign val="subscript"/>
        <sz val="11"/>
        <rFont val="Times New Roman"/>
        <family val="1"/>
      </rPr>
      <t>0</t>
    </r>
    <r>
      <rPr>
        <sz val="11"/>
        <rFont val="Times New Roman"/>
        <family val="1"/>
      </rPr>
      <t>/y</t>
    </r>
    <r>
      <rPr>
        <vertAlign val="subscript"/>
        <sz val="11"/>
        <rFont val="Times New Roman"/>
        <family val="1"/>
      </rPr>
      <t>o1</t>
    </r>
    <r>
      <rPr>
        <sz val="11"/>
        <rFont val="Times New Roman"/>
        <family val="1"/>
      </rPr>
      <t>=</t>
    </r>
  </si>
  <si>
    <r>
      <rPr>
        <sz val="11"/>
        <rFont val="黑体"/>
        <charset val="134"/>
      </rPr>
      <t>预应力钢筋的张拉控制应力及应力损失值计算</t>
    </r>
  </si>
  <si>
    <r>
      <rPr>
        <sz val="11"/>
        <rFont val="Times New Roman"/>
        <family val="1"/>
      </rPr>
      <t xml:space="preserve">    </t>
    </r>
    <r>
      <rPr>
        <sz val="11"/>
        <rFont val="宋体"/>
        <charset val="134"/>
      </rPr>
      <t>《水工混凝土结构设计规范》（</t>
    </r>
    <r>
      <rPr>
        <sz val="11"/>
        <rFont val="Times New Roman"/>
        <family val="1"/>
      </rPr>
      <t>SL 191-2008</t>
    </r>
    <r>
      <rPr>
        <sz val="11"/>
        <rFont val="宋体"/>
        <charset val="134"/>
      </rPr>
      <t>）</t>
    </r>
    <r>
      <rPr>
        <sz val="11"/>
        <rFont val="Times New Roman"/>
        <family val="1"/>
      </rPr>
      <t>8.1</t>
    </r>
    <r>
      <rPr>
        <sz val="11"/>
        <rFont val="宋体"/>
        <charset val="134"/>
      </rPr>
      <t>条规定：</t>
    </r>
    <r>
      <rPr>
        <sz val="11"/>
        <color rgb="FFFF0000"/>
        <rFont val="宋体"/>
        <charset val="134"/>
      </rPr>
      <t>后张法预应力钢筋</t>
    </r>
    <r>
      <rPr>
        <sz val="11"/>
        <rFont val="宋体"/>
        <charset val="134"/>
      </rPr>
      <t>的张拉控制应力值</t>
    </r>
    <r>
      <rPr>
        <sz val="11"/>
        <rFont val="Times New Roman"/>
        <family val="1"/>
      </rPr>
      <t>σ</t>
    </r>
    <r>
      <rPr>
        <vertAlign val="subscript"/>
        <sz val="11"/>
        <rFont val="Times New Roman"/>
        <family val="1"/>
      </rPr>
      <t>con</t>
    </r>
    <r>
      <rPr>
        <sz val="11"/>
        <rFont val="宋体"/>
        <charset val="134"/>
      </rPr>
      <t>不应小于</t>
    </r>
    <r>
      <rPr>
        <sz val="11"/>
        <rFont val="Times New Roman"/>
        <family val="1"/>
      </rPr>
      <t>0.4f</t>
    </r>
    <r>
      <rPr>
        <vertAlign val="subscript"/>
        <sz val="11"/>
        <rFont val="Times New Roman"/>
        <family val="1"/>
      </rPr>
      <t>ptk</t>
    </r>
    <r>
      <rPr>
        <sz val="11"/>
        <rFont val="Times New Roman"/>
        <family val="1"/>
      </rPr>
      <t>,</t>
    </r>
    <r>
      <rPr>
        <sz val="11"/>
        <rFont val="宋体"/>
        <charset val="134"/>
      </rPr>
      <t>且不宜超过</t>
    </r>
    <r>
      <rPr>
        <sz val="11"/>
        <rFont val="Times New Roman"/>
        <family val="1"/>
      </rPr>
      <t>0.75f</t>
    </r>
    <r>
      <rPr>
        <vertAlign val="subscript"/>
        <sz val="11"/>
        <rFont val="Times New Roman"/>
        <family val="1"/>
      </rPr>
      <t>ptk</t>
    </r>
  </si>
  <si>
    <r>
      <rPr>
        <sz val="11"/>
        <rFont val="宋体"/>
        <charset val="134"/>
      </rPr>
      <t>张拉控制应力值</t>
    </r>
    <r>
      <rPr>
        <sz val="11"/>
        <rFont val="Times New Roman"/>
        <family val="1"/>
      </rPr>
      <t>σ</t>
    </r>
    <r>
      <rPr>
        <vertAlign val="subscript"/>
        <sz val="11"/>
        <rFont val="Times New Roman"/>
        <family val="1"/>
      </rPr>
      <t>con</t>
    </r>
    <r>
      <rPr>
        <sz val="11"/>
        <rFont val="Times New Roman"/>
        <family val="1"/>
      </rPr>
      <t>=0.75f</t>
    </r>
    <r>
      <rPr>
        <vertAlign val="subscript"/>
        <sz val="11"/>
        <rFont val="Times New Roman"/>
        <family val="1"/>
      </rPr>
      <t>ptk</t>
    </r>
    <r>
      <rPr>
        <sz val="11"/>
        <rFont val="Times New Roman"/>
        <family val="1"/>
      </rPr>
      <t>=</t>
    </r>
  </si>
  <si>
    <t>N/mm²</t>
  </si>
  <si>
    <r>
      <rPr>
        <sz val="11"/>
        <rFont val="宋体"/>
        <charset val="134"/>
      </rPr>
      <t>后张法预应力钢筋张拉应力损失的原因有：</t>
    </r>
  </si>
  <si>
    <r>
      <rPr>
        <sz val="11"/>
        <rFont val="宋体"/>
        <charset val="134"/>
      </rPr>
      <t>张拉端锚具变形和钢筋内缩</t>
    </r>
  </si>
  <si>
    <r>
      <rPr>
        <sz val="11"/>
        <rFont val="宋体"/>
        <charset val="134"/>
      </rPr>
      <t>预应力钢筋的摩擦</t>
    </r>
  </si>
  <si>
    <r>
      <rPr>
        <sz val="11"/>
        <rFont val="宋体"/>
        <charset val="134"/>
      </rPr>
      <t>预应力钢筋的应力松驰</t>
    </r>
  </si>
  <si>
    <r>
      <rPr>
        <sz val="11"/>
        <rFont val="宋体"/>
        <charset val="134"/>
      </rPr>
      <t>砼收缩和徐变</t>
    </r>
  </si>
  <si>
    <r>
      <rPr>
        <sz val="12"/>
        <rFont val="宋体"/>
        <charset val="134"/>
      </rPr>
      <t>锚具变形和钢筋内缩值</t>
    </r>
    <r>
      <rPr>
        <sz val="12"/>
        <rFont val="Times New Roman"/>
        <family val="1"/>
      </rPr>
      <t>a=</t>
    </r>
  </si>
  <si>
    <r>
      <rPr>
        <sz val="12"/>
        <rFont val="宋体"/>
        <charset val="134"/>
      </rPr>
      <t>张拉端和锚固端之间的距离</t>
    </r>
    <r>
      <rPr>
        <sz val="12"/>
        <rFont val="Times New Roman"/>
        <family val="1"/>
      </rPr>
      <t>l=</t>
    </r>
  </si>
  <si>
    <r>
      <rPr>
        <sz val="12"/>
        <rFont val="宋体"/>
        <charset val="134"/>
      </rPr>
      <t>锚具变形损失</t>
    </r>
    <r>
      <rPr>
        <sz val="12"/>
        <rFont val="Times New Roman"/>
        <family val="1"/>
      </rPr>
      <t>σ</t>
    </r>
    <r>
      <rPr>
        <vertAlign val="subscript"/>
        <sz val="12"/>
        <rFont val="Times New Roman"/>
        <family val="1"/>
      </rPr>
      <t>l1</t>
    </r>
    <r>
      <rPr>
        <sz val="12"/>
        <rFont val="Times New Roman"/>
        <family val="1"/>
      </rPr>
      <t>=</t>
    </r>
  </si>
  <si>
    <r>
      <rPr>
        <sz val="11"/>
        <color theme="1"/>
        <rFont val="宋体"/>
        <charset val="134"/>
      </rPr>
      <t>预应力钢筋与孔道壁之间的摩檫系数</t>
    </r>
    <r>
      <rPr>
        <sz val="11"/>
        <color theme="1"/>
        <rFont val="Times New Roman"/>
        <family val="1"/>
      </rPr>
      <t>μ=</t>
    </r>
  </si>
  <si>
    <r>
      <rPr>
        <sz val="11"/>
        <color theme="1"/>
        <rFont val="宋体"/>
        <charset val="134"/>
      </rPr>
      <t>从张拉端至计算截面曲线孔道切线夹角</t>
    </r>
    <r>
      <rPr>
        <sz val="11"/>
        <color theme="1"/>
        <rFont val="Times New Roman"/>
        <family val="1"/>
      </rPr>
      <t>θ=</t>
    </r>
  </si>
  <si>
    <t>rad</t>
  </si>
  <si>
    <r>
      <rPr>
        <sz val="11"/>
        <color theme="1"/>
        <rFont val="宋体"/>
        <charset val="134"/>
      </rPr>
      <t>孔道每米长度局部偏差摩擦系数</t>
    </r>
    <r>
      <rPr>
        <sz val="11"/>
        <color theme="1"/>
        <rFont val="Times New Roman"/>
        <family val="1"/>
      </rPr>
      <t>κ=</t>
    </r>
  </si>
  <si>
    <r>
      <rPr>
        <sz val="11"/>
        <color theme="1"/>
        <rFont val="宋体"/>
        <charset val="134"/>
      </rPr>
      <t>张拉端到计算截面的孔道长度</t>
    </r>
    <r>
      <rPr>
        <sz val="11"/>
        <color theme="1"/>
        <rFont val="Times New Roman"/>
        <family val="1"/>
      </rPr>
      <t>x=</t>
    </r>
  </si>
  <si>
    <r>
      <rPr>
        <sz val="11"/>
        <color theme="1"/>
        <rFont val="Times New Roman"/>
        <family val="1"/>
      </rPr>
      <t>μθ+κx</t>
    </r>
    <r>
      <rPr>
        <sz val="11"/>
        <color theme="1"/>
        <rFont val="宋体"/>
        <charset val="134"/>
      </rPr>
      <t>≤</t>
    </r>
    <r>
      <rPr>
        <sz val="11"/>
        <color theme="1"/>
        <rFont val="Times New Roman"/>
        <family val="1"/>
      </rPr>
      <t>0.2,</t>
    </r>
    <r>
      <rPr>
        <sz val="11"/>
        <color theme="1"/>
        <rFont val="宋体"/>
        <charset val="134"/>
      </rPr>
      <t>则</t>
    </r>
  </si>
  <si>
    <t>μθ+κx=</t>
  </si>
  <si>
    <r>
      <rPr>
        <sz val="11"/>
        <color theme="1"/>
        <rFont val="宋体"/>
        <charset val="134"/>
      </rPr>
      <t>预应力筋与孔道壁摩擦引起的损失</t>
    </r>
    <r>
      <rPr>
        <sz val="11"/>
        <color theme="1"/>
        <rFont val="Times New Roman"/>
        <family val="1"/>
      </rPr>
      <t>σ</t>
    </r>
    <r>
      <rPr>
        <vertAlign val="subscript"/>
        <sz val="11"/>
        <color theme="1"/>
        <rFont val="Times New Roman"/>
        <family val="1"/>
      </rPr>
      <t>l2</t>
    </r>
    <r>
      <rPr>
        <sz val="11"/>
        <color theme="1"/>
        <rFont val="Times New Roman"/>
        <family val="1"/>
      </rPr>
      <t>=</t>
    </r>
  </si>
  <si>
    <r>
      <rPr>
        <sz val="11"/>
        <color theme="1"/>
        <rFont val="宋体"/>
        <charset val="134"/>
      </rPr>
      <t>钢筋的线膨胀系数</t>
    </r>
    <r>
      <rPr>
        <sz val="11"/>
        <color theme="1"/>
        <rFont val="Times New Roman"/>
        <family val="1"/>
      </rPr>
      <t>α=</t>
    </r>
  </si>
  <si>
    <r>
      <rPr>
        <sz val="11"/>
        <color theme="1"/>
        <rFont val="Times New Roman"/>
        <family val="1"/>
      </rPr>
      <t>/</t>
    </r>
    <r>
      <rPr>
        <sz val="11"/>
        <color theme="1"/>
        <rFont val="宋体"/>
        <charset val="134"/>
      </rPr>
      <t>℃</t>
    </r>
  </si>
  <si>
    <r>
      <rPr>
        <sz val="11"/>
        <color theme="1"/>
        <rFont val="宋体"/>
        <charset val="134"/>
      </rPr>
      <t>预应力钢筋雨台座间的温差△</t>
    </r>
    <r>
      <rPr>
        <sz val="11"/>
        <color theme="1"/>
        <rFont val="Times New Roman"/>
        <family val="1"/>
      </rPr>
      <t>t=</t>
    </r>
  </si>
  <si>
    <r>
      <rPr>
        <sz val="11"/>
        <color theme="1"/>
        <rFont val="宋体"/>
        <charset val="134"/>
      </rPr>
      <t>℃</t>
    </r>
  </si>
  <si>
    <r>
      <rPr>
        <sz val="11"/>
        <color theme="1"/>
        <rFont val="宋体"/>
        <charset val="134"/>
      </rPr>
      <t>预应力筋与台座温差引起的损失</t>
    </r>
    <r>
      <rPr>
        <sz val="11"/>
        <color theme="1"/>
        <rFont val="Times New Roman"/>
        <family val="1"/>
      </rPr>
      <t>σ</t>
    </r>
    <r>
      <rPr>
        <vertAlign val="subscript"/>
        <sz val="11"/>
        <color theme="1"/>
        <rFont val="Times New Roman"/>
        <family val="1"/>
      </rPr>
      <t>l3</t>
    </r>
    <r>
      <rPr>
        <sz val="11"/>
        <color theme="1"/>
        <rFont val="Times New Roman"/>
        <family val="1"/>
      </rPr>
      <t>=</t>
    </r>
  </si>
  <si>
    <r>
      <rPr>
        <sz val="12"/>
        <rFont val="宋体"/>
        <charset val="134"/>
      </rPr>
      <t>预应力钢筋应力松弛损失</t>
    </r>
    <r>
      <rPr>
        <sz val="12"/>
        <rFont val="Times New Roman"/>
        <family val="1"/>
      </rPr>
      <t>σ</t>
    </r>
    <r>
      <rPr>
        <vertAlign val="subscript"/>
        <sz val="12"/>
        <rFont val="Times New Roman"/>
        <family val="1"/>
      </rPr>
      <t>l4</t>
    </r>
    <r>
      <rPr>
        <sz val="12"/>
        <rFont val="Times New Roman"/>
        <family val="1"/>
      </rPr>
      <t>=</t>
    </r>
  </si>
  <si>
    <r>
      <rPr>
        <sz val="11"/>
        <color theme="1"/>
        <rFont val="宋体"/>
        <charset val="134"/>
      </rPr>
      <t>一次张拉普通松弛，用</t>
    </r>
    <r>
      <rPr>
        <sz val="11"/>
        <color theme="1"/>
        <rFont val="Times New Roman"/>
        <family val="1"/>
      </rPr>
      <t>0.4*</t>
    </r>
    <r>
      <rPr>
        <sz val="11"/>
        <color theme="1"/>
        <rFont val="宋体"/>
        <charset val="134"/>
      </rPr>
      <t>；</t>
    </r>
  </si>
  <si>
    <r>
      <rPr>
        <sz val="11"/>
        <rFont val="宋体"/>
        <charset val="134"/>
      </rPr>
      <t>混凝土收缩和徐变引起的预应力损失值</t>
    </r>
    <r>
      <rPr>
        <sz val="11"/>
        <rFont val="Times New Roman"/>
        <family val="1"/>
      </rPr>
      <t>σ</t>
    </r>
    <r>
      <rPr>
        <vertAlign val="subscript"/>
        <sz val="11"/>
        <rFont val="Times New Roman"/>
        <family val="1"/>
      </rPr>
      <t>L5</t>
    </r>
    <r>
      <rPr>
        <sz val="11"/>
        <rFont val="宋体"/>
        <charset val="134"/>
      </rPr>
      <t>：</t>
    </r>
  </si>
  <si>
    <r>
      <rPr>
        <sz val="11"/>
        <color theme="1"/>
        <rFont val="宋体"/>
        <charset val="134"/>
      </rPr>
      <t>一次张拉低松弛，用</t>
    </r>
    <r>
      <rPr>
        <sz val="11"/>
        <color theme="1"/>
        <rFont val="Times New Roman"/>
        <family val="1"/>
      </rPr>
      <t>0.125*</t>
    </r>
  </si>
  <si>
    <r>
      <rPr>
        <sz val="11"/>
        <color theme="1"/>
        <rFont val="宋体"/>
        <charset val="134"/>
      </rPr>
      <t>①</t>
    </r>
  </si>
  <si>
    <r>
      <rPr>
        <sz val="11"/>
        <rFont val="宋体"/>
        <charset val="134"/>
      </rPr>
      <t>初拟</t>
    </r>
    <r>
      <rPr>
        <sz val="11"/>
        <rFont val="Times New Roman"/>
        <family val="1"/>
      </rPr>
      <t>σ</t>
    </r>
    <r>
      <rPr>
        <vertAlign val="superscript"/>
        <sz val="11"/>
        <rFont val="Times New Roman"/>
        <family val="1"/>
      </rPr>
      <t>'</t>
    </r>
    <r>
      <rPr>
        <vertAlign val="subscript"/>
        <sz val="11"/>
        <rFont val="Times New Roman"/>
        <family val="1"/>
      </rPr>
      <t>L5</t>
    </r>
    <r>
      <rPr>
        <sz val="11"/>
        <rFont val="Times New Roman"/>
        <family val="1"/>
      </rPr>
      <t>=σ</t>
    </r>
    <r>
      <rPr>
        <vertAlign val="subscript"/>
        <sz val="11"/>
        <rFont val="Times New Roman"/>
        <family val="1"/>
      </rPr>
      <t>L5</t>
    </r>
    <r>
      <rPr>
        <sz val="11"/>
        <rFont val="Times New Roman"/>
        <family val="1"/>
      </rPr>
      <t>=</t>
    </r>
  </si>
  <si>
    <r>
      <rPr>
        <sz val="11"/>
        <color theme="1"/>
        <rFont val="宋体"/>
        <charset val="134"/>
      </rPr>
      <t>仅计入第一批损失，后张法为</t>
    </r>
    <r>
      <rPr>
        <sz val="11"/>
        <color theme="1"/>
        <rFont val="Times New Roman"/>
        <family val="1"/>
      </rPr>
      <t>1</t>
    </r>
    <r>
      <rPr>
        <sz val="11"/>
        <color theme="1"/>
        <rFont val="宋体"/>
        <charset val="134"/>
      </rPr>
      <t>，</t>
    </r>
    <r>
      <rPr>
        <sz val="11"/>
        <color theme="1"/>
        <rFont val="Times New Roman"/>
        <family val="1"/>
      </rPr>
      <t>2</t>
    </r>
  </si>
  <si>
    <r>
      <rPr>
        <sz val="11"/>
        <rFont val="宋体"/>
        <charset val="134"/>
      </rPr>
      <t>预应力钢筋的有效应力</t>
    </r>
    <r>
      <rPr>
        <sz val="11"/>
        <rFont val="Times New Roman"/>
        <family val="1"/>
      </rPr>
      <t>σ</t>
    </r>
    <r>
      <rPr>
        <vertAlign val="subscript"/>
        <sz val="11"/>
        <rFont val="Times New Roman"/>
        <family val="1"/>
      </rPr>
      <t>pe</t>
    </r>
    <r>
      <rPr>
        <sz val="11"/>
        <rFont val="Times New Roman"/>
        <family val="1"/>
      </rPr>
      <t>=σ</t>
    </r>
    <r>
      <rPr>
        <vertAlign val="subscript"/>
        <sz val="11"/>
        <rFont val="Times New Roman"/>
        <family val="1"/>
      </rPr>
      <t>con</t>
    </r>
    <r>
      <rPr>
        <sz val="11"/>
        <rFont val="Times New Roman"/>
        <family val="1"/>
      </rPr>
      <t>-σ</t>
    </r>
    <r>
      <rPr>
        <vertAlign val="subscript"/>
        <sz val="11"/>
        <rFont val="Times New Roman"/>
        <family val="1"/>
      </rPr>
      <t>l1</t>
    </r>
    <r>
      <rPr>
        <sz val="11"/>
        <rFont val="Times New Roman"/>
        <family val="1"/>
      </rPr>
      <t>-σ</t>
    </r>
    <r>
      <rPr>
        <vertAlign val="subscript"/>
        <sz val="11"/>
        <rFont val="Times New Roman"/>
        <family val="1"/>
      </rPr>
      <t>l2</t>
    </r>
    <r>
      <rPr>
        <sz val="11"/>
        <rFont val="Times New Roman"/>
        <family val="1"/>
      </rPr>
      <t>=</t>
    </r>
  </si>
  <si>
    <r>
      <rPr>
        <sz val="11"/>
        <color theme="1"/>
        <rFont val="Times New Roman"/>
        <family val="1"/>
      </rPr>
      <t>σ'</t>
    </r>
    <r>
      <rPr>
        <vertAlign val="subscript"/>
        <sz val="11"/>
        <color theme="1"/>
        <rFont val="Times New Roman"/>
        <family val="1"/>
      </rPr>
      <t>L5</t>
    </r>
    <r>
      <rPr>
        <sz val="11"/>
        <color theme="1"/>
        <rFont val="宋体"/>
        <charset val="134"/>
      </rPr>
      <t>、</t>
    </r>
    <r>
      <rPr>
        <sz val="11"/>
        <color theme="1"/>
        <rFont val="Times New Roman"/>
        <family val="1"/>
      </rPr>
      <t>σ</t>
    </r>
    <r>
      <rPr>
        <vertAlign val="subscript"/>
        <sz val="11"/>
        <color theme="1"/>
        <rFont val="Times New Roman"/>
        <family val="1"/>
      </rPr>
      <t>L5</t>
    </r>
    <r>
      <rPr>
        <sz val="11"/>
        <color theme="1"/>
        <rFont val="宋体"/>
        <charset val="134"/>
      </rPr>
      <t>取</t>
    </r>
    <r>
      <rPr>
        <sz val="11"/>
        <color theme="1"/>
        <rFont val="Times New Roman"/>
        <family val="1"/>
      </rPr>
      <t>0</t>
    </r>
    <r>
      <rPr>
        <sz val="11"/>
        <color theme="1"/>
        <rFont val="宋体"/>
        <charset val="134"/>
      </rPr>
      <t>（不论先张后张）</t>
    </r>
  </si>
  <si>
    <r>
      <rPr>
        <sz val="11"/>
        <rFont val="宋体"/>
        <charset val="134"/>
      </rPr>
      <t>预应力钢筋及非预应力钢筋的合力</t>
    </r>
    <r>
      <rPr>
        <sz val="11"/>
        <rFont val="Times New Roman"/>
        <family val="1"/>
      </rPr>
      <t>N</t>
    </r>
    <r>
      <rPr>
        <vertAlign val="subscript"/>
        <sz val="11"/>
        <rFont val="Times New Roman"/>
        <family val="1"/>
      </rPr>
      <t>P</t>
    </r>
    <r>
      <rPr>
        <sz val="11"/>
        <rFont val="Times New Roman"/>
        <family val="1"/>
      </rPr>
      <t>:</t>
    </r>
  </si>
  <si>
    <r>
      <rPr>
        <sz val="11"/>
        <color theme="1"/>
        <rFont val="Times New Roman"/>
        <family val="1"/>
      </rPr>
      <t>N</t>
    </r>
    <r>
      <rPr>
        <vertAlign val="subscript"/>
        <sz val="11"/>
        <color theme="1"/>
        <rFont val="Times New Roman"/>
        <family val="1"/>
      </rPr>
      <t>P</t>
    </r>
    <r>
      <rPr>
        <sz val="11"/>
        <color theme="1"/>
        <rFont val="Times New Roman"/>
        <family val="1"/>
      </rPr>
      <t>=</t>
    </r>
  </si>
  <si>
    <t>N</t>
  </si>
  <si>
    <r>
      <rPr>
        <sz val="10"/>
        <rFont val="宋体"/>
        <charset val="134"/>
      </rPr>
      <t>受拉区预应力合力点至净截面重心的距离</t>
    </r>
    <r>
      <rPr>
        <sz val="10"/>
        <rFont val="Times New Roman"/>
        <family val="1"/>
      </rPr>
      <t>y</t>
    </r>
    <r>
      <rPr>
        <vertAlign val="subscript"/>
        <sz val="10"/>
        <rFont val="Times New Roman"/>
        <family val="1"/>
      </rPr>
      <t>pn</t>
    </r>
    <r>
      <rPr>
        <sz val="10"/>
        <rFont val="Times New Roman"/>
        <family val="1"/>
      </rPr>
      <t>=y</t>
    </r>
    <r>
      <rPr>
        <vertAlign val="subscript"/>
        <sz val="10"/>
        <rFont val="Times New Roman"/>
        <family val="1"/>
      </rPr>
      <t>n2</t>
    </r>
    <r>
      <rPr>
        <sz val="10"/>
        <rFont val="Times New Roman"/>
        <family val="1"/>
      </rPr>
      <t>-a</t>
    </r>
    <r>
      <rPr>
        <vertAlign val="subscript"/>
        <sz val="10"/>
        <rFont val="Times New Roman"/>
        <family val="1"/>
      </rPr>
      <t>p</t>
    </r>
    <r>
      <rPr>
        <sz val="10"/>
        <rFont val="Times New Roman"/>
        <family val="1"/>
      </rPr>
      <t>=</t>
    </r>
  </si>
  <si>
    <r>
      <rPr>
        <sz val="10"/>
        <rFont val="宋体"/>
        <charset val="134"/>
      </rPr>
      <t>受压区预应力合力点至净截面重心的距离</t>
    </r>
    <r>
      <rPr>
        <sz val="10"/>
        <rFont val="Times New Roman"/>
        <family val="1"/>
      </rPr>
      <t>y'</t>
    </r>
    <r>
      <rPr>
        <vertAlign val="subscript"/>
        <sz val="10"/>
        <rFont val="Times New Roman"/>
        <family val="1"/>
      </rPr>
      <t>pn</t>
    </r>
    <r>
      <rPr>
        <sz val="10"/>
        <rFont val="Times New Roman"/>
        <family val="1"/>
      </rPr>
      <t>=y</t>
    </r>
    <r>
      <rPr>
        <vertAlign val="subscript"/>
        <sz val="10"/>
        <rFont val="Times New Roman"/>
        <family val="1"/>
      </rPr>
      <t>n1</t>
    </r>
    <r>
      <rPr>
        <sz val="10"/>
        <rFont val="Times New Roman"/>
        <family val="1"/>
      </rPr>
      <t>-a'</t>
    </r>
    <r>
      <rPr>
        <vertAlign val="subscript"/>
        <sz val="10"/>
        <rFont val="Times New Roman"/>
        <family val="1"/>
      </rPr>
      <t>p</t>
    </r>
    <r>
      <rPr>
        <sz val="10"/>
        <rFont val="Times New Roman"/>
        <family val="1"/>
      </rPr>
      <t>=</t>
    </r>
  </si>
  <si>
    <r>
      <rPr>
        <sz val="10"/>
        <rFont val="宋体"/>
        <charset val="134"/>
      </rPr>
      <t>受拉区非预应力合力点至净截面重心的距离</t>
    </r>
    <r>
      <rPr>
        <sz val="10"/>
        <rFont val="Times New Roman"/>
        <family val="1"/>
      </rPr>
      <t>y</t>
    </r>
    <r>
      <rPr>
        <vertAlign val="subscript"/>
        <sz val="10"/>
        <rFont val="Times New Roman"/>
        <family val="1"/>
      </rPr>
      <t>sn</t>
    </r>
    <r>
      <rPr>
        <sz val="10"/>
        <rFont val="Times New Roman"/>
        <family val="1"/>
      </rPr>
      <t>=y</t>
    </r>
    <r>
      <rPr>
        <vertAlign val="subscript"/>
        <sz val="10"/>
        <rFont val="Times New Roman"/>
        <family val="1"/>
      </rPr>
      <t>n2</t>
    </r>
    <r>
      <rPr>
        <sz val="10"/>
        <rFont val="Times New Roman"/>
        <family val="1"/>
      </rPr>
      <t>-a</t>
    </r>
    <r>
      <rPr>
        <vertAlign val="subscript"/>
        <sz val="10"/>
        <rFont val="Times New Roman"/>
        <family val="1"/>
      </rPr>
      <t>s</t>
    </r>
    <r>
      <rPr>
        <sz val="10"/>
        <rFont val="Times New Roman"/>
        <family val="1"/>
      </rPr>
      <t>=</t>
    </r>
  </si>
  <si>
    <r>
      <rPr>
        <sz val="10"/>
        <rFont val="宋体"/>
        <charset val="134"/>
      </rPr>
      <t>受压区非预应力合力点至净截面重心的距离</t>
    </r>
    <r>
      <rPr>
        <sz val="10"/>
        <rFont val="Times New Roman"/>
        <family val="1"/>
      </rPr>
      <t>y'</t>
    </r>
    <r>
      <rPr>
        <vertAlign val="subscript"/>
        <sz val="10"/>
        <rFont val="Times New Roman"/>
        <family val="1"/>
      </rPr>
      <t>sn</t>
    </r>
    <r>
      <rPr>
        <sz val="10"/>
        <rFont val="Times New Roman"/>
        <family val="1"/>
      </rPr>
      <t>=y</t>
    </r>
    <r>
      <rPr>
        <vertAlign val="subscript"/>
        <sz val="10"/>
        <rFont val="Times New Roman"/>
        <family val="1"/>
      </rPr>
      <t>n1</t>
    </r>
    <r>
      <rPr>
        <sz val="10"/>
        <rFont val="Times New Roman"/>
        <family val="1"/>
      </rPr>
      <t>-a'</t>
    </r>
    <r>
      <rPr>
        <vertAlign val="subscript"/>
        <sz val="10"/>
        <rFont val="Times New Roman"/>
        <family val="1"/>
      </rPr>
      <t>s</t>
    </r>
    <r>
      <rPr>
        <sz val="10"/>
        <rFont val="Times New Roman"/>
        <family val="1"/>
      </rPr>
      <t>=</t>
    </r>
  </si>
  <si>
    <r>
      <rPr>
        <sz val="11"/>
        <rFont val="宋体"/>
        <charset val="134"/>
      </rPr>
      <t>预应力钢筋及非预应力钢筋的合力点的偏心矩</t>
    </r>
    <r>
      <rPr>
        <sz val="11"/>
        <rFont val="Times New Roman"/>
        <family val="1"/>
      </rPr>
      <t>e</t>
    </r>
    <r>
      <rPr>
        <vertAlign val="subscript"/>
        <sz val="11"/>
        <rFont val="Times New Roman"/>
        <family val="1"/>
      </rPr>
      <t>pn</t>
    </r>
    <r>
      <rPr>
        <sz val="11"/>
        <rFont val="Times New Roman"/>
        <family val="1"/>
      </rPr>
      <t>:</t>
    </r>
  </si>
  <si>
    <r>
      <rPr>
        <sz val="11"/>
        <color theme="1"/>
        <rFont val="Times New Roman"/>
        <family val="1"/>
      </rPr>
      <t>e</t>
    </r>
    <r>
      <rPr>
        <vertAlign val="subscript"/>
        <sz val="11"/>
        <color theme="1"/>
        <rFont val="Times New Roman"/>
        <family val="1"/>
      </rPr>
      <t>pn</t>
    </r>
    <r>
      <rPr>
        <sz val="11"/>
        <color theme="1"/>
        <rFont val="Times New Roman"/>
        <family val="1"/>
      </rPr>
      <t>=</t>
    </r>
  </si>
  <si>
    <r>
      <rPr>
        <sz val="11"/>
        <rFont val="宋体"/>
        <charset val="134"/>
      </rPr>
      <t>预加力在受拉区产生的混凝土法向压应力</t>
    </r>
    <r>
      <rPr>
        <sz val="11"/>
        <rFont val="Times New Roman"/>
        <family val="1"/>
      </rPr>
      <t>σ</t>
    </r>
    <r>
      <rPr>
        <vertAlign val="subscript"/>
        <sz val="11"/>
        <rFont val="Times New Roman"/>
        <family val="1"/>
      </rPr>
      <t>pc</t>
    </r>
    <r>
      <rPr>
        <sz val="11"/>
        <rFont val="Times New Roman"/>
        <family val="1"/>
      </rPr>
      <t>:</t>
    </r>
  </si>
  <si>
    <r>
      <rPr>
        <sz val="11"/>
        <rFont val="Times New Roman"/>
        <family val="1"/>
      </rPr>
      <t>y</t>
    </r>
    <r>
      <rPr>
        <vertAlign val="subscript"/>
        <sz val="11"/>
        <rFont val="Times New Roman"/>
        <family val="1"/>
      </rPr>
      <t>n</t>
    </r>
    <r>
      <rPr>
        <sz val="11"/>
        <rFont val="Times New Roman"/>
        <family val="1"/>
      </rPr>
      <t>=y</t>
    </r>
    <r>
      <rPr>
        <vertAlign val="subscript"/>
        <sz val="11"/>
        <rFont val="Times New Roman"/>
        <family val="1"/>
      </rPr>
      <t>pn</t>
    </r>
    <r>
      <rPr>
        <sz val="11"/>
        <rFont val="Times New Roman"/>
        <family val="1"/>
      </rPr>
      <t>=</t>
    </r>
  </si>
  <si>
    <r>
      <rPr>
        <sz val="11"/>
        <color theme="1"/>
        <rFont val="Times New Roman"/>
        <family val="1"/>
      </rPr>
      <t>σ</t>
    </r>
    <r>
      <rPr>
        <vertAlign val="subscript"/>
        <sz val="11"/>
        <color theme="1"/>
        <rFont val="Times New Roman"/>
        <family val="1"/>
      </rPr>
      <t>pc</t>
    </r>
    <r>
      <rPr>
        <sz val="11"/>
        <color theme="1"/>
        <rFont val="Times New Roman"/>
        <family val="1"/>
      </rPr>
      <t>=</t>
    </r>
  </si>
  <si>
    <r>
      <rPr>
        <sz val="11"/>
        <rFont val="宋体"/>
        <charset val="134"/>
      </rPr>
      <t>受压区预应力钢筋合力处的混凝土法向压应力</t>
    </r>
    <r>
      <rPr>
        <sz val="11"/>
        <rFont val="Times New Roman"/>
        <family val="1"/>
      </rPr>
      <t>σ'</t>
    </r>
    <r>
      <rPr>
        <vertAlign val="subscript"/>
        <sz val="11"/>
        <rFont val="Times New Roman"/>
        <family val="1"/>
      </rPr>
      <t>pc</t>
    </r>
    <r>
      <rPr>
        <sz val="11"/>
        <rFont val="Times New Roman"/>
        <family val="1"/>
      </rPr>
      <t>:</t>
    </r>
  </si>
  <si>
    <r>
      <rPr>
        <sz val="11"/>
        <rFont val="Times New Roman"/>
        <family val="1"/>
      </rPr>
      <t>y'</t>
    </r>
    <r>
      <rPr>
        <vertAlign val="subscript"/>
        <sz val="11"/>
        <rFont val="Times New Roman"/>
        <family val="1"/>
      </rPr>
      <t>n</t>
    </r>
    <r>
      <rPr>
        <sz val="11"/>
        <rFont val="Times New Roman"/>
        <family val="1"/>
      </rPr>
      <t>=y</t>
    </r>
    <r>
      <rPr>
        <vertAlign val="subscript"/>
        <sz val="11"/>
        <rFont val="Times New Roman"/>
        <family val="1"/>
      </rPr>
      <t>'pn</t>
    </r>
    <r>
      <rPr>
        <sz val="11"/>
        <rFont val="Times New Roman"/>
        <family val="1"/>
      </rPr>
      <t>=</t>
    </r>
  </si>
  <si>
    <r>
      <rPr>
        <sz val="11"/>
        <color theme="1"/>
        <rFont val="Times New Roman"/>
        <family val="1"/>
      </rPr>
      <t>σ'</t>
    </r>
    <r>
      <rPr>
        <vertAlign val="subscript"/>
        <sz val="11"/>
        <color theme="1"/>
        <rFont val="Times New Roman"/>
        <family val="1"/>
      </rPr>
      <t>pcs</t>
    </r>
    <r>
      <rPr>
        <sz val="11"/>
        <color theme="1"/>
        <rFont val="Times New Roman"/>
        <family val="1"/>
      </rPr>
      <t>=</t>
    </r>
  </si>
  <si>
    <r>
      <rPr>
        <sz val="11"/>
        <color theme="1"/>
        <rFont val="Times New Roman"/>
        <family val="1"/>
      </rPr>
      <t>σ'</t>
    </r>
    <r>
      <rPr>
        <vertAlign val="subscript"/>
        <sz val="11"/>
        <color theme="1"/>
        <rFont val="Times New Roman"/>
        <family val="1"/>
      </rPr>
      <t>pc</t>
    </r>
    <r>
      <rPr>
        <sz val="11"/>
        <color theme="1"/>
        <rFont val="Times New Roman"/>
        <family val="1"/>
      </rPr>
      <t>=</t>
    </r>
  </si>
  <si>
    <r>
      <rPr>
        <sz val="11"/>
        <color theme="1"/>
        <rFont val="宋体"/>
        <charset val="134"/>
      </rPr>
      <t>根据是否有</t>
    </r>
    <r>
      <rPr>
        <sz val="11"/>
        <color theme="1"/>
        <rFont val="Times New Roman"/>
        <family val="1"/>
      </rPr>
      <t>A'</t>
    </r>
    <r>
      <rPr>
        <vertAlign val="subscript"/>
        <sz val="11"/>
        <color theme="1"/>
        <rFont val="Times New Roman"/>
        <family val="1"/>
      </rPr>
      <t>S</t>
    </r>
    <r>
      <rPr>
        <sz val="11"/>
        <color theme="1"/>
        <rFont val="宋体"/>
        <charset val="134"/>
      </rPr>
      <t>、</t>
    </r>
    <r>
      <rPr>
        <sz val="11"/>
        <color theme="1"/>
        <rFont val="Times New Roman"/>
        <family val="1"/>
      </rPr>
      <t>A’</t>
    </r>
    <r>
      <rPr>
        <vertAlign val="subscript"/>
        <sz val="11"/>
        <color theme="1"/>
        <rFont val="Times New Roman"/>
        <family val="1"/>
      </rPr>
      <t>p</t>
    </r>
    <r>
      <rPr>
        <sz val="11"/>
        <color theme="1"/>
        <rFont val="宋体"/>
        <charset val="134"/>
      </rPr>
      <t>即</t>
    </r>
    <r>
      <rPr>
        <sz val="11"/>
        <color theme="1"/>
        <rFont val="Times New Roman"/>
        <family val="1"/>
      </rPr>
      <t>A’</t>
    </r>
    <r>
      <rPr>
        <vertAlign val="subscript"/>
        <sz val="11"/>
        <color theme="1"/>
        <rFont val="Times New Roman"/>
        <family val="1"/>
      </rPr>
      <t>k</t>
    </r>
    <r>
      <rPr>
        <sz val="11"/>
        <color theme="1"/>
        <rFont val="宋体"/>
        <charset val="134"/>
      </rPr>
      <t>决定如何输入公式，</t>
    </r>
  </si>
  <si>
    <r>
      <rPr>
        <sz val="11"/>
        <rFont val="宋体"/>
        <charset val="134"/>
      </rPr>
      <t>混凝土收缩和徐变引起的受拉、受压区纵向预应力损失值</t>
    </r>
    <r>
      <rPr>
        <sz val="11"/>
        <rFont val="Times New Roman"/>
        <family val="1"/>
      </rPr>
      <t>σ</t>
    </r>
    <r>
      <rPr>
        <vertAlign val="subscript"/>
        <sz val="11"/>
        <rFont val="Times New Roman"/>
        <family val="1"/>
      </rPr>
      <t>L5</t>
    </r>
    <r>
      <rPr>
        <vertAlign val="subscript"/>
        <sz val="11"/>
        <rFont val="宋体"/>
        <charset val="134"/>
      </rPr>
      <t>、</t>
    </r>
    <r>
      <rPr>
        <sz val="11"/>
        <rFont val="Times New Roman"/>
        <family val="1"/>
      </rPr>
      <t>σ'</t>
    </r>
    <r>
      <rPr>
        <vertAlign val="subscript"/>
        <sz val="11"/>
        <rFont val="Times New Roman"/>
        <family val="1"/>
      </rPr>
      <t>L5</t>
    </r>
  </si>
  <si>
    <r>
      <rPr>
        <sz val="11"/>
        <color theme="1"/>
        <rFont val="Times New Roman"/>
        <family val="1"/>
      </rPr>
      <t>A'S</t>
    </r>
    <r>
      <rPr>
        <sz val="11"/>
        <color theme="1"/>
        <rFont val="宋体"/>
        <charset val="134"/>
      </rPr>
      <t>、</t>
    </r>
    <r>
      <rPr>
        <sz val="11"/>
        <color theme="1"/>
        <rFont val="Times New Roman"/>
        <family val="1"/>
      </rPr>
      <t>A’p</t>
    </r>
    <r>
      <rPr>
        <sz val="11"/>
        <color theme="1"/>
        <rFont val="宋体"/>
        <charset val="134"/>
      </rPr>
      <t>无，则为</t>
    </r>
    <r>
      <rPr>
        <sz val="11"/>
        <color theme="1"/>
        <rFont val="Times New Roman"/>
        <family val="1"/>
      </rPr>
      <t>0</t>
    </r>
    <r>
      <rPr>
        <sz val="11"/>
        <color theme="1"/>
        <rFont val="宋体"/>
        <charset val="134"/>
      </rPr>
      <t>，为负值，也取</t>
    </r>
    <r>
      <rPr>
        <sz val="11"/>
        <color theme="1"/>
        <rFont val="Times New Roman"/>
        <family val="1"/>
      </rPr>
      <t>0</t>
    </r>
  </si>
  <si>
    <r>
      <rPr>
        <sz val="12"/>
        <rFont val="宋体"/>
        <charset val="134"/>
      </rPr>
      <t>受拉区预应力筋和非预应力筋的配筋率</t>
    </r>
    <r>
      <rPr>
        <sz val="12"/>
        <rFont val="Times New Roman"/>
        <family val="1"/>
      </rPr>
      <t>ρ=</t>
    </r>
  </si>
  <si>
    <r>
      <rPr>
        <sz val="12"/>
        <rFont val="宋体"/>
        <charset val="134"/>
      </rPr>
      <t>受压区预应力筋和非预应力筋的配筋率</t>
    </r>
    <r>
      <rPr>
        <sz val="12"/>
        <rFont val="Times New Roman"/>
        <family val="1"/>
      </rPr>
      <t>ρ’=</t>
    </r>
  </si>
  <si>
    <r>
      <rPr>
        <sz val="11"/>
        <color theme="1"/>
        <rFont val="宋体"/>
        <charset val="134"/>
      </rPr>
      <t>②</t>
    </r>
  </si>
  <si>
    <r>
      <rPr>
        <b/>
        <sz val="11"/>
        <color rgb="FF0000FF"/>
        <rFont val="Times New Roman"/>
        <family val="1"/>
      </rPr>
      <t>σ</t>
    </r>
    <r>
      <rPr>
        <b/>
        <vertAlign val="subscript"/>
        <sz val="11"/>
        <color rgb="FF0000FF"/>
        <rFont val="Times New Roman"/>
        <family val="1"/>
      </rPr>
      <t>l5</t>
    </r>
    <r>
      <rPr>
        <b/>
        <sz val="11"/>
        <color rgb="FF0000FF"/>
        <rFont val="Times New Roman"/>
        <family val="1"/>
      </rPr>
      <t>=</t>
    </r>
  </si>
  <si>
    <r>
      <rPr>
        <sz val="11"/>
        <rFont val="Times New Roman"/>
        <family val="1"/>
      </rPr>
      <t>σ'</t>
    </r>
    <r>
      <rPr>
        <vertAlign val="subscript"/>
        <sz val="11"/>
        <rFont val="Times New Roman"/>
        <family val="1"/>
      </rPr>
      <t>l5</t>
    </r>
    <r>
      <rPr>
        <sz val="11"/>
        <rFont val="Times New Roman"/>
        <family val="1"/>
      </rPr>
      <t>=</t>
    </r>
  </si>
  <si>
    <r>
      <rPr>
        <sz val="11"/>
        <color rgb="FF0000FF"/>
        <rFont val="宋体"/>
        <charset val="134"/>
      </rPr>
      <t>贵州用的国外经验</t>
    </r>
    <r>
      <rPr>
        <sz val="11"/>
        <color rgb="FF0000FF"/>
        <rFont val="Times New Roman"/>
        <family val="1"/>
      </rPr>
      <t>0.25σ</t>
    </r>
    <r>
      <rPr>
        <vertAlign val="subscript"/>
        <sz val="11"/>
        <color rgb="FF0000FF"/>
        <rFont val="Times New Roman"/>
        <family val="1"/>
      </rPr>
      <t>con</t>
    </r>
    <r>
      <rPr>
        <sz val="11"/>
        <color rgb="FF0000FF"/>
        <rFont val="宋体"/>
        <charset val="134"/>
      </rPr>
      <t>？我没有</t>
    </r>
  </si>
  <si>
    <r>
      <rPr>
        <sz val="11"/>
        <rFont val="黑体"/>
        <charset val="134"/>
      </rPr>
      <t>根据计算出的</t>
    </r>
    <r>
      <rPr>
        <sz val="11"/>
        <rFont val="Times New Roman"/>
        <family val="1"/>
      </rPr>
      <t>σ</t>
    </r>
    <r>
      <rPr>
        <vertAlign val="subscript"/>
        <sz val="11"/>
        <rFont val="Times New Roman"/>
        <family val="1"/>
      </rPr>
      <t>l5</t>
    </r>
    <r>
      <rPr>
        <sz val="11"/>
        <rFont val="黑体"/>
        <charset val="134"/>
      </rPr>
      <t>重新计算</t>
    </r>
    <r>
      <rPr>
        <sz val="11"/>
        <rFont val="Times New Roman"/>
        <family val="1"/>
      </rPr>
      <t>σ</t>
    </r>
    <r>
      <rPr>
        <vertAlign val="subscript"/>
        <sz val="11"/>
        <rFont val="Times New Roman"/>
        <family val="1"/>
      </rPr>
      <t>pe</t>
    </r>
    <r>
      <rPr>
        <sz val="11"/>
        <rFont val="黑体"/>
        <charset val="134"/>
      </rPr>
      <t>、</t>
    </r>
    <r>
      <rPr>
        <sz val="11"/>
        <rFont val="Times New Roman"/>
        <family val="1"/>
      </rPr>
      <t>σ</t>
    </r>
    <r>
      <rPr>
        <vertAlign val="subscript"/>
        <sz val="11"/>
        <rFont val="Times New Roman"/>
        <family val="1"/>
      </rPr>
      <t>pc</t>
    </r>
    <r>
      <rPr>
        <sz val="11"/>
        <rFont val="黑体"/>
        <charset val="134"/>
      </rPr>
      <t>：</t>
    </r>
  </si>
  <si>
    <r>
      <rPr>
        <sz val="11"/>
        <rFont val="宋体"/>
        <charset val="134"/>
      </rPr>
      <t>预应力钢筋的有效应力</t>
    </r>
    <r>
      <rPr>
        <sz val="11"/>
        <rFont val="Times New Roman"/>
        <family val="1"/>
      </rPr>
      <t>σ</t>
    </r>
    <r>
      <rPr>
        <vertAlign val="superscript"/>
        <sz val="11"/>
        <rFont val="Times New Roman"/>
        <family val="1"/>
      </rPr>
      <t>'</t>
    </r>
    <r>
      <rPr>
        <vertAlign val="subscript"/>
        <sz val="11"/>
        <rFont val="Times New Roman"/>
        <family val="1"/>
      </rPr>
      <t>pe</t>
    </r>
    <r>
      <rPr>
        <sz val="11"/>
        <rFont val="Times New Roman"/>
        <family val="1"/>
      </rPr>
      <t>=σ</t>
    </r>
    <r>
      <rPr>
        <vertAlign val="subscript"/>
        <sz val="11"/>
        <rFont val="Times New Roman"/>
        <family val="1"/>
      </rPr>
      <t>pe</t>
    </r>
    <r>
      <rPr>
        <sz val="11"/>
        <rFont val="Times New Roman"/>
        <family val="1"/>
      </rPr>
      <t>=σ</t>
    </r>
    <r>
      <rPr>
        <vertAlign val="subscript"/>
        <sz val="11"/>
        <rFont val="Times New Roman"/>
        <family val="1"/>
      </rPr>
      <t>con</t>
    </r>
    <r>
      <rPr>
        <sz val="11"/>
        <rFont val="Times New Roman"/>
        <family val="1"/>
      </rPr>
      <t>-σ</t>
    </r>
    <r>
      <rPr>
        <vertAlign val="subscript"/>
        <sz val="11"/>
        <rFont val="Times New Roman"/>
        <family val="1"/>
      </rPr>
      <t>l</t>
    </r>
    <r>
      <rPr>
        <sz val="11"/>
        <rFont val="Times New Roman"/>
        <family val="1"/>
      </rPr>
      <t>=</t>
    </r>
  </si>
  <si>
    <r>
      <rPr>
        <sz val="11"/>
        <rFont val="宋体"/>
        <charset val="134"/>
      </rPr>
      <t>受拉区边缘处的混凝土法向压应力</t>
    </r>
    <r>
      <rPr>
        <sz val="11"/>
        <rFont val="Times New Roman"/>
        <family val="1"/>
      </rPr>
      <t>σ</t>
    </r>
    <r>
      <rPr>
        <vertAlign val="subscript"/>
        <sz val="11"/>
        <rFont val="Times New Roman"/>
        <family val="1"/>
      </rPr>
      <t>pc</t>
    </r>
    <r>
      <rPr>
        <sz val="11"/>
        <rFont val="宋体"/>
        <charset val="134"/>
      </rPr>
      <t>及受压区边缘处的混凝土法向应力</t>
    </r>
    <r>
      <rPr>
        <sz val="11"/>
        <rFont val="Times New Roman"/>
        <family val="1"/>
      </rPr>
      <t>σ'</t>
    </r>
    <r>
      <rPr>
        <vertAlign val="subscript"/>
        <sz val="11"/>
        <rFont val="Times New Roman"/>
        <family val="1"/>
      </rPr>
      <t>pc</t>
    </r>
    <r>
      <rPr>
        <sz val="11"/>
        <rFont val="Times New Roman"/>
        <family val="1"/>
      </rPr>
      <t>:</t>
    </r>
  </si>
  <si>
    <r>
      <rPr>
        <sz val="11"/>
        <color theme="1"/>
        <rFont val="宋体"/>
        <charset val="134"/>
      </rPr>
      <t>压应力</t>
    </r>
  </si>
  <si>
    <r>
      <rPr>
        <sz val="11"/>
        <color theme="1"/>
        <rFont val="宋体"/>
        <charset val="134"/>
      </rPr>
      <t>拉应力</t>
    </r>
  </si>
  <si>
    <r>
      <rPr>
        <sz val="11"/>
        <rFont val="黑体"/>
        <charset val="134"/>
      </rPr>
      <t>计算受拉区预应力钢筋合力点处混凝土法向应力为零时的预应力钢筋应力：</t>
    </r>
  </si>
  <si>
    <r>
      <rPr>
        <sz val="10"/>
        <rFont val="宋体"/>
        <charset val="134"/>
      </rPr>
      <t>受拉区预应力钢筋的有效应力</t>
    </r>
    <r>
      <rPr>
        <sz val="10"/>
        <rFont val="Times New Roman"/>
        <family val="1"/>
      </rPr>
      <t>σ</t>
    </r>
    <r>
      <rPr>
        <vertAlign val="subscript"/>
        <sz val="10"/>
        <rFont val="Times New Roman"/>
        <family val="1"/>
      </rPr>
      <t>p0</t>
    </r>
    <r>
      <rPr>
        <sz val="10"/>
        <rFont val="Times New Roman"/>
        <family val="1"/>
      </rPr>
      <t>=σ</t>
    </r>
    <r>
      <rPr>
        <vertAlign val="subscript"/>
        <sz val="10"/>
        <rFont val="Times New Roman"/>
        <family val="1"/>
      </rPr>
      <t>con</t>
    </r>
    <r>
      <rPr>
        <sz val="10"/>
        <rFont val="Times New Roman"/>
        <family val="1"/>
      </rPr>
      <t>-σ</t>
    </r>
    <r>
      <rPr>
        <vertAlign val="subscript"/>
        <sz val="10"/>
        <rFont val="Times New Roman"/>
        <family val="1"/>
      </rPr>
      <t>L</t>
    </r>
    <r>
      <rPr>
        <sz val="10"/>
        <rFont val="Times New Roman"/>
        <family val="1"/>
      </rPr>
      <t>+α</t>
    </r>
    <r>
      <rPr>
        <vertAlign val="superscript"/>
        <sz val="10"/>
        <rFont val="Times New Roman"/>
        <family val="1"/>
      </rPr>
      <t>'</t>
    </r>
    <r>
      <rPr>
        <vertAlign val="subscript"/>
        <sz val="10"/>
        <rFont val="Times New Roman"/>
        <family val="1"/>
      </rPr>
      <t>p</t>
    </r>
    <r>
      <rPr>
        <sz val="10"/>
        <rFont val="Times New Roman"/>
        <family val="1"/>
      </rPr>
      <t>σ</t>
    </r>
    <r>
      <rPr>
        <vertAlign val="subscript"/>
        <sz val="10"/>
        <rFont val="Times New Roman"/>
        <family val="1"/>
      </rPr>
      <t>pc</t>
    </r>
    <r>
      <rPr>
        <sz val="10"/>
        <rFont val="Times New Roman"/>
        <family val="1"/>
      </rPr>
      <t>=</t>
    </r>
  </si>
  <si>
    <r>
      <rPr>
        <sz val="10"/>
        <rFont val="宋体"/>
        <charset val="134"/>
      </rPr>
      <t>受压区预应力钢筋的有效应力</t>
    </r>
    <r>
      <rPr>
        <sz val="10"/>
        <rFont val="Times New Roman"/>
        <family val="1"/>
      </rPr>
      <t>σ</t>
    </r>
    <r>
      <rPr>
        <vertAlign val="superscript"/>
        <sz val="10"/>
        <rFont val="Times New Roman"/>
        <family val="1"/>
      </rPr>
      <t>'</t>
    </r>
    <r>
      <rPr>
        <vertAlign val="subscript"/>
        <sz val="10"/>
        <rFont val="Times New Roman"/>
        <family val="1"/>
      </rPr>
      <t>p0</t>
    </r>
    <r>
      <rPr>
        <sz val="10"/>
        <rFont val="Times New Roman"/>
        <family val="1"/>
      </rPr>
      <t>=σ</t>
    </r>
    <r>
      <rPr>
        <vertAlign val="subscript"/>
        <sz val="10"/>
        <rFont val="Times New Roman"/>
        <family val="1"/>
      </rPr>
      <t>con</t>
    </r>
    <r>
      <rPr>
        <sz val="10"/>
        <rFont val="Times New Roman"/>
        <family val="1"/>
      </rPr>
      <t>-σ</t>
    </r>
    <r>
      <rPr>
        <vertAlign val="subscript"/>
        <sz val="10"/>
        <rFont val="Times New Roman"/>
        <family val="1"/>
      </rPr>
      <t>L</t>
    </r>
    <r>
      <rPr>
        <sz val="10"/>
        <rFont val="Times New Roman"/>
        <family val="1"/>
      </rPr>
      <t>+α</t>
    </r>
    <r>
      <rPr>
        <vertAlign val="superscript"/>
        <sz val="10"/>
        <rFont val="Times New Roman"/>
        <family val="1"/>
      </rPr>
      <t>'</t>
    </r>
    <r>
      <rPr>
        <vertAlign val="subscript"/>
        <sz val="10"/>
        <rFont val="Times New Roman"/>
        <family val="1"/>
      </rPr>
      <t>p</t>
    </r>
    <r>
      <rPr>
        <sz val="10"/>
        <rFont val="Times New Roman"/>
        <family val="1"/>
      </rPr>
      <t>σ’</t>
    </r>
    <r>
      <rPr>
        <vertAlign val="subscript"/>
        <sz val="10"/>
        <rFont val="Times New Roman"/>
        <family val="1"/>
      </rPr>
      <t>pc</t>
    </r>
    <r>
      <rPr>
        <sz val="10"/>
        <rFont val="Times New Roman"/>
        <family val="1"/>
      </rPr>
      <t>=</t>
    </r>
  </si>
  <si>
    <r>
      <rPr>
        <sz val="11"/>
        <rFont val="黑体"/>
        <charset val="134"/>
      </rPr>
      <t>配筋计算：</t>
    </r>
  </si>
  <si>
    <r>
      <rPr>
        <sz val="11"/>
        <rFont val="宋体"/>
        <charset val="134"/>
      </rPr>
      <t>根据《水工混凝土结构设计规范》（</t>
    </r>
    <r>
      <rPr>
        <sz val="11"/>
        <rFont val="Times New Roman"/>
        <family val="1"/>
      </rPr>
      <t>SL 191-2008</t>
    </r>
    <r>
      <rPr>
        <sz val="11"/>
        <rFont val="宋体"/>
        <charset val="134"/>
      </rPr>
      <t>）</t>
    </r>
    <r>
      <rPr>
        <sz val="11"/>
        <rFont val="Times New Roman"/>
        <family val="1"/>
      </rPr>
      <t>8.3.2</t>
    </r>
    <r>
      <rPr>
        <sz val="11"/>
        <rFont val="宋体"/>
        <charset val="134"/>
      </rPr>
      <t>条，钢绞线</t>
    </r>
    <r>
      <rPr>
        <sz val="11"/>
        <rFont val="Times New Roman"/>
        <family val="1"/>
      </rPr>
      <t>ζ</t>
    </r>
    <r>
      <rPr>
        <vertAlign val="subscript"/>
        <sz val="11"/>
        <rFont val="Times New Roman"/>
        <family val="1"/>
      </rPr>
      <t>b</t>
    </r>
    <r>
      <rPr>
        <sz val="11"/>
        <rFont val="宋体"/>
        <charset val="134"/>
      </rPr>
      <t>的计算如下：</t>
    </r>
  </si>
  <si>
    <r>
      <rPr>
        <sz val="11"/>
        <rFont val="Times New Roman"/>
        <family val="1"/>
      </rPr>
      <t>f</t>
    </r>
    <r>
      <rPr>
        <vertAlign val="subscript"/>
        <sz val="11"/>
        <rFont val="Times New Roman"/>
        <family val="1"/>
      </rPr>
      <t>py</t>
    </r>
    <r>
      <rPr>
        <sz val="11"/>
        <rFont val="Times New Roman"/>
        <family val="1"/>
      </rPr>
      <t>——</t>
    </r>
    <r>
      <rPr>
        <sz val="11"/>
        <rFont val="宋体"/>
        <charset val="134"/>
      </rPr>
      <t>纵向预应力钢筋抗拉强度设计值；</t>
    </r>
  </si>
  <si>
    <r>
      <rPr>
        <sz val="11"/>
        <rFont val="Times New Roman"/>
        <family val="1"/>
      </rPr>
      <t>ζ</t>
    </r>
    <r>
      <rPr>
        <vertAlign val="subscript"/>
        <sz val="11"/>
        <rFont val="Times New Roman"/>
        <family val="1"/>
      </rPr>
      <t>b</t>
    </r>
    <r>
      <rPr>
        <sz val="11"/>
        <rFont val="Times New Roman"/>
        <family val="1"/>
      </rPr>
      <t>——</t>
    </r>
    <r>
      <rPr>
        <sz val="11"/>
        <rFont val="宋体"/>
        <charset val="134"/>
      </rPr>
      <t>相对界限受压区高度；</t>
    </r>
  </si>
  <si>
    <r>
      <rPr>
        <sz val="11"/>
        <rFont val="Times New Roman"/>
        <family val="1"/>
      </rPr>
      <t>σ</t>
    </r>
    <r>
      <rPr>
        <vertAlign val="subscript"/>
        <sz val="11"/>
        <rFont val="Times New Roman"/>
        <family val="1"/>
      </rPr>
      <t>p0</t>
    </r>
    <r>
      <rPr>
        <sz val="11"/>
        <rFont val="Times New Roman"/>
        <family val="1"/>
      </rPr>
      <t>——</t>
    </r>
    <r>
      <rPr>
        <sz val="11"/>
        <rFont val="宋体"/>
        <charset val="134"/>
      </rPr>
      <t>截面受拉区纵向预应力钢筋合力处混凝土法向应力等于零时的预应力钢筋应力；</t>
    </r>
  </si>
  <si>
    <r>
      <rPr>
        <sz val="11"/>
        <rFont val="宋体"/>
        <charset val="134"/>
      </rPr>
      <t>钢绞线</t>
    </r>
    <r>
      <rPr>
        <sz val="11"/>
        <rFont val="Times New Roman"/>
        <family val="1"/>
      </rPr>
      <t>ζ</t>
    </r>
    <r>
      <rPr>
        <vertAlign val="subscript"/>
        <sz val="11"/>
        <rFont val="Times New Roman"/>
        <family val="1"/>
      </rPr>
      <t>b</t>
    </r>
    <r>
      <rPr>
        <sz val="11"/>
        <rFont val="Times New Roman"/>
        <family val="1"/>
      </rPr>
      <t>=</t>
    </r>
  </si>
  <si>
    <r>
      <rPr>
        <u/>
        <sz val="11"/>
        <rFont val="宋体"/>
        <charset val="134"/>
      </rPr>
      <t>非预应力</t>
    </r>
    <r>
      <rPr>
        <u/>
        <sz val="11"/>
        <rFont val="Times New Roman"/>
        <family val="1"/>
      </rPr>
      <t>φ</t>
    </r>
    <r>
      <rPr>
        <sz val="11"/>
        <rFont val="宋体"/>
        <charset val="134"/>
      </rPr>
      <t>钢筋</t>
    </r>
    <r>
      <rPr>
        <sz val="11"/>
        <rFont val="Times New Roman"/>
        <family val="1"/>
      </rPr>
      <t>ζ</t>
    </r>
    <r>
      <rPr>
        <vertAlign val="subscript"/>
        <sz val="11"/>
        <rFont val="Times New Roman"/>
        <family val="1"/>
      </rPr>
      <t>b</t>
    </r>
    <r>
      <rPr>
        <sz val="11"/>
        <rFont val="Times New Roman"/>
        <family val="1"/>
      </rPr>
      <t>=</t>
    </r>
  </si>
  <si>
    <r>
      <rPr>
        <sz val="11"/>
        <rFont val="宋体"/>
        <charset val="134"/>
      </rPr>
      <t>取小值，即</t>
    </r>
    <r>
      <rPr>
        <sz val="11"/>
        <rFont val="Times New Roman"/>
        <family val="1"/>
      </rPr>
      <t>ζ</t>
    </r>
    <r>
      <rPr>
        <vertAlign val="subscript"/>
        <sz val="11"/>
        <rFont val="Times New Roman"/>
        <family val="1"/>
      </rPr>
      <t>b</t>
    </r>
    <r>
      <rPr>
        <sz val="11"/>
        <rFont val="Times New Roman"/>
        <family val="1"/>
      </rPr>
      <t>=</t>
    </r>
  </si>
  <si>
    <r>
      <rPr>
        <sz val="12"/>
        <rFont val="宋体"/>
        <charset val="134"/>
      </rPr>
      <t>鉴别中和轴位置</t>
    </r>
  </si>
  <si>
    <r>
      <rPr>
        <sz val="12"/>
        <rFont val="宋体"/>
        <charset val="134"/>
      </rPr>
      <t>受压区高度</t>
    </r>
    <r>
      <rPr>
        <sz val="12"/>
        <rFont val="Times New Roman"/>
        <family val="1"/>
      </rPr>
      <t>x=</t>
    </r>
  </si>
  <si>
    <r>
      <rPr>
        <sz val="11"/>
        <rFont val="Times New Roman"/>
        <family val="1"/>
      </rPr>
      <t>0.85ζ</t>
    </r>
    <r>
      <rPr>
        <vertAlign val="subscript"/>
        <sz val="11"/>
        <rFont val="Times New Roman"/>
        <family val="1"/>
      </rPr>
      <t>b</t>
    </r>
    <r>
      <rPr>
        <sz val="11"/>
        <rFont val="Times New Roman"/>
        <family val="1"/>
      </rPr>
      <t>h</t>
    </r>
    <r>
      <rPr>
        <vertAlign val="subscript"/>
        <sz val="11"/>
        <rFont val="Times New Roman"/>
        <family val="1"/>
      </rPr>
      <t>0</t>
    </r>
    <r>
      <rPr>
        <sz val="11"/>
        <rFont val="Times New Roman"/>
        <family val="1"/>
      </rPr>
      <t>=</t>
    </r>
  </si>
  <si>
    <r>
      <rPr>
        <sz val="11"/>
        <rFont val="Times New Roman"/>
        <family val="1"/>
      </rPr>
      <t>2a</t>
    </r>
    <r>
      <rPr>
        <vertAlign val="superscript"/>
        <sz val="11"/>
        <rFont val="Times New Roman"/>
        <family val="1"/>
      </rPr>
      <t>'</t>
    </r>
    <r>
      <rPr>
        <sz val="11"/>
        <rFont val="Times New Roman"/>
        <family val="1"/>
      </rPr>
      <t>=</t>
    </r>
  </si>
  <si>
    <t>T=</t>
  </si>
  <si>
    <t>N.mm</t>
  </si>
  <si>
    <r>
      <rPr>
        <sz val="11"/>
        <rFont val="宋体"/>
        <charset val="134"/>
      </rPr>
      <t>承载力安全系数</t>
    </r>
    <r>
      <rPr>
        <sz val="11"/>
        <rFont val="Times New Roman"/>
        <family val="1"/>
      </rPr>
      <t>K=</t>
    </r>
  </si>
  <si>
    <r>
      <rPr>
        <sz val="11"/>
        <rFont val="宋体"/>
        <charset val="134"/>
      </rPr>
      <t>跨中弯矩设计值</t>
    </r>
    <r>
      <rPr>
        <sz val="11"/>
        <rFont val="Times New Roman"/>
        <family val="1"/>
      </rPr>
      <t>M=</t>
    </r>
  </si>
  <si>
    <t>KM=</t>
  </si>
  <si>
    <t>KM</t>
  </si>
  <si>
    <t>T</t>
  </si>
  <si>
    <r>
      <rPr>
        <sz val="12"/>
        <rFont val="Times New Roman"/>
        <family val="1"/>
      </rPr>
      <t>3.4</t>
    </r>
    <r>
      <rPr>
        <sz val="12"/>
        <rFont val="黑体"/>
        <charset val="134"/>
      </rPr>
      <t>斜截面受剪承载力计算</t>
    </r>
  </si>
  <si>
    <r>
      <rPr>
        <sz val="11"/>
        <rFont val="宋体"/>
        <charset val="134"/>
      </rPr>
      <t>支座剪力设计值</t>
    </r>
    <r>
      <rPr>
        <sz val="11"/>
        <rFont val="Times New Roman"/>
        <family val="1"/>
      </rPr>
      <t>V=</t>
    </r>
  </si>
  <si>
    <t>KV=</t>
  </si>
  <si>
    <r>
      <rPr>
        <sz val="11"/>
        <rFont val="宋体"/>
        <charset val="134"/>
      </rPr>
      <t>截面的腹板高度</t>
    </r>
    <r>
      <rPr>
        <sz val="11"/>
        <rFont val="Times New Roman"/>
        <family val="1"/>
      </rPr>
      <t>h</t>
    </r>
    <r>
      <rPr>
        <vertAlign val="subscript"/>
        <sz val="11"/>
        <rFont val="Times New Roman"/>
        <family val="1"/>
      </rPr>
      <t>w</t>
    </r>
    <r>
      <rPr>
        <sz val="11"/>
        <rFont val="Times New Roman"/>
        <family val="1"/>
      </rPr>
      <t>=</t>
    </r>
  </si>
  <si>
    <r>
      <rPr>
        <sz val="11"/>
        <rFont val="宋体"/>
        <charset val="134"/>
      </rPr>
      <t>腹板的宽度</t>
    </r>
    <r>
      <rPr>
        <sz val="11"/>
        <rFont val="Times New Roman"/>
        <family val="1"/>
      </rPr>
      <t>b=</t>
    </r>
  </si>
  <si>
    <r>
      <rPr>
        <sz val="11"/>
        <rFont val="Times New Roman"/>
        <family val="1"/>
      </rPr>
      <t>h</t>
    </r>
    <r>
      <rPr>
        <vertAlign val="subscript"/>
        <sz val="11"/>
        <rFont val="Times New Roman"/>
        <family val="1"/>
      </rPr>
      <t>w</t>
    </r>
    <r>
      <rPr>
        <sz val="11"/>
        <rFont val="Times New Roman"/>
        <family val="1"/>
      </rPr>
      <t>/b=</t>
    </r>
  </si>
  <si>
    <r>
      <rPr>
        <sz val="11"/>
        <color rgb="FF000000"/>
        <rFont val="Times New Roman"/>
        <family val="1"/>
      </rPr>
      <t>f</t>
    </r>
    <r>
      <rPr>
        <vertAlign val="subscript"/>
        <sz val="11"/>
        <color rgb="FF000000"/>
        <rFont val="Times New Roman"/>
        <family val="1"/>
      </rPr>
      <t>c</t>
    </r>
    <r>
      <rPr>
        <sz val="11"/>
        <color rgb="FF000000"/>
        <rFont val="Times New Roman"/>
        <family val="1"/>
      </rPr>
      <t>bh</t>
    </r>
    <r>
      <rPr>
        <vertAlign val="subscript"/>
        <sz val="11"/>
        <color rgb="FF000000"/>
        <rFont val="Times New Roman"/>
        <family val="1"/>
      </rPr>
      <t>0</t>
    </r>
    <r>
      <rPr>
        <sz val="11"/>
        <color rgb="FF000000"/>
        <rFont val="Times New Roman"/>
        <family val="1"/>
      </rPr>
      <t>=</t>
    </r>
  </si>
  <si>
    <r>
      <rPr>
        <sz val="11"/>
        <rFont val="宋体"/>
        <charset val="134"/>
      </rPr>
      <t>判定是否按照计算配置箍筋</t>
    </r>
  </si>
  <si>
    <r>
      <rPr>
        <sz val="11"/>
        <rFont val="黑体"/>
        <charset val="134"/>
      </rPr>
      <t>混凝土的受剪承载力</t>
    </r>
    <r>
      <rPr>
        <sz val="11"/>
        <rFont val="Times New Roman"/>
        <family val="1"/>
      </rPr>
      <t>V</t>
    </r>
    <r>
      <rPr>
        <vertAlign val="subscript"/>
        <sz val="11"/>
        <rFont val="Times New Roman"/>
        <family val="1"/>
      </rPr>
      <t>c</t>
    </r>
    <r>
      <rPr>
        <sz val="11"/>
        <rFont val="Times New Roman"/>
        <family val="1"/>
      </rPr>
      <t>=0.7f</t>
    </r>
    <r>
      <rPr>
        <vertAlign val="subscript"/>
        <sz val="11"/>
        <rFont val="Times New Roman"/>
        <family val="1"/>
      </rPr>
      <t>t</t>
    </r>
    <r>
      <rPr>
        <sz val="11"/>
        <rFont val="Times New Roman"/>
        <family val="1"/>
      </rPr>
      <t>bh</t>
    </r>
    <r>
      <rPr>
        <vertAlign val="subscript"/>
        <sz val="11"/>
        <rFont val="Times New Roman"/>
        <family val="1"/>
      </rPr>
      <t>o</t>
    </r>
    <r>
      <rPr>
        <sz val="11"/>
        <rFont val="Times New Roman"/>
        <family val="1"/>
      </rPr>
      <t>=</t>
    </r>
  </si>
  <si>
    <r>
      <rPr>
        <sz val="10"/>
        <rFont val="宋体"/>
        <charset val="134"/>
      </rPr>
      <t>混凝土法向应力为零时纵向预应力筋及非预应力筋合力</t>
    </r>
    <r>
      <rPr>
        <sz val="10"/>
        <rFont val="Times New Roman"/>
        <family val="1"/>
      </rPr>
      <t>N</t>
    </r>
    <r>
      <rPr>
        <vertAlign val="subscript"/>
        <sz val="10"/>
        <rFont val="Times New Roman"/>
        <family val="1"/>
      </rPr>
      <t>p0</t>
    </r>
    <r>
      <rPr>
        <sz val="10"/>
        <rFont val="Times New Roman"/>
        <family val="1"/>
      </rPr>
      <t>=</t>
    </r>
  </si>
  <si>
    <r>
      <rPr>
        <sz val="11"/>
        <color theme="1"/>
        <rFont val="Times New Roman"/>
        <family val="1"/>
      </rPr>
      <t>0.3f</t>
    </r>
    <r>
      <rPr>
        <vertAlign val="subscript"/>
        <sz val="11"/>
        <color theme="1"/>
        <rFont val="Times New Roman"/>
        <family val="1"/>
      </rPr>
      <t>c</t>
    </r>
    <r>
      <rPr>
        <sz val="11"/>
        <color theme="1"/>
        <rFont val="Times New Roman"/>
        <family val="1"/>
      </rPr>
      <t>A</t>
    </r>
    <r>
      <rPr>
        <vertAlign val="subscript"/>
        <sz val="11"/>
        <color theme="1"/>
        <rFont val="Times New Roman"/>
        <family val="1"/>
      </rPr>
      <t>o</t>
    </r>
    <r>
      <rPr>
        <sz val="11"/>
        <color theme="1"/>
        <rFont val="Times New Roman"/>
        <family val="1"/>
      </rPr>
      <t>=</t>
    </r>
  </si>
  <si>
    <r>
      <rPr>
        <sz val="11"/>
        <color theme="1"/>
        <rFont val="Times New Roman"/>
        <family val="1"/>
      </rPr>
      <t>N</t>
    </r>
    <r>
      <rPr>
        <vertAlign val="subscript"/>
        <sz val="11"/>
        <color theme="1"/>
        <rFont val="Times New Roman"/>
        <family val="1"/>
      </rPr>
      <t>p0</t>
    </r>
    <r>
      <rPr>
        <sz val="11"/>
        <color theme="1"/>
        <rFont val="Times New Roman"/>
        <family val="1"/>
      </rPr>
      <t>=</t>
    </r>
  </si>
  <si>
    <r>
      <rPr>
        <sz val="11"/>
        <color theme="1"/>
        <rFont val="宋体"/>
        <charset val="134"/>
      </rPr>
      <t>取小者</t>
    </r>
  </si>
  <si>
    <r>
      <rPr>
        <sz val="11"/>
        <rFont val="黑体"/>
        <charset val="134"/>
      </rPr>
      <t>预应力提高的构件受剪承载力</t>
    </r>
    <r>
      <rPr>
        <sz val="11"/>
        <rFont val="Times New Roman"/>
        <family val="1"/>
      </rPr>
      <t>V</t>
    </r>
    <r>
      <rPr>
        <vertAlign val="subscript"/>
        <sz val="11"/>
        <rFont val="Times New Roman"/>
        <family val="1"/>
      </rPr>
      <t>p</t>
    </r>
    <r>
      <rPr>
        <sz val="11"/>
        <rFont val="Times New Roman"/>
        <family val="1"/>
      </rPr>
      <t>=0.05N</t>
    </r>
    <r>
      <rPr>
        <vertAlign val="subscript"/>
        <sz val="11"/>
        <rFont val="Times New Roman"/>
        <family val="1"/>
      </rPr>
      <t>p0</t>
    </r>
    <r>
      <rPr>
        <sz val="11"/>
        <rFont val="Times New Roman"/>
        <family val="1"/>
      </rPr>
      <t>=</t>
    </r>
  </si>
  <si>
    <t>Vc+Vp=</t>
  </si>
  <si>
    <r>
      <rPr>
        <sz val="11"/>
        <color theme="1"/>
        <rFont val="宋体"/>
        <charset val="134"/>
      </rPr>
      <t>配置箍筋计算，按构造选用</t>
    </r>
    <r>
      <rPr>
        <sz val="11"/>
        <color theme="1"/>
        <rFont val="Times New Roman"/>
        <family val="1"/>
      </rPr>
      <t>φ6@150</t>
    </r>
    <r>
      <rPr>
        <sz val="11"/>
        <color theme="1"/>
        <rFont val="宋体"/>
        <charset val="134"/>
      </rPr>
      <t>，沿槽身全长配置</t>
    </r>
  </si>
  <si>
    <r>
      <rPr>
        <sz val="12"/>
        <rFont val="宋体"/>
        <charset val="134"/>
      </rPr>
      <t>箍筋公称直径</t>
    </r>
    <r>
      <rPr>
        <sz val="12"/>
        <rFont val="Times New Roman"/>
        <family val="1"/>
      </rPr>
      <t>=</t>
    </r>
  </si>
  <si>
    <r>
      <rPr>
        <sz val="11"/>
        <rFont val="宋体"/>
        <charset val="134"/>
      </rPr>
      <t>单肢面积</t>
    </r>
    <r>
      <rPr>
        <sz val="11"/>
        <rFont val="Times New Roman"/>
        <family val="1"/>
      </rPr>
      <t>A</t>
    </r>
    <r>
      <rPr>
        <vertAlign val="subscript"/>
        <sz val="11"/>
        <rFont val="Times New Roman"/>
        <family val="1"/>
      </rPr>
      <t>vs1</t>
    </r>
    <r>
      <rPr>
        <sz val="11"/>
        <rFont val="Times New Roman"/>
        <family val="1"/>
      </rPr>
      <t>=</t>
    </r>
  </si>
  <si>
    <r>
      <rPr>
        <sz val="11"/>
        <rFont val="宋体"/>
        <charset val="134"/>
      </rPr>
      <t>同一截面内肢数</t>
    </r>
    <r>
      <rPr>
        <sz val="11"/>
        <rFont val="Times New Roman"/>
        <family val="1"/>
      </rPr>
      <t>n</t>
    </r>
    <r>
      <rPr>
        <vertAlign val="subscript"/>
        <sz val="11"/>
        <rFont val="Times New Roman"/>
        <family val="1"/>
      </rPr>
      <t>1</t>
    </r>
    <r>
      <rPr>
        <sz val="11"/>
        <rFont val="Times New Roman"/>
        <family val="1"/>
      </rPr>
      <t>=</t>
    </r>
  </si>
  <si>
    <r>
      <rPr>
        <sz val="11"/>
        <color theme="1"/>
        <rFont val="Times New Roman"/>
        <family val="1"/>
      </rPr>
      <t>A</t>
    </r>
    <r>
      <rPr>
        <vertAlign val="subscript"/>
        <sz val="11"/>
        <color theme="1"/>
        <rFont val="Times New Roman"/>
        <family val="1"/>
      </rPr>
      <t>sv</t>
    </r>
    <r>
      <rPr>
        <sz val="11"/>
        <color theme="1"/>
        <rFont val="Times New Roman"/>
        <family val="1"/>
      </rPr>
      <t>=</t>
    </r>
  </si>
  <si>
    <r>
      <rPr>
        <sz val="11"/>
        <color theme="1"/>
        <rFont val="宋体"/>
        <charset val="134"/>
      </rPr>
      <t>沿长度方向的箍筋间距</t>
    </r>
    <r>
      <rPr>
        <sz val="11"/>
        <color theme="1"/>
        <rFont val="Times New Roman"/>
        <family val="1"/>
      </rPr>
      <t>s=</t>
    </r>
  </si>
  <si>
    <r>
      <rPr>
        <sz val="12"/>
        <rFont val="宋体"/>
        <charset val="134"/>
      </rPr>
      <t>箍筋抗拉强度设计值</t>
    </r>
    <r>
      <rPr>
        <sz val="12"/>
        <rFont val="Times New Roman"/>
        <family val="1"/>
      </rPr>
      <t>f</t>
    </r>
    <r>
      <rPr>
        <vertAlign val="subscript"/>
        <sz val="12"/>
        <rFont val="Times New Roman"/>
        <family val="1"/>
      </rPr>
      <t>yv</t>
    </r>
    <r>
      <rPr>
        <sz val="12"/>
        <rFont val="Times New Roman"/>
        <family val="1"/>
      </rPr>
      <t>=</t>
    </r>
  </si>
  <si>
    <r>
      <rPr>
        <sz val="11"/>
        <rFont val="黑体"/>
        <charset val="134"/>
      </rPr>
      <t>竖向精扎钢筋受剪承载力</t>
    </r>
    <r>
      <rPr>
        <sz val="11"/>
        <rFont val="Times New Roman"/>
        <family val="1"/>
      </rPr>
      <t>V</t>
    </r>
    <r>
      <rPr>
        <vertAlign val="subscript"/>
        <sz val="11"/>
        <rFont val="Times New Roman"/>
        <family val="1"/>
      </rPr>
      <t>SV</t>
    </r>
    <r>
      <rPr>
        <sz val="11"/>
        <rFont val="Times New Roman"/>
        <family val="1"/>
      </rPr>
      <t>=1.25f</t>
    </r>
    <r>
      <rPr>
        <vertAlign val="subscript"/>
        <sz val="11"/>
        <rFont val="Times New Roman"/>
        <family val="1"/>
      </rPr>
      <t>yv</t>
    </r>
    <r>
      <rPr>
        <sz val="11"/>
        <rFont val="Times New Roman"/>
        <family val="1"/>
      </rPr>
      <t>A</t>
    </r>
    <r>
      <rPr>
        <vertAlign val="subscript"/>
        <sz val="11"/>
        <rFont val="Times New Roman"/>
        <family val="1"/>
      </rPr>
      <t>sv</t>
    </r>
    <r>
      <rPr>
        <sz val="11"/>
        <rFont val="Times New Roman"/>
        <family val="1"/>
      </rPr>
      <t>h</t>
    </r>
    <r>
      <rPr>
        <vertAlign val="subscript"/>
        <sz val="11"/>
        <rFont val="Times New Roman"/>
        <family val="1"/>
      </rPr>
      <t>0</t>
    </r>
    <r>
      <rPr>
        <sz val="11"/>
        <rFont val="Times New Roman"/>
        <family val="1"/>
      </rPr>
      <t>/s=</t>
    </r>
  </si>
  <si>
    <r>
      <rPr>
        <sz val="12"/>
        <rFont val="Times New Roman"/>
        <family val="1"/>
      </rPr>
      <t>V</t>
    </r>
    <r>
      <rPr>
        <vertAlign val="subscript"/>
        <sz val="12"/>
        <rFont val="Times New Roman"/>
        <family val="1"/>
      </rPr>
      <t>c</t>
    </r>
    <r>
      <rPr>
        <sz val="12"/>
        <rFont val="Times New Roman"/>
        <family val="1"/>
      </rPr>
      <t>+V</t>
    </r>
    <r>
      <rPr>
        <vertAlign val="subscript"/>
        <sz val="12"/>
        <rFont val="Times New Roman"/>
        <family val="1"/>
      </rPr>
      <t>p</t>
    </r>
    <r>
      <rPr>
        <sz val="12"/>
        <rFont val="Times New Roman"/>
        <family val="1"/>
      </rPr>
      <t>+V</t>
    </r>
    <r>
      <rPr>
        <vertAlign val="subscript"/>
        <sz val="12"/>
        <rFont val="Times New Roman"/>
        <family val="1"/>
      </rPr>
      <t>sv</t>
    </r>
    <r>
      <rPr>
        <sz val="12"/>
        <rFont val="Times New Roman"/>
        <family val="1"/>
      </rPr>
      <t>=</t>
    </r>
  </si>
  <si>
    <r>
      <rPr>
        <sz val="11"/>
        <color theme="1"/>
        <rFont val="宋体"/>
        <charset val="134"/>
      </rPr>
      <t>配箍率</t>
    </r>
    <r>
      <rPr>
        <sz val="11"/>
        <color theme="1"/>
        <rFont val="Times New Roman"/>
        <family val="1"/>
      </rPr>
      <t>ρ</t>
    </r>
    <r>
      <rPr>
        <vertAlign val="subscript"/>
        <sz val="11"/>
        <color theme="1"/>
        <rFont val="Times New Roman"/>
        <family val="1"/>
      </rPr>
      <t>sv</t>
    </r>
    <r>
      <rPr>
        <sz val="11"/>
        <color theme="1"/>
        <rFont val="Times New Roman"/>
        <family val="1"/>
      </rPr>
      <t>=A</t>
    </r>
    <r>
      <rPr>
        <vertAlign val="subscript"/>
        <sz val="11"/>
        <color theme="1"/>
        <rFont val="Times New Roman"/>
        <family val="1"/>
      </rPr>
      <t>sv</t>
    </r>
    <r>
      <rPr>
        <sz val="11"/>
        <color theme="1"/>
        <rFont val="Times New Roman"/>
        <family val="1"/>
      </rPr>
      <t>/(bs)=</t>
    </r>
  </si>
  <si>
    <r>
      <rPr>
        <sz val="11"/>
        <color theme="1"/>
        <rFont val="Times New Roman"/>
        <family val="1"/>
      </rPr>
      <t>HRB335</t>
    </r>
    <r>
      <rPr>
        <sz val="11"/>
        <color theme="1"/>
        <rFont val="宋体"/>
        <charset val="134"/>
      </rPr>
      <t>最小配筋率</t>
    </r>
  </si>
  <si>
    <r>
      <rPr>
        <sz val="12"/>
        <rFont val="Times New Roman"/>
        <family val="1"/>
      </rPr>
      <t>3.5</t>
    </r>
    <r>
      <rPr>
        <sz val="12"/>
        <rFont val="黑体"/>
        <charset val="134"/>
      </rPr>
      <t>正截面抗裂验算</t>
    </r>
  </si>
  <si>
    <r>
      <rPr>
        <sz val="11"/>
        <rFont val="宋体"/>
        <charset val="134"/>
      </rPr>
      <t>换算界面对受拉边缘抵抗矩</t>
    </r>
    <r>
      <rPr>
        <sz val="11"/>
        <rFont val="Times New Roman"/>
        <family val="1"/>
      </rPr>
      <t>W</t>
    </r>
    <r>
      <rPr>
        <vertAlign val="subscript"/>
        <sz val="11"/>
        <rFont val="Times New Roman"/>
        <family val="1"/>
      </rPr>
      <t>0</t>
    </r>
    <r>
      <rPr>
        <sz val="11"/>
        <rFont val="Times New Roman"/>
        <family val="1"/>
      </rPr>
      <t>=I</t>
    </r>
    <r>
      <rPr>
        <vertAlign val="subscript"/>
        <sz val="11"/>
        <rFont val="Times New Roman"/>
        <family val="1"/>
      </rPr>
      <t>0</t>
    </r>
    <r>
      <rPr>
        <sz val="11"/>
        <rFont val="Times New Roman"/>
        <family val="1"/>
      </rPr>
      <t>/y</t>
    </r>
    <r>
      <rPr>
        <vertAlign val="subscript"/>
        <sz val="11"/>
        <rFont val="Times New Roman"/>
        <family val="1"/>
      </rPr>
      <t>02</t>
    </r>
    <r>
      <rPr>
        <sz val="11"/>
        <rFont val="Times New Roman"/>
        <family val="1"/>
      </rPr>
      <t>=</t>
    </r>
  </si>
  <si>
    <r>
      <rPr>
        <sz val="11"/>
        <rFont val="宋体"/>
        <charset val="134"/>
      </rPr>
      <t>抗裂验算边缘混凝土法向应力</t>
    </r>
    <r>
      <rPr>
        <sz val="11"/>
        <rFont val="Times New Roman"/>
        <family val="1"/>
      </rPr>
      <t>σ</t>
    </r>
    <r>
      <rPr>
        <vertAlign val="subscript"/>
        <sz val="11"/>
        <rFont val="Times New Roman"/>
        <family val="1"/>
      </rPr>
      <t>ck</t>
    </r>
    <r>
      <rPr>
        <sz val="11"/>
        <rFont val="Times New Roman"/>
        <family val="1"/>
      </rPr>
      <t>=M</t>
    </r>
    <r>
      <rPr>
        <vertAlign val="subscript"/>
        <sz val="11"/>
        <rFont val="Times New Roman"/>
        <family val="1"/>
      </rPr>
      <t>k</t>
    </r>
    <r>
      <rPr>
        <sz val="11"/>
        <rFont val="Times New Roman"/>
        <family val="1"/>
      </rPr>
      <t>/W</t>
    </r>
    <r>
      <rPr>
        <vertAlign val="subscript"/>
        <sz val="11"/>
        <rFont val="Times New Roman"/>
        <family val="1"/>
      </rPr>
      <t>0</t>
    </r>
    <r>
      <rPr>
        <sz val="11"/>
        <rFont val="Times New Roman"/>
        <family val="1"/>
      </rPr>
      <t>=</t>
    </r>
  </si>
  <si>
    <r>
      <rPr>
        <sz val="10"/>
        <color theme="1"/>
        <rFont val="宋体"/>
        <charset val="134"/>
      </rPr>
      <t>扣除全部预应力损失后受拉区边缘处的混凝土法向压应力</t>
    </r>
    <r>
      <rPr>
        <sz val="10"/>
        <color theme="1"/>
        <rFont val="Times New Roman"/>
        <family val="1"/>
      </rPr>
      <t>σ</t>
    </r>
    <r>
      <rPr>
        <vertAlign val="subscript"/>
        <sz val="10"/>
        <color theme="1"/>
        <rFont val="Times New Roman"/>
        <family val="1"/>
      </rPr>
      <t>pc</t>
    </r>
    <r>
      <rPr>
        <sz val="10"/>
        <color theme="1"/>
        <rFont val="Times New Roman"/>
        <family val="1"/>
      </rPr>
      <t>=</t>
    </r>
  </si>
  <si>
    <t>0.7+300/h=</t>
  </si>
  <si>
    <r>
      <rPr>
        <sz val="11"/>
        <color theme="1"/>
        <rFont val="宋体"/>
        <charset val="134"/>
      </rPr>
      <t>修正系数</t>
    </r>
    <r>
      <rPr>
        <sz val="11"/>
        <color theme="1"/>
        <rFont val="Times New Roman"/>
        <family val="1"/>
      </rPr>
      <t>=</t>
    </r>
  </si>
  <si>
    <r>
      <rPr>
        <sz val="11"/>
        <rFont val="宋体"/>
        <charset val="134"/>
      </rPr>
      <t>受拉区砼塑性影响系数</t>
    </r>
    <r>
      <rPr>
        <sz val="11"/>
        <rFont val="Times New Roman"/>
        <family val="1"/>
      </rPr>
      <t>γ=</t>
    </r>
  </si>
  <si>
    <r>
      <rPr>
        <sz val="11"/>
        <rFont val="宋体"/>
        <charset val="134"/>
      </rPr>
      <t>修正受拉区砼塑性影响系数</t>
    </r>
    <r>
      <rPr>
        <sz val="11"/>
        <rFont val="Times New Roman"/>
        <family val="1"/>
      </rPr>
      <t>γ=</t>
    </r>
  </si>
  <si>
    <r>
      <rPr>
        <sz val="11"/>
        <color theme="1"/>
        <rFont val="宋体"/>
        <charset val="134"/>
      </rPr>
      <t>二级裂缝要求</t>
    </r>
  </si>
  <si>
    <r>
      <rPr>
        <sz val="11"/>
        <color theme="1"/>
        <rFont val="宋体"/>
        <charset val="134"/>
      </rPr>
      <t>混凝土拉应力限制系数</t>
    </r>
    <r>
      <rPr>
        <sz val="11"/>
        <color theme="1"/>
        <rFont val="Times New Roman"/>
        <family val="1"/>
      </rPr>
      <t>α</t>
    </r>
    <r>
      <rPr>
        <vertAlign val="subscript"/>
        <sz val="11"/>
        <color theme="1"/>
        <rFont val="Times New Roman"/>
        <family val="1"/>
      </rPr>
      <t>ct</t>
    </r>
    <r>
      <rPr>
        <sz val="11"/>
        <color theme="1"/>
        <rFont val="Times New Roman"/>
        <family val="1"/>
      </rPr>
      <t>=</t>
    </r>
  </si>
  <si>
    <r>
      <rPr>
        <sz val="11"/>
        <rFont val="Times New Roman"/>
        <family val="1"/>
      </rPr>
      <t>σ</t>
    </r>
    <r>
      <rPr>
        <vertAlign val="subscript"/>
        <sz val="11"/>
        <rFont val="Times New Roman"/>
        <family val="1"/>
      </rPr>
      <t>ck1</t>
    </r>
    <r>
      <rPr>
        <sz val="11"/>
        <rFont val="Times New Roman"/>
        <family val="1"/>
      </rPr>
      <t>-σ</t>
    </r>
    <r>
      <rPr>
        <vertAlign val="subscript"/>
        <sz val="11"/>
        <rFont val="Times New Roman"/>
        <family val="1"/>
      </rPr>
      <t>pc</t>
    </r>
    <r>
      <rPr>
        <sz val="11"/>
        <rFont val="Times New Roman"/>
        <family val="1"/>
      </rPr>
      <t>=</t>
    </r>
  </si>
  <si>
    <r>
      <rPr>
        <sz val="11"/>
        <rFont val="Times New Roman"/>
        <family val="1"/>
      </rPr>
      <t>α</t>
    </r>
    <r>
      <rPr>
        <vertAlign val="subscript"/>
        <sz val="11"/>
        <rFont val="Times New Roman"/>
        <family val="1"/>
      </rPr>
      <t>ct</t>
    </r>
    <r>
      <rPr>
        <sz val="11"/>
        <rFont val="Times New Roman"/>
        <family val="1"/>
      </rPr>
      <t>γf</t>
    </r>
    <r>
      <rPr>
        <vertAlign val="subscript"/>
        <sz val="11"/>
        <rFont val="Times New Roman"/>
        <family val="1"/>
      </rPr>
      <t>tk</t>
    </r>
    <r>
      <rPr>
        <sz val="11"/>
        <rFont val="Times New Roman"/>
        <family val="1"/>
      </rPr>
      <t>=</t>
    </r>
  </si>
  <si>
    <r>
      <rPr>
        <sz val="11"/>
        <rFont val="Times New Roman"/>
        <family val="1"/>
      </rPr>
      <t>σ</t>
    </r>
    <r>
      <rPr>
        <vertAlign val="subscript"/>
        <sz val="11"/>
        <rFont val="Times New Roman"/>
        <family val="1"/>
      </rPr>
      <t>ck1</t>
    </r>
    <r>
      <rPr>
        <sz val="11"/>
        <rFont val="Times New Roman"/>
        <family val="1"/>
      </rPr>
      <t>-σ</t>
    </r>
    <r>
      <rPr>
        <vertAlign val="subscript"/>
        <sz val="11"/>
        <rFont val="Times New Roman"/>
        <family val="1"/>
      </rPr>
      <t>pc</t>
    </r>
  </si>
  <si>
    <r>
      <rPr>
        <sz val="11"/>
        <rFont val="Times New Roman"/>
        <family val="1"/>
      </rPr>
      <t>α</t>
    </r>
    <r>
      <rPr>
        <vertAlign val="subscript"/>
        <sz val="11"/>
        <rFont val="Times New Roman"/>
        <family val="1"/>
      </rPr>
      <t>ct</t>
    </r>
    <r>
      <rPr>
        <sz val="11"/>
        <rFont val="Times New Roman"/>
        <family val="1"/>
      </rPr>
      <t>γf</t>
    </r>
    <r>
      <rPr>
        <vertAlign val="subscript"/>
        <sz val="11"/>
        <rFont val="Times New Roman"/>
        <family val="1"/>
      </rPr>
      <t>tk</t>
    </r>
  </si>
  <si>
    <r>
      <rPr>
        <sz val="12"/>
        <rFont val="Times New Roman"/>
        <family val="1"/>
      </rPr>
      <t>3.6</t>
    </r>
    <r>
      <rPr>
        <sz val="12"/>
        <rFont val="黑体"/>
        <charset val="134"/>
      </rPr>
      <t>斜截面抗裂验算</t>
    </r>
  </si>
  <si>
    <r>
      <rPr>
        <sz val="11"/>
        <rFont val="宋体"/>
        <charset val="134"/>
      </rPr>
      <t>截面位置选在距支座</t>
    </r>
    <r>
      <rPr>
        <sz val="11"/>
        <rFont val="Times New Roman"/>
        <family val="1"/>
      </rPr>
      <t>L</t>
    </r>
    <r>
      <rPr>
        <vertAlign val="subscript"/>
        <sz val="11"/>
        <rFont val="Times New Roman"/>
        <family val="1"/>
      </rPr>
      <t>1</t>
    </r>
    <r>
      <rPr>
        <sz val="11"/>
        <rFont val="Times New Roman"/>
        <family val="1"/>
      </rPr>
      <t>=</t>
    </r>
  </si>
  <si>
    <r>
      <rPr>
        <sz val="11"/>
        <color theme="1"/>
        <rFont val="宋体"/>
        <charset val="134"/>
      </rPr>
      <t>支座距离</t>
    </r>
  </si>
  <si>
    <r>
      <rPr>
        <sz val="11"/>
        <rFont val="Times New Roman"/>
        <family val="1"/>
      </rPr>
      <t>M</t>
    </r>
    <r>
      <rPr>
        <vertAlign val="subscript"/>
        <sz val="11"/>
        <rFont val="Times New Roman"/>
        <family val="1"/>
      </rPr>
      <t>L1</t>
    </r>
    <r>
      <rPr>
        <sz val="11"/>
        <rFont val="Times New Roman"/>
        <family val="1"/>
      </rPr>
      <t>=0.5q</t>
    </r>
    <r>
      <rPr>
        <vertAlign val="subscript"/>
        <sz val="11"/>
        <rFont val="Times New Roman"/>
        <family val="1"/>
      </rPr>
      <t>0s</t>
    </r>
    <r>
      <rPr>
        <sz val="11"/>
        <rFont val="Times New Roman"/>
        <family val="1"/>
      </rPr>
      <t>L</t>
    </r>
    <r>
      <rPr>
        <vertAlign val="subscript"/>
        <sz val="11"/>
        <rFont val="Times New Roman"/>
        <family val="1"/>
      </rPr>
      <t>0</t>
    </r>
    <r>
      <rPr>
        <sz val="11"/>
        <rFont val="Times New Roman"/>
        <family val="1"/>
      </rPr>
      <t>L</t>
    </r>
    <r>
      <rPr>
        <vertAlign val="subscript"/>
        <sz val="11"/>
        <rFont val="Times New Roman"/>
        <family val="1"/>
      </rPr>
      <t>1</t>
    </r>
    <r>
      <rPr>
        <sz val="11"/>
        <rFont val="Times New Roman"/>
        <family val="1"/>
      </rPr>
      <t>-q</t>
    </r>
    <r>
      <rPr>
        <vertAlign val="subscript"/>
        <sz val="11"/>
        <rFont val="Times New Roman"/>
        <family val="1"/>
      </rPr>
      <t>0s</t>
    </r>
    <r>
      <rPr>
        <sz val="11"/>
        <rFont val="Times New Roman"/>
        <family val="1"/>
      </rPr>
      <t>L</t>
    </r>
    <r>
      <rPr>
        <vertAlign val="subscript"/>
        <sz val="11"/>
        <rFont val="Times New Roman"/>
        <family val="1"/>
      </rPr>
      <t>1</t>
    </r>
    <r>
      <rPr>
        <vertAlign val="superscript"/>
        <sz val="11"/>
        <rFont val="Times New Roman"/>
        <family val="1"/>
      </rPr>
      <t>2</t>
    </r>
    <r>
      <rPr>
        <sz val="11"/>
        <rFont val="Times New Roman"/>
        <family val="1"/>
      </rPr>
      <t>/2=</t>
    </r>
  </si>
  <si>
    <r>
      <rPr>
        <sz val="11"/>
        <rFont val="Times New Roman"/>
        <family val="1"/>
      </rPr>
      <t>V</t>
    </r>
    <r>
      <rPr>
        <vertAlign val="subscript"/>
        <sz val="11"/>
        <rFont val="Times New Roman"/>
        <family val="1"/>
      </rPr>
      <t>L1</t>
    </r>
    <r>
      <rPr>
        <sz val="11"/>
        <rFont val="Times New Roman"/>
        <family val="1"/>
      </rPr>
      <t>=0.5q</t>
    </r>
    <r>
      <rPr>
        <vertAlign val="subscript"/>
        <sz val="11"/>
        <rFont val="Times New Roman"/>
        <family val="1"/>
      </rPr>
      <t>0s</t>
    </r>
    <r>
      <rPr>
        <sz val="11"/>
        <rFont val="Times New Roman"/>
        <family val="1"/>
      </rPr>
      <t>L</t>
    </r>
    <r>
      <rPr>
        <vertAlign val="subscript"/>
        <sz val="11"/>
        <rFont val="Times New Roman"/>
        <family val="1"/>
      </rPr>
      <t>0</t>
    </r>
    <r>
      <rPr>
        <sz val="11"/>
        <rFont val="Times New Roman"/>
        <family val="1"/>
      </rPr>
      <t>-q</t>
    </r>
    <r>
      <rPr>
        <vertAlign val="subscript"/>
        <sz val="11"/>
        <rFont val="Times New Roman"/>
        <family val="1"/>
      </rPr>
      <t>0s</t>
    </r>
    <r>
      <rPr>
        <sz val="11"/>
        <rFont val="Times New Roman"/>
        <family val="1"/>
      </rPr>
      <t>L</t>
    </r>
    <r>
      <rPr>
        <vertAlign val="subscript"/>
        <sz val="11"/>
        <rFont val="Times New Roman"/>
        <family val="1"/>
      </rPr>
      <t>1</t>
    </r>
    <r>
      <rPr>
        <sz val="11"/>
        <rFont val="Times New Roman"/>
        <family val="1"/>
      </rPr>
      <t>=</t>
    </r>
  </si>
  <si>
    <r>
      <rPr>
        <sz val="11"/>
        <rFont val="宋体"/>
        <charset val="134"/>
      </rPr>
      <t>校核选定截面换算截面重心处</t>
    </r>
  </si>
  <si>
    <r>
      <rPr>
        <sz val="11"/>
        <rFont val="宋体"/>
        <charset val="134"/>
      </rPr>
      <t>计算纤维以上部分的换算截面积对换算截面重心的面积矩</t>
    </r>
    <r>
      <rPr>
        <sz val="11"/>
        <rFont val="Times New Roman"/>
        <family val="1"/>
      </rPr>
      <t>S</t>
    </r>
    <r>
      <rPr>
        <vertAlign val="subscript"/>
        <sz val="11"/>
        <rFont val="Times New Roman"/>
        <family val="1"/>
      </rPr>
      <t>0</t>
    </r>
    <r>
      <rPr>
        <sz val="11"/>
        <rFont val="宋体"/>
        <charset val="134"/>
      </rPr>
      <t>为：</t>
    </r>
  </si>
  <si>
    <r>
      <rPr>
        <sz val="11"/>
        <rFont val="Times New Roman"/>
        <family val="1"/>
      </rPr>
      <t>S</t>
    </r>
    <r>
      <rPr>
        <vertAlign val="subscript"/>
        <sz val="11"/>
        <rFont val="Times New Roman"/>
        <family val="1"/>
      </rPr>
      <t>0</t>
    </r>
    <r>
      <rPr>
        <sz val="11"/>
        <rFont val="Times New Roman"/>
        <family val="1"/>
      </rPr>
      <t>=b'</t>
    </r>
    <r>
      <rPr>
        <vertAlign val="subscript"/>
        <sz val="11"/>
        <rFont val="Times New Roman"/>
        <family val="1"/>
      </rPr>
      <t>f</t>
    </r>
    <r>
      <rPr>
        <sz val="11"/>
        <rFont val="Times New Roman"/>
        <family val="1"/>
      </rPr>
      <t>h'f(y</t>
    </r>
    <r>
      <rPr>
        <vertAlign val="subscript"/>
        <sz val="11"/>
        <rFont val="Times New Roman"/>
        <family val="1"/>
      </rPr>
      <t>o1</t>
    </r>
    <r>
      <rPr>
        <sz val="11"/>
        <rFont val="Times New Roman"/>
        <family val="1"/>
      </rPr>
      <t>-h'f/2)+b(y</t>
    </r>
    <r>
      <rPr>
        <vertAlign val="subscript"/>
        <sz val="11"/>
        <rFont val="Times New Roman"/>
        <family val="1"/>
      </rPr>
      <t>o1</t>
    </r>
    <r>
      <rPr>
        <sz val="11"/>
        <rFont val="Times New Roman"/>
        <family val="1"/>
      </rPr>
      <t>-h</t>
    </r>
    <r>
      <rPr>
        <sz val="11"/>
        <rFont val="宋体"/>
        <charset val="134"/>
      </rPr>
      <t>′</t>
    </r>
    <r>
      <rPr>
        <vertAlign val="subscript"/>
        <sz val="11"/>
        <rFont val="Times New Roman"/>
        <family val="1"/>
      </rPr>
      <t>f</t>
    </r>
    <r>
      <rPr>
        <sz val="11"/>
        <rFont val="Times New Roman"/>
        <family val="1"/>
      </rPr>
      <t>)</t>
    </r>
    <r>
      <rPr>
        <vertAlign val="superscript"/>
        <sz val="11"/>
        <rFont val="Times New Roman"/>
        <family val="1"/>
      </rPr>
      <t>2</t>
    </r>
    <r>
      <rPr>
        <sz val="11"/>
        <rFont val="Times New Roman"/>
        <family val="1"/>
      </rPr>
      <t>/2=</t>
    </r>
  </si>
  <si>
    <r>
      <rPr>
        <sz val="11"/>
        <rFont val="Times New Roman"/>
        <family val="1"/>
      </rPr>
      <t>τ</t>
    </r>
    <r>
      <rPr>
        <vertAlign val="subscript"/>
        <sz val="11"/>
        <rFont val="Times New Roman"/>
        <family val="1"/>
      </rPr>
      <t>1</t>
    </r>
    <r>
      <rPr>
        <sz val="11"/>
        <rFont val="Times New Roman"/>
        <family val="1"/>
      </rPr>
      <t>=</t>
    </r>
    <r>
      <rPr>
        <sz val="11"/>
        <rFont val="宋体"/>
        <charset val="134"/>
      </rPr>
      <t>（</t>
    </r>
    <r>
      <rPr>
        <sz val="11"/>
        <rFont val="Times New Roman"/>
        <family val="1"/>
      </rPr>
      <t>V</t>
    </r>
    <r>
      <rPr>
        <vertAlign val="subscript"/>
        <sz val="11"/>
        <rFont val="Times New Roman"/>
        <family val="1"/>
      </rPr>
      <t>L1</t>
    </r>
    <r>
      <rPr>
        <sz val="11"/>
        <rFont val="Times New Roman"/>
        <family val="1"/>
      </rPr>
      <t>-Σσ</t>
    </r>
    <r>
      <rPr>
        <vertAlign val="subscript"/>
        <sz val="11"/>
        <rFont val="Times New Roman"/>
        <family val="1"/>
      </rPr>
      <t>pe</t>
    </r>
    <r>
      <rPr>
        <sz val="11"/>
        <rFont val="Times New Roman"/>
        <family val="1"/>
      </rPr>
      <t>A</t>
    </r>
    <r>
      <rPr>
        <vertAlign val="subscript"/>
        <sz val="11"/>
        <rFont val="Times New Roman"/>
        <family val="1"/>
      </rPr>
      <t>pb</t>
    </r>
    <r>
      <rPr>
        <sz val="11"/>
        <rFont val="Times New Roman"/>
        <family val="1"/>
      </rPr>
      <t>sinα</t>
    </r>
    <r>
      <rPr>
        <vertAlign val="subscript"/>
        <sz val="11"/>
        <rFont val="Times New Roman"/>
        <family val="1"/>
      </rPr>
      <t>p</t>
    </r>
    <r>
      <rPr>
        <sz val="11"/>
        <rFont val="Times New Roman"/>
        <family val="1"/>
      </rPr>
      <t>)S</t>
    </r>
    <r>
      <rPr>
        <vertAlign val="subscript"/>
        <sz val="11"/>
        <rFont val="Times New Roman"/>
        <family val="1"/>
      </rPr>
      <t>0</t>
    </r>
    <r>
      <rPr>
        <sz val="11"/>
        <rFont val="Times New Roman"/>
        <family val="1"/>
      </rPr>
      <t>/I</t>
    </r>
    <r>
      <rPr>
        <vertAlign val="subscript"/>
        <sz val="11"/>
        <rFont val="Times New Roman"/>
        <family val="1"/>
      </rPr>
      <t>0</t>
    </r>
    <r>
      <rPr>
        <sz val="11"/>
        <rFont val="Times New Roman"/>
        <family val="1"/>
      </rPr>
      <t>b=</t>
    </r>
  </si>
  <si>
    <r>
      <rPr>
        <sz val="11"/>
        <rFont val="宋体"/>
        <charset val="134"/>
      </rPr>
      <t>换算截面重心至计算纤维距离</t>
    </r>
    <r>
      <rPr>
        <sz val="11"/>
        <rFont val="Times New Roman"/>
        <family val="1"/>
      </rPr>
      <t>y</t>
    </r>
    <r>
      <rPr>
        <vertAlign val="subscript"/>
        <sz val="11"/>
        <rFont val="Times New Roman"/>
        <family val="1"/>
      </rPr>
      <t>0</t>
    </r>
    <r>
      <rPr>
        <sz val="11"/>
        <rFont val="Times New Roman"/>
        <family val="1"/>
      </rPr>
      <t>=y</t>
    </r>
    <r>
      <rPr>
        <vertAlign val="subscript"/>
        <sz val="11"/>
        <rFont val="Times New Roman"/>
        <family val="1"/>
      </rPr>
      <t>01</t>
    </r>
    <r>
      <rPr>
        <sz val="11"/>
        <rFont val="Times New Roman"/>
        <family val="1"/>
      </rPr>
      <t>-y</t>
    </r>
    <r>
      <rPr>
        <vertAlign val="subscript"/>
        <sz val="11"/>
        <rFont val="Times New Roman"/>
        <family val="1"/>
      </rPr>
      <t>01</t>
    </r>
    <r>
      <rPr>
        <sz val="11"/>
        <rFont val="Times New Roman"/>
        <family val="1"/>
      </rPr>
      <t>=</t>
    </r>
  </si>
  <si>
    <r>
      <rPr>
        <sz val="11"/>
        <color theme="1"/>
        <rFont val="Times New Roman"/>
        <family val="1"/>
      </rPr>
      <t>DL/T5057-1996P120</t>
    </r>
    <r>
      <rPr>
        <sz val="11"/>
        <color theme="1"/>
        <rFont val="宋体"/>
        <charset val="134"/>
      </rPr>
      <t>指明为换算截面至计算纤维处距离，不同于两大院，我遵从的是规范</t>
    </r>
  </si>
  <si>
    <r>
      <rPr>
        <sz val="11"/>
        <rFont val="宋体"/>
        <charset val="134"/>
      </rPr>
      <t>净截面重心轴至计算纤维距离</t>
    </r>
    <r>
      <rPr>
        <sz val="11"/>
        <rFont val="Times New Roman"/>
        <family val="1"/>
      </rPr>
      <t>y</t>
    </r>
    <r>
      <rPr>
        <vertAlign val="subscript"/>
        <sz val="11"/>
        <rFont val="Times New Roman"/>
        <family val="1"/>
      </rPr>
      <t>n</t>
    </r>
    <r>
      <rPr>
        <sz val="11"/>
        <rFont val="Times New Roman"/>
        <family val="1"/>
      </rPr>
      <t>=y</t>
    </r>
    <r>
      <rPr>
        <vertAlign val="subscript"/>
        <sz val="11"/>
        <rFont val="Times New Roman"/>
        <family val="1"/>
      </rPr>
      <t>n1</t>
    </r>
    <r>
      <rPr>
        <sz val="11"/>
        <rFont val="Times New Roman"/>
        <family val="1"/>
      </rPr>
      <t>-y</t>
    </r>
    <r>
      <rPr>
        <vertAlign val="subscript"/>
        <sz val="11"/>
        <rFont val="Times New Roman"/>
        <family val="1"/>
      </rPr>
      <t>01</t>
    </r>
    <r>
      <rPr>
        <sz val="11"/>
        <rFont val="Times New Roman"/>
        <family val="1"/>
      </rPr>
      <t>=</t>
    </r>
  </si>
  <si>
    <r>
      <rPr>
        <sz val="10"/>
        <rFont val="宋体"/>
        <charset val="134"/>
      </rPr>
      <t>计算纤维处的砼法向压应力</t>
    </r>
    <r>
      <rPr>
        <sz val="10"/>
        <rFont val="Times New Roman"/>
        <family val="1"/>
      </rPr>
      <t>σ</t>
    </r>
    <r>
      <rPr>
        <vertAlign val="subscript"/>
        <sz val="10"/>
        <rFont val="Times New Roman"/>
        <family val="1"/>
      </rPr>
      <t>pc</t>
    </r>
    <r>
      <rPr>
        <sz val="10"/>
        <rFont val="Times New Roman"/>
        <family val="1"/>
      </rPr>
      <t>=N</t>
    </r>
    <r>
      <rPr>
        <vertAlign val="subscript"/>
        <sz val="10"/>
        <rFont val="Times New Roman"/>
        <family val="1"/>
      </rPr>
      <t>p</t>
    </r>
    <r>
      <rPr>
        <sz val="10"/>
        <rFont val="Times New Roman"/>
        <family val="1"/>
      </rPr>
      <t>/A</t>
    </r>
    <r>
      <rPr>
        <vertAlign val="subscript"/>
        <sz val="10"/>
        <rFont val="Times New Roman"/>
        <family val="1"/>
      </rPr>
      <t>n</t>
    </r>
    <r>
      <rPr>
        <u/>
        <sz val="10"/>
        <rFont val="Times New Roman"/>
        <family val="1"/>
      </rPr>
      <t>+</t>
    </r>
    <r>
      <rPr>
        <sz val="10"/>
        <rFont val="Times New Roman"/>
        <family val="1"/>
      </rPr>
      <t>N</t>
    </r>
    <r>
      <rPr>
        <vertAlign val="subscript"/>
        <sz val="10"/>
        <rFont val="Times New Roman"/>
        <family val="1"/>
      </rPr>
      <t>p</t>
    </r>
    <r>
      <rPr>
        <sz val="10"/>
        <rFont val="Times New Roman"/>
        <family val="1"/>
      </rPr>
      <t>e</t>
    </r>
    <r>
      <rPr>
        <vertAlign val="subscript"/>
        <sz val="10"/>
        <rFont val="Times New Roman"/>
        <family val="1"/>
      </rPr>
      <t>pn</t>
    </r>
    <r>
      <rPr>
        <sz val="10"/>
        <rFont val="Times New Roman"/>
        <family val="1"/>
      </rPr>
      <t>y</t>
    </r>
    <r>
      <rPr>
        <vertAlign val="subscript"/>
        <sz val="10"/>
        <rFont val="Times New Roman"/>
        <family val="1"/>
      </rPr>
      <t>n</t>
    </r>
    <r>
      <rPr>
        <sz val="10"/>
        <rFont val="Times New Roman"/>
        <family val="1"/>
      </rPr>
      <t>/I</t>
    </r>
    <r>
      <rPr>
        <vertAlign val="subscript"/>
        <sz val="10"/>
        <rFont val="Times New Roman"/>
        <family val="1"/>
      </rPr>
      <t>n</t>
    </r>
    <r>
      <rPr>
        <sz val="10"/>
        <rFont val="Times New Roman"/>
        <family val="1"/>
      </rPr>
      <t>=</t>
    </r>
  </si>
  <si>
    <r>
      <rPr>
        <sz val="11"/>
        <color theme="1"/>
        <rFont val="宋体"/>
        <charset val="134"/>
      </rPr>
      <t>压应力，以负值带入</t>
    </r>
  </si>
  <si>
    <r>
      <rPr>
        <sz val="11"/>
        <rFont val="宋体"/>
        <charset val="134"/>
      </rPr>
      <t>压应力以负值带入</t>
    </r>
    <r>
      <rPr>
        <sz val="11"/>
        <rFont val="Times New Roman"/>
        <family val="1"/>
      </rPr>
      <t>,σ</t>
    </r>
    <r>
      <rPr>
        <vertAlign val="subscript"/>
        <sz val="11"/>
        <rFont val="Times New Roman"/>
        <family val="1"/>
      </rPr>
      <t>x</t>
    </r>
    <r>
      <rPr>
        <sz val="11"/>
        <rFont val="Times New Roman"/>
        <family val="1"/>
      </rPr>
      <t>=σ</t>
    </r>
    <r>
      <rPr>
        <vertAlign val="subscript"/>
        <sz val="11"/>
        <rFont val="Times New Roman"/>
        <family val="1"/>
      </rPr>
      <t>pc</t>
    </r>
    <r>
      <rPr>
        <sz val="11"/>
        <rFont val="Times New Roman"/>
        <family val="1"/>
      </rPr>
      <t>+M</t>
    </r>
    <r>
      <rPr>
        <vertAlign val="subscript"/>
        <sz val="11"/>
        <rFont val="Times New Roman"/>
        <family val="1"/>
      </rPr>
      <t>L1</t>
    </r>
    <r>
      <rPr>
        <sz val="11"/>
        <rFont val="Times New Roman"/>
        <family val="1"/>
      </rPr>
      <t>y</t>
    </r>
    <r>
      <rPr>
        <vertAlign val="subscript"/>
        <sz val="11"/>
        <rFont val="Times New Roman"/>
        <family val="1"/>
      </rPr>
      <t>o</t>
    </r>
    <r>
      <rPr>
        <sz val="11"/>
        <rFont val="Times New Roman"/>
        <family val="1"/>
      </rPr>
      <t>/I</t>
    </r>
    <r>
      <rPr>
        <vertAlign val="subscript"/>
        <sz val="11"/>
        <rFont val="Times New Roman"/>
        <family val="1"/>
      </rPr>
      <t>0</t>
    </r>
    <r>
      <rPr>
        <sz val="11"/>
        <rFont val="Times New Roman"/>
        <family val="1"/>
      </rPr>
      <t>=</t>
    </r>
  </si>
  <si>
    <r>
      <rPr>
        <sz val="11"/>
        <color theme="1"/>
        <rFont val="宋体"/>
        <charset val="134"/>
      </rPr>
      <t>辨别位置后带入合适正负值</t>
    </r>
  </si>
  <si>
    <r>
      <rPr>
        <sz val="11"/>
        <rFont val="宋体"/>
        <charset val="134"/>
      </rPr>
      <t>竖向压应力</t>
    </r>
    <r>
      <rPr>
        <sz val="11"/>
        <rFont val="Times New Roman"/>
        <family val="1"/>
      </rPr>
      <t>σ</t>
    </r>
    <r>
      <rPr>
        <vertAlign val="subscript"/>
        <sz val="11"/>
        <rFont val="Times New Roman"/>
        <family val="1"/>
      </rPr>
      <t>y</t>
    </r>
    <r>
      <rPr>
        <sz val="11"/>
        <rFont val="Times New Roman"/>
        <family val="1"/>
      </rPr>
      <t>=</t>
    </r>
  </si>
  <si>
    <r>
      <rPr>
        <sz val="11"/>
        <color theme="1"/>
        <rFont val="宋体"/>
        <charset val="134"/>
      </rPr>
      <t>主拉应力</t>
    </r>
  </si>
  <si>
    <r>
      <rPr>
        <sz val="11"/>
        <color theme="1"/>
        <rFont val="宋体"/>
        <charset val="134"/>
      </rPr>
      <t>主压应力</t>
    </r>
  </si>
  <si>
    <r>
      <rPr>
        <sz val="11"/>
        <rFont val="Times New Roman"/>
        <family val="1"/>
      </rPr>
      <t>0.95f</t>
    </r>
    <r>
      <rPr>
        <vertAlign val="subscript"/>
        <sz val="11"/>
        <rFont val="Times New Roman"/>
        <family val="1"/>
      </rPr>
      <t>tk</t>
    </r>
    <r>
      <rPr>
        <sz val="11"/>
        <rFont val="Times New Roman"/>
        <family val="1"/>
      </rPr>
      <t>=</t>
    </r>
  </si>
  <si>
    <r>
      <rPr>
        <sz val="11"/>
        <color theme="1"/>
        <rFont val="宋体"/>
        <charset val="134"/>
      </rPr>
      <t>二级控制</t>
    </r>
  </si>
  <si>
    <r>
      <rPr>
        <sz val="11"/>
        <rFont val="Times New Roman"/>
        <family val="1"/>
      </rPr>
      <t>0.6f</t>
    </r>
    <r>
      <rPr>
        <vertAlign val="subscript"/>
        <sz val="11"/>
        <rFont val="Times New Roman"/>
        <family val="1"/>
      </rPr>
      <t>ck</t>
    </r>
    <r>
      <rPr>
        <sz val="11"/>
        <rFont val="Times New Roman"/>
        <family val="1"/>
      </rPr>
      <t>=</t>
    </r>
  </si>
  <si>
    <r>
      <rPr>
        <sz val="11"/>
        <rFont val="宋体"/>
        <charset val="134"/>
      </rPr>
      <t>校核选定截面上翼缘与腹板交接处</t>
    </r>
  </si>
  <si>
    <r>
      <rPr>
        <sz val="11"/>
        <rFont val="Times New Roman"/>
        <family val="1"/>
      </rPr>
      <t>S</t>
    </r>
    <r>
      <rPr>
        <vertAlign val="subscript"/>
        <sz val="11"/>
        <rFont val="Times New Roman"/>
        <family val="1"/>
      </rPr>
      <t>0</t>
    </r>
    <r>
      <rPr>
        <sz val="11"/>
        <rFont val="Times New Roman"/>
        <family val="1"/>
      </rPr>
      <t>=b'</t>
    </r>
    <r>
      <rPr>
        <vertAlign val="subscript"/>
        <sz val="11"/>
        <rFont val="Times New Roman"/>
        <family val="1"/>
      </rPr>
      <t>f</t>
    </r>
    <r>
      <rPr>
        <sz val="11"/>
        <rFont val="Times New Roman"/>
        <family val="1"/>
      </rPr>
      <t>h'f(y</t>
    </r>
    <r>
      <rPr>
        <vertAlign val="subscript"/>
        <sz val="11"/>
        <rFont val="Times New Roman"/>
        <family val="1"/>
      </rPr>
      <t>o1</t>
    </r>
    <r>
      <rPr>
        <sz val="11"/>
        <rFont val="Times New Roman"/>
        <family val="1"/>
      </rPr>
      <t>-h'f/2)=</t>
    </r>
  </si>
  <si>
    <r>
      <rPr>
        <sz val="11"/>
        <rFont val="宋体"/>
        <charset val="134"/>
      </rPr>
      <t>换算截面重心至计算纤维距离</t>
    </r>
    <r>
      <rPr>
        <sz val="11"/>
        <rFont val="Times New Roman"/>
        <family val="1"/>
      </rPr>
      <t>y</t>
    </r>
    <r>
      <rPr>
        <vertAlign val="subscript"/>
        <sz val="11"/>
        <rFont val="Times New Roman"/>
        <family val="1"/>
      </rPr>
      <t>0</t>
    </r>
    <r>
      <rPr>
        <sz val="11"/>
        <rFont val="Times New Roman"/>
        <family val="1"/>
      </rPr>
      <t>=y</t>
    </r>
    <r>
      <rPr>
        <vertAlign val="subscript"/>
        <sz val="11"/>
        <rFont val="Times New Roman"/>
        <family val="1"/>
      </rPr>
      <t>01</t>
    </r>
    <r>
      <rPr>
        <sz val="11"/>
        <rFont val="Times New Roman"/>
        <family val="1"/>
      </rPr>
      <t>-h'</t>
    </r>
    <r>
      <rPr>
        <vertAlign val="subscript"/>
        <sz val="11"/>
        <rFont val="Times New Roman"/>
        <family val="1"/>
      </rPr>
      <t>f</t>
    </r>
    <r>
      <rPr>
        <sz val="11"/>
        <rFont val="Times New Roman"/>
        <family val="1"/>
      </rPr>
      <t>=</t>
    </r>
  </si>
  <si>
    <r>
      <rPr>
        <sz val="11"/>
        <rFont val="宋体"/>
        <charset val="134"/>
      </rPr>
      <t>净截面重心轴至计算纤维距离</t>
    </r>
    <r>
      <rPr>
        <sz val="11"/>
        <rFont val="Times New Roman"/>
        <family val="1"/>
      </rPr>
      <t>y</t>
    </r>
    <r>
      <rPr>
        <vertAlign val="subscript"/>
        <sz val="11"/>
        <rFont val="Times New Roman"/>
        <family val="1"/>
      </rPr>
      <t>n</t>
    </r>
    <r>
      <rPr>
        <sz val="11"/>
        <rFont val="Times New Roman"/>
        <family val="1"/>
      </rPr>
      <t>=y</t>
    </r>
    <r>
      <rPr>
        <vertAlign val="subscript"/>
        <sz val="11"/>
        <rFont val="Times New Roman"/>
        <family val="1"/>
      </rPr>
      <t>n1</t>
    </r>
    <r>
      <rPr>
        <sz val="11"/>
        <rFont val="Times New Roman"/>
        <family val="1"/>
      </rPr>
      <t>-h'</t>
    </r>
    <r>
      <rPr>
        <vertAlign val="subscript"/>
        <sz val="11"/>
        <rFont val="Times New Roman"/>
        <family val="1"/>
      </rPr>
      <t>f</t>
    </r>
    <r>
      <rPr>
        <sz val="11"/>
        <rFont val="Times New Roman"/>
        <family val="1"/>
      </rPr>
      <t>=</t>
    </r>
  </si>
  <si>
    <r>
      <rPr>
        <sz val="11"/>
        <rFont val="宋体"/>
        <charset val="134"/>
      </rPr>
      <t>拉应力以正值带入</t>
    </r>
    <r>
      <rPr>
        <sz val="11"/>
        <rFont val="Times New Roman"/>
        <family val="1"/>
      </rPr>
      <t>,σ</t>
    </r>
    <r>
      <rPr>
        <vertAlign val="subscript"/>
        <sz val="11"/>
        <rFont val="Times New Roman"/>
        <family val="1"/>
      </rPr>
      <t>x</t>
    </r>
    <r>
      <rPr>
        <sz val="11"/>
        <rFont val="Times New Roman"/>
        <family val="1"/>
      </rPr>
      <t>=σ</t>
    </r>
    <r>
      <rPr>
        <vertAlign val="subscript"/>
        <sz val="11"/>
        <rFont val="Times New Roman"/>
        <family val="1"/>
      </rPr>
      <t>pc</t>
    </r>
    <r>
      <rPr>
        <sz val="11"/>
        <rFont val="Times New Roman"/>
        <family val="1"/>
      </rPr>
      <t>+M</t>
    </r>
    <r>
      <rPr>
        <vertAlign val="subscript"/>
        <sz val="11"/>
        <rFont val="Times New Roman"/>
        <family val="1"/>
      </rPr>
      <t>L1</t>
    </r>
    <r>
      <rPr>
        <sz val="11"/>
        <rFont val="Times New Roman"/>
        <family val="1"/>
      </rPr>
      <t>y</t>
    </r>
    <r>
      <rPr>
        <vertAlign val="subscript"/>
        <sz val="11"/>
        <rFont val="Times New Roman"/>
        <family val="1"/>
      </rPr>
      <t>o</t>
    </r>
    <r>
      <rPr>
        <sz val="11"/>
        <rFont val="Times New Roman"/>
        <family val="1"/>
      </rPr>
      <t>/I</t>
    </r>
    <r>
      <rPr>
        <vertAlign val="subscript"/>
        <sz val="11"/>
        <rFont val="Times New Roman"/>
        <family val="1"/>
      </rPr>
      <t>0</t>
    </r>
    <r>
      <rPr>
        <sz val="11"/>
        <rFont val="Times New Roman"/>
        <family val="1"/>
      </rPr>
      <t>=</t>
    </r>
  </si>
  <si>
    <r>
      <rPr>
        <sz val="12"/>
        <rFont val="Times New Roman"/>
        <family val="1"/>
      </rPr>
      <t>3.7</t>
    </r>
    <r>
      <rPr>
        <sz val="12"/>
        <rFont val="黑体"/>
        <charset val="134"/>
      </rPr>
      <t>挠度验算</t>
    </r>
  </si>
  <si>
    <r>
      <rPr>
        <sz val="11"/>
        <rFont val="宋体"/>
        <charset val="134"/>
      </rPr>
      <t>荷载效应标准组合作用下预应力混凝土受弯构件的短期钢度</t>
    </r>
    <r>
      <rPr>
        <sz val="11"/>
        <rFont val="Times New Roman"/>
        <family val="1"/>
      </rPr>
      <t>B</t>
    </r>
    <r>
      <rPr>
        <vertAlign val="subscript"/>
        <sz val="11"/>
        <rFont val="Times New Roman"/>
        <family val="1"/>
      </rPr>
      <t>ps</t>
    </r>
    <r>
      <rPr>
        <sz val="11"/>
        <rFont val="宋体"/>
        <charset val="134"/>
      </rPr>
      <t>：</t>
    </r>
  </si>
  <si>
    <r>
      <rPr>
        <sz val="11"/>
        <rFont val="Times New Roman"/>
        <family val="1"/>
      </rPr>
      <t>B</t>
    </r>
    <r>
      <rPr>
        <vertAlign val="subscript"/>
        <sz val="11"/>
        <rFont val="Times New Roman"/>
        <family val="1"/>
      </rPr>
      <t>ps</t>
    </r>
    <r>
      <rPr>
        <sz val="11"/>
        <rFont val="Times New Roman"/>
        <family val="1"/>
      </rPr>
      <t>=0.85E</t>
    </r>
    <r>
      <rPr>
        <vertAlign val="subscript"/>
        <sz val="11"/>
        <rFont val="Times New Roman"/>
        <family val="1"/>
      </rPr>
      <t>c</t>
    </r>
    <r>
      <rPr>
        <sz val="11"/>
        <rFont val="Times New Roman"/>
        <family val="1"/>
      </rPr>
      <t>I</t>
    </r>
    <r>
      <rPr>
        <vertAlign val="subscript"/>
        <sz val="11"/>
        <rFont val="Times New Roman"/>
        <family val="1"/>
      </rPr>
      <t>0</t>
    </r>
    <r>
      <rPr>
        <sz val="11"/>
        <rFont val="Times New Roman"/>
        <family val="1"/>
      </rPr>
      <t>=</t>
    </r>
  </si>
  <si>
    <r>
      <rPr>
        <sz val="11"/>
        <rFont val="Times New Roman"/>
        <family val="1"/>
      </rPr>
      <t>N.mm</t>
    </r>
    <r>
      <rPr>
        <vertAlign val="superscript"/>
        <sz val="11"/>
        <rFont val="Times New Roman"/>
        <family val="1"/>
      </rPr>
      <t>2</t>
    </r>
  </si>
  <si>
    <r>
      <rPr>
        <sz val="11"/>
        <color theme="1"/>
        <rFont val="宋体"/>
        <charset val="134"/>
      </rPr>
      <t>该计算办法不允许裂缝，否则另议</t>
    </r>
  </si>
  <si>
    <r>
      <rPr>
        <sz val="11"/>
        <rFont val="宋体"/>
        <charset val="134"/>
      </rPr>
      <t>荷载效应标准组合作用下预应力混凝土受弯构件的长期钢度</t>
    </r>
    <r>
      <rPr>
        <sz val="11"/>
        <rFont val="Times New Roman"/>
        <family val="1"/>
      </rPr>
      <t>B</t>
    </r>
    <r>
      <rPr>
        <vertAlign val="subscript"/>
        <sz val="11"/>
        <rFont val="Times New Roman"/>
        <family val="1"/>
      </rPr>
      <t>pl</t>
    </r>
    <r>
      <rPr>
        <sz val="11"/>
        <rFont val="宋体"/>
        <charset val="134"/>
      </rPr>
      <t>：</t>
    </r>
  </si>
  <si>
    <r>
      <rPr>
        <sz val="11"/>
        <rFont val="Times New Roman"/>
        <family val="1"/>
      </rPr>
      <t>B</t>
    </r>
    <r>
      <rPr>
        <vertAlign val="subscript"/>
        <sz val="11"/>
        <rFont val="Times New Roman"/>
        <family val="1"/>
      </rPr>
      <t>pl</t>
    </r>
    <r>
      <rPr>
        <sz val="11"/>
        <rFont val="Times New Roman"/>
        <family val="1"/>
      </rPr>
      <t>=0.65B</t>
    </r>
    <r>
      <rPr>
        <vertAlign val="subscript"/>
        <sz val="11"/>
        <rFont val="Times New Roman"/>
        <family val="1"/>
      </rPr>
      <t>ps</t>
    </r>
    <r>
      <rPr>
        <sz val="11"/>
        <rFont val="Times New Roman"/>
        <family val="1"/>
      </rPr>
      <t>=</t>
    </r>
  </si>
  <si>
    <r>
      <rPr>
        <sz val="11"/>
        <color theme="1"/>
        <rFont val="宋体"/>
        <charset val="134"/>
      </rPr>
      <t>外荷载作用下产生的挠度</t>
    </r>
  </si>
  <si>
    <r>
      <rPr>
        <sz val="9"/>
        <color theme="1"/>
        <rFont val="宋体"/>
        <charset val="134"/>
      </rPr>
      <t>荷载效应标准组合作用下的挠度</t>
    </r>
    <r>
      <rPr>
        <sz val="9"/>
        <color theme="1"/>
        <rFont val="Times New Roman"/>
        <family val="1"/>
      </rPr>
      <t>f</t>
    </r>
    <r>
      <rPr>
        <vertAlign val="subscript"/>
        <sz val="9"/>
        <color theme="1"/>
        <rFont val="Times New Roman"/>
        <family val="1"/>
      </rPr>
      <t>1k</t>
    </r>
    <r>
      <rPr>
        <sz val="9"/>
        <color theme="1"/>
        <rFont val="Times New Roman"/>
        <family val="1"/>
      </rPr>
      <t>=5M</t>
    </r>
    <r>
      <rPr>
        <vertAlign val="subscript"/>
        <sz val="9"/>
        <color theme="1"/>
        <rFont val="Times New Roman"/>
        <family val="1"/>
      </rPr>
      <t>ks</t>
    </r>
    <r>
      <rPr>
        <sz val="9"/>
        <color theme="1"/>
        <rFont val="Times New Roman"/>
        <family val="1"/>
      </rPr>
      <t>l</t>
    </r>
    <r>
      <rPr>
        <vertAlign val="subscript"/>
        <sz val="9"/>
        <color theme="1"/>
        <rFont val="Times New Roman"/>
        <family val="1"/>
      </rPr>
      <t>0</t>
    </r>
    <r>
      <rPr>
        <vertAlign val="superscript"/>
        <sz val="9"/>
        <color theme="1"/>
        <rFont val="Times New Roman"/>
        <family val="1"/>
      </rPr>
      <t>2</t>
    </r>
    <r>
      <rPr>
        <sz val="9"/>
        <color theme="1"/>
        <rFont val="Times New Roman"/>
        <family val="1"/>
      </rPr>
      <t>/(48B</t>
    </r>
    <r>
      <rPr>
        <vertAlign val="subscript"/>
        <sz val="9"/>
        <color theme="1"/>
        <rFont val="Times New Roman"/>
        <family val="1"/>
      </rPr>
      <t>p1</t>
    </r>
    <r>
      <rPr>
        <sz val="9"/>
        <color theme="1"/>
        <rFont val="Times New Roman"/>
        <family val="1"/>
      </rPr>
      <t>)=5q</t>
    </r>
    <r>
      <rPr>
        <vertAlign val="subscript"/>
        <sz val="9"/>
        <color theme="1"/>
        <rFont val="Times New Roman"/>
        <family val="1"/>
      </rPr>
      <t>ks</t>
    </r>
    <r>
      <rPr>
        <sz val="9"/>
        <color theme="1"/>
        <rFont val="Times New Roman"/>
        <family val="1"/>
      </rPr>
      <t>l</t>
    </r>
    <r>
      <rPr>
        <vertAlign val="subscript"/>
        <sz val="9"/>
        <color theme="1"/>
        <rFont val="Times New Roman"/>
        <family val="1"/>
      </rPr>
      <t>0</t>
    </r>
    <r>
      <rPr>
        <vertAlign val="superscript"/>
        <sz val="9"/>
        <color theme="1"/>
        <rFont val="Times New Roman"/>
        <family val="1"/>
      </rPr>
      <t>4</t>
    </r>
    <r>
      <rPr>
        <sz val="9"/>
        <color theme="1"/>
        <rFont val="Times New Roman"/>
        <family val="1"/>
      </rPr>
      <t>/(384B</t>
    </r>
    <r>
      <rPr>
        <vertAlign val="subscript"/>
        <sz val="9"/>
        <color theme="1"/>
        <rFont val="Times New Roman"/>
        <family val="1"/>
      </rPr>
      <t>p1</t>
    </r>
    <r>
      <rPr>
        <sz val="9"/>
        <color theme="1"/>
        <rFont val="Times New Roman"/>
        <family val="1"/>
      </rPr>
      <t>)=</t>
    </r>
  </si>
  <si>
    <r>
      <rPr>
        <sz val="11"/>
        <color theme="1"/>
        <rFont val="宋体"/>
        <charset val="134"/>
      </rPr>
      <t>控制</t>
    </r>
    <r>
      <rPr>
        <sz val="11"/>
        <color theme="1"/>
        <rFont val="Times New Roman"/>
        <family val="1"/>
      </rPr>
      <t>--</t>
    </r>
    <r>
      <rPr>
        <sz val="11"/>
        <color theme="1"/>
        <rFont val="宋体"/>
        <charset val="134"/>
      </rPr>
      <t>设计工况</t>
    </r>
  </si>
  <si>
    <r>
      <rPr>
        <sz val="11"/>
        <rFont val="宋体"/>
        <charset val="134"/>
      </rPr>
      <t>预加力产生的反拱值</t>
    </r>
    <r>
      <rPr>
        <sz val="11"/>
        <rFont val="Times New Roman"/>
        <family val="1"/>
      </rPr>
      <t>f</t>
    </r>
    <r>
      <rPr>
        <vertAlign val="subscript"/>
        <sz val="11"/>
        <rFont val="Times New Roman"/>
        <family val="1"/>
      </rPr>
      <t>2</t>
    </r>
    <r>
      <rPr>
        <sz val="11"/>
        <rFont val="Times New Roman"/>
        <family val="1"/>
      </rPr>
      <t>=N</t>
    </r>
    <r>
      <rPr>
        <vertAlign val="subscript"/>
        <sz val="11"/>
        <rFont val="Times New Roman"/>
        <family val="1"/>
      </rPr>
      <t>P</t>
    </r>
    <r>
      <rPr>
        <sz val="11"/>
        <rFont val="Times New Roman"/>
        <family val="1"/>
      </rPr>
      <t>e</t>
    </r>
    <r>
      <rPr>
        <vertAlign val="subscript"/>
        <sz val="11"/>
        <rFont val="Times New Roman"/>
        <family val="1"/>
      </rPr>
      <t>pn</t>
    </r>
    <r>
      <rPr>
        <sz val="11"/>
        <rFont val="Times New Roman"/>
        <family val="1"/>
      </rPr>
      <t>l</t>
    </r>
    <r>
      <rPr>
        <vertAlign val="subscript"/>
        <sz val="11"/>
        <rFont val="Times New Roman"/>
        <family val="1"/>
      </rPr>
      <t>0</t>
    </r>
    <r>
      <rPr>
        <vertAlign val="superscript"/>
        <sz val="11"/>
        <rFont val="Times New Roman"/>
        <family val="1"/>
      </rPr>
      <t>2</t>
    </r>
    <r>
      <rPr>
        <sz val="11"/>
        <rFont val="Times New Roman"/>
        <family val="1"/>
      </rPr>
      <t>/8E</t>
    </r>
    <r>
      <rPr>
        <vertAlign val="subscript"/>
        <sz val="11"/>
        <rFont val="Times New Roman"/>
        <family val="1"/>
      </rPr>
      <t>c</t>
    </r>
    <r>
      <rPr>
        <sz val="11"/>
        <rFont val="Times New Roman"/>
        <family val="1"/>
      </rPr>
      <t>I</t>
    </r>
    <r>
      <rPr>
        <vertAlign val="subscript"/>
        <sz val="11"/>
        <rFont val="Times New Roman"/>
        <family val="1"/>
      </rPr>
      <t>0</t>
    </r>
    <r>
      <rPr>
        <sz val="11"/>
        <rFont val="Times New Roman"/>
        <family val="1"/>
      </rPr>
      <t>=</t>
    </r>
  </si>
  <si>
    <r>
      <rPr>
        <sz val="11"/>
        <color theme="1"/>
        <rFont val="宋体"/>
        <charset val="134"/>
      </rPr>
      <t>外荷载和预应力作用下总挠度</t>
    </r>
    <r>
      <rPr>
        <sz val="11"/>
        <color theme="1"/>
        <rFont val="Times New Roman"/>
        <family val="1"/>
      </rPr>
      <t>f=f</t>
    </r>
    <r>
      <rPr>
        <vertAlign val="subscript"/>
        <sz val="11"/>
        <color theme="1"/>
        <rFont val="Times New Roman"/>
        <family val="1"/>
      </rPr>
      <t>1k</t>
    </r>
    <r>
      <rPr>
        <sz val="11"/>
        <color theme="1"/>
        <rFont val="Times New Roman"/>
        <family val="1"/>
      </rPr>
      <t>-2f</t>
    </r>
    <r>
      <rPr>
        <vertAlign val="subscript"/>
        <sz val="11"/>
        <color theme="1"/>
        <rFont val="Times New Roman"/>
        <family val="1"/>
      </rPr>
      <t>2</t>
    </r>
    <r>
      <rPr>
        <sz val="11"/>
        <color theme="1"/>
        <rFont val="Times New Roman"/>
        <family val="1"/>
      </rPr>
      <t>=</t>
    </r>
  </si>
  <si>
    <r>
      <rPr>
        <sz val="11"/>
        <rFont val="Times New Roman"/>
        <family val="1"/>
      </rPr>
      <t>[f]=l</t>
    </r>
    <r>
      <rPr>
        <vertAlign val="subscript"/>
        <sz val="11"/>
        <rFont val="Times New Roman"/>
        <family val="1"/>
      </rPr>
      <t>0</t>
    </r>
    <r>
      <rPr>
        <sz val="11"/>
        <rFont val="Times New Roman"/>
        <family val="1"/>
      </rPr>
      <t>/600=</t>
    </r>
  </si>
  <si>
    <r>
      <rPr>
        <sz val="11"/>
        <color theme="1"/>
        <rFont val="Times New Roman"/>
        <family val="1"/>
      </rPr>
      <t>/500</t>
    </r>
    <r>
      <rPr>
        <sz val="11"/>
        <color theme="1"/>
        <rFont val="宋体"/>
        <charset val="134"/>
      </rPr>
      <t>或</t>
    </r>
    <r>
      <rPr>
        <sz val="11"/>
        <color theme="1"/>
        <rFont val="Times New Roman"/>
        <family val="1"/>
      </rPr>
      <t>/600</t>
    </r>
    <r>
      <rPr>
        <sz val="11"/>
        <color theme="1"/>
        <rFont val="宋体"/>
        <charset val="134"/>
      </rPr>
      <t>均可</t>
    </r>
  </si>
  <si>
    <r>
      <rPr>
        <sz val="12"/>
        <rFont val="Times New Roman"/>
        <family val="1"/>
      </rPr>
      <t>3.8</t>
    </r>
    <r>
      <rPr>
        <sz val="12"/>
        <rFont val="黑体"/>
        <charset val="134"/>
      </rPr>
      <t>施工阶段验算</t>
    </r>
  </si>
  <si>
    <r>
      <rPr>
        <sz val="9"/>
        <rFont val="宋体"/>
        <charset val="134"/>
      </rPr>
      <t>第一批预应力损失后预应力筋与非预应力筋合力</t>
    </r>
    <r>
      <rPr>
        <sz val="9"/>
        <rFont val="Times New Roman"/>
        <family val="1"/>
      </rPr>
      <t>Np</t>
    </r>
    <r>
      <rPr>
        <sz val="9"/>
        <rFont val="宋体"/>
        <charset val="134"/>
      </rPr>
      <t>Ⅰ</t>
    </r>
    <r>
      <rPr>
        <sz val="9"/>
        <rFont val="Times New Roman"/>
        <family val="1"/>
      </rPr>
      <t>=</t>
    </r>
  </si>
  <si>
    <r>
      <rPr>
        <sz val="11"/>
        <color theme="1"/>
        <rFont val="宋体"/>
        <charset val="134"/>
      </rPr>
      <t>第一批预应力损失后受拉区混凝土法向应力</t>
    </r>
    <r>
      <rPr>
        <sz val="11"/>
        <color theme="1"/>
        <rFont val="Times New Roman"/>
        <family val="1"/>
      </rPr>
      <t>σ</t>
    </r>
    <r>
      <rPr>
        <vertAlign val="subscript"/>
        <sz val="11"/>
        <color theme="1"/>
        <rFont val="Times New Roman"/>
        <family val="1"/>
      </rPr>
      <t>pc</t>
    </r>
    <r>
      <rPr>
        <sz val="11"/>
        <color theme="1"/>
        <rFont val="宋体"/>
        <charset val="134"/>
      </rPr>
      <t>Ⅰ</t>
    </r>
    <r>
      <rPr>
        <sz val="11"/>
        <color theme="1"/>
        <rFont val="Times New Roman"/>
        <family val="1"/>
      </rPr>
      <t>=</t>
    </r>
  </si>
  <si>
    <r>
      <rPr>
        <sz val="11"/>
        <color theme="1"/>
        <rFont val="宋体"/>
        <charset val="134"/>
      </rPr>
      <t>第一批预应力损失后受压区混凝土法向应力</t>
    </r>
    <r>
      <rPr>
        <sz val="11"/>
        <color theme="1"/>
        <rFont val="Times New Roman"/>
        <family val="1"/>
      </rPr>
      <t>σ’</t>
    </r>
    <r>
      <rPr>
        <vertAlign val="subscript"/>
        <sz val="11"/>
        <color theme="1"/>
        <rFont val="Times New Roman"/>
        <family val="1"/>
      </rPr>
      <t>pc</t>
    </r>
    <r>
      <rPr>
        <sz val="11"/>
        <color theme="1"/>
        <rFont val="宋体"/>
        <charset val="134"/>
      </rPr>
      <t>Ⅰ</t>
    </r>
    <r>
      <rPr>
        <sz val="11"/>
        <color theme="1"/>
        <rFont val="Times New Roman"/>
        <family val="1"/>
      </rPr>
      <t>=</t>
    </r>
  </si>
  <si>
    <r>
      <rPr>
        <sz val="11"/>
        <color theme="1"/>
        <rFont val="宋体"/>
        <charset val="134"/>
      </rPr>
      <t>放张时</t>
    </r>
  </si>
  <si>
    <r>
      <rPr>
        <sz val="11"/>
        <color theme="1"/>
        <rFont val="宋体"/>
        <charset val="134"/>
      </rPr>
      <t>施工阶段混凝土边缘压应力</t>
    </r>
    <r>
      <rPr>
        <sz val="11"/>
        <color theme="1"/>
        <rFont val="Times New Roman"/>
        <family val="1"/>
      </rPr>
      <t>σ</t>
    </r>
    <r>
      <rPr>
        <vertAlign val="subscript"/>
        <sz val="11"/>
        <color theme="1"/>
        <rFont val="Times New Roman"/>
        <family val="1"/>
      </rPr>
      <t>cc</t>
    </r>
    <r>
      <rPr>
        <sz val="11"/>
        <color theme="1"/>
        <rFont val="Times New Roman"/>
        <family val="1"/>
      </rPr>
      <t>=</t>
    </r>
  </si>
  <si>
    <r>
      <rPr>
        <sz val="11"/>
        <color theme="1"/>
        <rFont val="宋体"/>
        <charset val="134"/>
      </rPr>
      <t>施工阶段混凝土边缘拉应力</t>
    </r>
    <r>
      <rPr>
        <sz val="11"/>
        <color theme="1"/>
        <rFont val="Times New Roman"/>
        <family val="1"/>
      </rPr>
      <t>σ</t>
    </r>
    <r>
      <rPr>
        <vertAlign val="subscript"/>
        <sz val="11"/>
        <color theme="1"/>
        <rFont val="Times New Roman"/>
        <family val="1"/>
      </rPr>
      <t>ct</t>
    </r>
    <r>
      <rPr>
        <sz val="11"/>
        <color theme="1"/>
        <rFont val="Times New Roman"/>
        <family val="1"/>
      </rPr>
      <t>=</t>
    </r>
  </si>
  <si>
    <r>
      <rPr>
        <sz val="11"/>
        <rFont val="Times New Roman"/>
        <family val="1"/>
      </rPr>
      <t>2f</t>
    </r>
    <r>
      <rPr>
        <vertAlign val="superscript"/>
        <sz val="11"/>
        <rFont val="Times New Roman"/>
        <family val="1"/>
      </rPr>
      <t>'</t>
    </r>
    <r>
      <rPr>
        <vertAlign val="subscript"/>
        <sz val="11"/>
        <rFont val="Times New Roman"/>
        <family val="1"/>
      </rPr>
      <t>tk</t>
    </r>
    <r>
      <rPr>
        <sz val="11"/>
        <rFont val="Times New Roman"/>
        <family val="1"/>
      </rPr>
      <t>=</t>
    </r>
  </si>
  <si>
    <r>
      <rPr>
        <sz val="11"/>
        <color theme="1"/>
        <rFont val="Times New Roman"/>
        <family val="1"/>
      </rPr>
      <t>A'</t>
    </r>
    <r>
      <rPr>
        <vertAlign val="subscript"/>
        <sz val="11"/>
        <color theme="1"/>
        <rFont val="Times New Roman"/>
        <family val="1"/>
      </rPr>
      <t>p</t>
    </r>
    <r>
      <rPr>
        <sz val="11"/>
        <color theme="1"/>
        <rFont val="Times New Roman"/>
        <family val="1"/>
      </rPr>
      <t>=0</t>
    </r>
    <r>
      <rPr>
        <sz val="11"/>
        <color theme="1"/>
        <rFont val="宋体"/>
        <charset val="134"/>
      </rPr>
      <t>所致</t>
    </r>
  </si>
  <si>
    <r>
      <rPr>
        <sz val="11"/>
        <color theme="1"/>
        <rFont val="宋体"/>
        <charset val="134"/>
      </rPr>
      <t>不为</t>
    </r>
    <r>
      <rPr>
        <sz val="11"/>
        <color theme="1"/>
        <rFont val="Times New Roman"/>
        <family val="1"/>
      </rPr>
      <t>0</t>
    </r>
    <r>
      <rPr>
        <sz val="11"/>
        <color theme="1"/>
        <rFont val="宋体"/>
        <charset val="134"/>
      </rPr>
      <t>时，</t>
    </r>
    <r>
      <rPr>
        <sz val="11"/>
        <color theme="1"/>
        <rFont val="Times New Roman"/>
        <family val="1"/>
      </rPr>
      <t>0.8f'</t>
    </r>
    <r>
      <rPr>
        <vertAlign val="subscript"/>
        <sz val="11"/>
        <color theme="1"/>
        <rFont val="Times New Roman"/>
        <family val="1"/>
      </rPr>
      <t>ck</t>
    </r>
    <r>
      <rPr>
        <sz val="11"/>
        <color theme="1"/>
        <rFont val="宋体"/>
        <charset val="134"/>
      </rPr>
      <t>、</t>
    </r>
    <r>
      <rPr>
        <sz val="11"/>
        <color theme="1"/>
        <rFont val="Times New Roman"/>
        <family val="1"/>
      </rPr>
      <t>f'</t>
    </r>
    <r>
      <rPr>
        <vertAlign val="subscript"/>
        <sz val="11"/>
        <color theme="1"/>
        <rFont val="Times New Roman"/>
        <family val="1"/>
      </rPr>
      <t>tk</t>
    </r>
    <r>
      <rPr>
        <sz val="11"/>
        <color theme="1"/>
        <rFont val="宋体"/>
        <charset val="134"/>
      </rPr>
      <t>控制</t>
    </r>
  </si>
  <si>
    <r>
      <rPr>
        <sz val="11"/>
        <rFont val="Times New Roman"/>
        <family val="1"/>
      </rPr>
      <t>0.8f</t>
    </r>
    <r>
      <rPr>
        <vertAlign val="superscript"/>
        <sz val="11"/>
        <rFont val="Times New Roman"/>
        <family val="1"/>
      </rPr>
      <t>'</t>
    </r>
    <r>
      <rPr>
        <vertAlign val="subscript"/>
        <sz val="11"/>
        <rFont val="Times New Roman"/>
        <family val="1"/>
      </rPr>
      <t>ck</t>
    </r>
    <r>
      <rPr>
        <sz val="11"/>
        <rFont val="Times New Roman"/>
        <family val="1"/>
      </rPr>
      <t>=</t>
    </r>
  </si>
  <si>
    <r>
      <rPr>
        <sz val="11"/>
        <color theme="1"/>
        <rFont val="宋体"/>
        <charset val="134"/>
      </rPr>
      <t>吊装运输及安装时</t>
    </r>
  </si>
  <si>
    <r>
      <rPr>
        <sz val="11"/>
        <color theme="1"/>
        <rFont val="宋体"/>
        <charset val="134"/>
      </rPr>
      <t>槽身自重</t>
    </r>
    <r>
      <rPr>
        <sz val="11"/>
        <color theme="1"/>
        <rFont val="Times New Roman"/>
        <family val="1"/>
      </rPr>
      <t>g</t>
    </r>
    <r>
      <rPr>
        <vertAlign val="subscript"/>
        <sz val="11"/>
        <color theme="1"/>
        <rFont val="Times New Roman"/>
        <family val="1"/>
      </rPr>
      <t>k</t>
    </r>
    <r>
      <rPr>
        <sz val="11"/>
        <color theme="1"/>
        <rFont val="Times New Roman"/>
        <family val="1"/>
      </rPr>
      <t>=</t>
    </r>
  </si>
  <si>
    <r>
      <rPr>
        <sz val="11"/>
        <color theme="1"/>
        <rFont val="宋体"/>
        <charset val="134"/>
      </rPr>
      <t>动力系数</t>
    </r>
    <r>
      <rPr>
        <sz val="11"/>
        <color theme="1"/>
        <rFont val="Times New Roman"/>
        <family val="1"/>
      </rPr>
      <t>=</t>
    </r>
  </si>
  <si>
    <r>
      <rPr>
        <sz val="11"/>
        <color theme="1"/>
        <rFont val="宋体"/>
        <charset val="134"/>
      </rPr>
      <t>吊点位置</t>
    </r>
    <r>
      <rPr>
        <sz val="11"/>
        <color theme="1"/>
        <rFont val="Times New Roman"/>
        <family val="1"/>
      </rPr>
      <t>l=0.1l</t>
    </r>
    <r>
      <rPr>
        <vertAlign val="subscript"/>
        <sz val="11"/>
        <color theme="1"/>
        <rFont val="Times New Roman"/>
        <family val="1"/>
      </rPr>
      <t>q</t>
    </r>
    <r>
      <rPr>
        <sz val="11"/>
        <color theme="1"/>
        <rFont val="Times New Roman"/>
        <family val="1"/>
      </rPr>
      <t>=</t>
    </r>
  </si>
  <si>
    <r>
      <rPr>
        <sz val="11"/>
        <color theme="1"/>
        <rFont val="宋体"/>
        <charset val="134"/>
      </rPr>
      <t>吊点处构件自重标准值在计算截面产生弯矩</t>
    </r>
    <r>
      <rPr>
        <sz val="11"/>
        <color theme="1"/>
        <rFont val="Times New Roman"/>
        <family val="1"/>
      </rPr>
      <t>M</t>
    </r>
    <r>
      <rPr>
        <vertAlign val="subscript"/>
        <sz val="11"/>
        <color theme="1"/>
        <rFont val="Times New Roman"/>
        <family val="1"/>
      </rPr>
      <t>k</t>
    </r>
    <r>
      <rPr>
        <sz val="11"/>
        <color theme="1"/>
        <rFont val="Times New Roman"/>
        <family val="1"/>
      </rPr>
      <t>=</t>
    </r>
  </si>
  <si>
    <r>
      <rPr>
        <sz val="11"/>
        <color theme="1"/>
        <rFont val="Times New Roman"/>
        <family val="1"/>
      </rPr>
      <t>N</t>
    </r>
    <r>
      <rPr>
        <vertAlign val="subscript"/>
        <sz val="11"/>
        <color theme="1"/>
        <rFont val="Times New Roman"/>
        <family val="1"/>
      </rPr>
      <t>k</t>
    </r>
    <r>
      <rPr>
        <sz val="11"/>
        <color theme="1"/>
        <rFont val="Times New Roman"/>
        <family val="1"/>
      </rPr>
      <t>=</t>
    </r>
  </si>
  <si>
    <r>
      <rPr>
        <sz val="12"/>
        <rFont val="Times New Roman"/>
        <family val="1"/>
      </rPr>
      <t>3.9</t>
    </r>
    <r>
      <rPr>
        <sz val="12"/>
        <rFont val="黑体"/>
        <charset val="134"/>
      </rPr>
      <t>纵向钢绞线锚固端砼局部受压承载力计算</t>
    </r>
  </si>
  <si>
    <r>
      <rPr>
        <sz val="11"/>
        <rFont val="宋体"/>
        <charset val="134"/>
      </rPr>
      <t>承载力安全系数</t>
    </r>
    <r>
      <rPr>
        <sz val="11"/>
        <rFont val="Times New Roman"/>
        <family val="1"/>
      </rPr>
      <t>:K=</t>
    </r>
  </si>
  <si>
    <r>
      <rPr>
        <sz val="11"/>
        <rFont val="宋体"/>
        <charset val="134"/>
      </rPr>
      <t>单束张拉控制吨位</t>
    </r>
    <r>
      <rPr>
        <sz val="11"/>
        <rFont val="Times New Roman"/>
        <family val="1"/>
      </rPr>
      <t>F=</t>
    </r>
  </si>
  <si>
    <r>
      <rPr>
        <sz val="11"/>
        <rFont val="宋体"/>
        <charset val="134"/>
      </rPr>
      <t>局部受压尺寸：</t>
    </r>
  </si>
  <si>
    <r>
      <rPr>
        <sz val="11"/>
        <rFont val="宋体"/>
        <charset val="134"/>
      </rPr>
      <t>长</t>
    </r>
    <r>
      <rPr>
        <sz val="11"/>
        <rFont val="Times New Roman"/>
        <family val="1"/>
      </rPr>
      <t>L</t>
    </r>
    <r>
      <rPr>
        <vertAlign val="subscript"/>
        <sz val="11"/>
        <rFont val="宋体"/>
        <charset val="134"/>
      </rPr>
      <t>局</t>
    </r>
    <r>
      <rPr>
        <sz val="11"/>
        <rFont val="Times New Roman"/>
        <family val="1"/>
      </rPr>
      <t>=</t>
    </r>
  </si>
  <si>
    <r>
      <rPr>
        <sz val="11"/>
        <rFont val="宋体"/>
        <charset val="134"/>
      </rPr>
      <t>宽</t>
    </r>
    <r>
      <rPr>
        <sz val="11"/>
        <rFont val="Times New Roman"/>
        <family val="1"/>
      </rPr>
      <t>b</t>
    </r>
    <r>
      <rPr>
        <vertAlign val="subscript"/>
        <sz val="11"/>
        <rFont val="宋体"/>
        <charset val="134"/>
      </rPr>
      <t>局</t>
    </r>
    <r>
      <rPr>
        <sz val="11"/>
        <rFont val="Times New Roman"/>
        <family val="1"/>
      </rPr>
      <t>=</t>
    </r>
  </si>
  <si>
    <r>
      <rPr>
        <sz val="11"/>
        <rFont val="宋体"/>
        <charset val="134"/>
      </rPr>
      <t>砼局部受压面积</t>
    </r>
    <r>
      <rPr>
        <sz val="11"/>
        <rFont val="Times New Roman"/>
        <family val="1"/>
      </rPr>
      <t>A</t>
    </r>
    <r>
      <rPr>
        <vertAlign val="subscript"/>
        <sz val="11"/>
        <rFont val="Times New Roman"/>
        <family val="1"/>
      </rPr>
      <t>L</t>
    </r>
    <r>
      <rPr>
        <sz val="11"/>
        <rFont val="Times New Roman"/>
        <family val="1"/>
      </rPr>
      <t>=L</t>
    </r>
    <r>
      <rPr>
        <vertAlign val="subscript"/>
        <sz val="11"/>
        <rFont val="宋体"/>
        <charset val="134"/>
      </rPr>
      <t>局</t>
    </r>
    <r>
      <rPr>
        <sz val="11"/>
        <rFont val="Times New Roman"/>
        <family val="1"/>
      </rPr>
      <t>b</t>
    </r>
    <r>
      <rPr>
        <vertAlign val="subscript"/>
        <sz val="11"/>
        <rFont val="宋体"/>
        <charset val="134"/>
      </rPr>
      <t>局</t>
    </r>
    <r>
      <rPr>
        <sz val="11"/>
        <rFont val="Times New Roman"/>
        <family val="1"/>
      </rPr>
      <t>=</t>
    </r>
  </si>
  <si>
    <r>
      <rPr>
        <sz val="11"/>
        <rFont val="宋体"/>
        <charset val="134"/>
      </rPr>
      <t>局部受压时计算底面积</t>
    </r>
    <r>
      <rPr>
        <sz val="11"/>
        <rFont val="Times New Roman"/>
        <family val="1"/>
      </rPr>
      <t>A</t>
    </r>
    <r>
      <rPr>
        <vertAlign val="subscript"/>
        <sz val="11"/>
        <rFont val="Times New Roman"/>
        <family val="1"/>
      </rPr>
      <t>b</t>
    </r>
    <r>
      <rPr>
        <sz val="11"/>
        <rFont val="Times New Roman"/>
        <family val="1"/>
      </rPr>
      <t>=(L</t>
    </r>
    <r>
      <rPr>
        <vertAlign val="subscript"/>
        <sz val="11"/>
        <rFont val="宋体"/>
        <charset val="134"/>
      </rPr>
      <t>局</t>
    </r>
    <r>
      <rPr>
        <sz val="11"/>
        <rFont val="Times New Roman"/>
        <family val="1"/>
      </rPr>
      <t>+2b</t>
    </r>
    <r>
      <rPr>
        <vertAlign val="subscript"/>
        <sz val="11"/>
        <rFont val="宋体"/>
        <charset val="134"/>
      </rPr>
      <t>局</t>
    </r>
    <r>
      <rPr>
        <sz val="11"/>
        <rFont val="Times New Roman"/>
        <family val="1"/>
      </rPr>
      <t>)*3b</t>
    </r>
    <r>
      <rPr>
        <vertAlign val="subscript"/>
        <sz val="11"/>
        <rFont val="宋体"/>
        <charset val="134"/>
      </rPr>
      <t>局</t>
    </r>
    <r>
      <rPr>
        <sz val="11"/>
        <rFont val="Times New Roman"/>
        <family val="1"/>
      </rPr>
      <t>=</t>
    </r>
  </si>
  <si>
    <r>
      <rPr>
        <sz val="11"/>
        <color theme="1"/>
        <rFont val="宋体"/>
        <charset val="134"/>
      </rPr>
      <t>螺旋布置时</t>
    </r>
  </si>
  <si>
    <r>
      <rPr>
        <sz val="11"/>
        <rFont val="宋体"/>
        <charset val="134"/>
      </rPr>
      <t>砼局部受压时强度提高系数</t>
    </r>
    <r>
      <rPr>
        <sz val="11"/>
        <rFont val="Times New Roman"/>
        <family val="1"/>
      </rPr>
      <t>β</t>
    </r>
    <r>
      <rPr>
        <vertAlign val="subscript"/>
        <sz val="11"/>
        <rFont val="Times New Roman"/>
        <family val="1"/>
      </rPr>
      <t>L</t>
    </r>
    <r>
      <rPr>
        <sz val="11"/>
        <rFont val="Times New Roman"/>
        <family val="1"/>
      </rPr>
      <t>=(A</t>
    </r>
    <r>
      <rPr>
        <vertAlign val="subscript"/>
        <sz val="11"/>
        <rFont val="Times New Roman"/>
        <family val="1"/>
      </rPr>
      <t>b</t>
    </r>
    <r>
      <rPr>
        <sz val="11"/>
        <rFont val="Times New Roman"/>
        <family val="1"/>
      </rPr>
      <t>/A</t>
    </r>
    <r>
      <rPr>
        <vertAlign val="subscript"/>
        <sz val="11"/>
        <rFont val="Times New Roman"/>
        <family val="1"/>
      </rPr>
      <t>L</t>
    </r>
    <r>
      <rPr>
        <sz val="11"/>
        <rFont val="Times New Roman"/>
        <family val="1"/>
      </rPr>
      <t>)</t>
    </r>
    <r>
      <rPr>
        <vertAlign val="superscript"/>
        <sz val="11"/>
        <rFont val="Times New Roman"/>
        <family val="1"/>
      </rPr>
      <t>0.5</t>
    </r>
    <r>
      <rPr>
        <sz val="11"/>
        <rFont val="Times New Roman"/>
        <family val="1"/>
      </rPr>
      <t>=</t>
    </r>
  </si>
  <si>
    <r>
      <rPr>
        <sz val="11"/>
        <rFont val="Times New Roman"/>
        <family val="1"/>
      </rPr>
      <t>C40</t>
    </r>
    <r>
      <rPr>
        <sz val="11"/>
        <rFont val="宋体"/>
        <charset val="134"/>
      </rPr>
      <t>砼轴心抗压强度设计值</t>
    </r>
    <r>
      <rPr>
        <sz val="11"/>
        <rFont val="Times New Roman"/>
        <family val="1"/>
      </rPr>
      <t>fc=</t>
    </r>
  </si>
  <si>
    <r>
      <rPr>
        <sz val="11"/>
        <rFont val="宋体"/>
        <charset val="134"/>
      </rPr>
      <t>螺旋式间接钢筋强度设计值</t>
    </r>
    <r>
      <rPr>
        <sz val="11"/>
        <rFont val="Times New Roman"/>
        <family val="1"/>
      </rPr>
      <t>f</t>
    </r>
    <r>
      <rPr>
        <vertAlign val="subscript"/>
        <sz val="11"/>
        <rFont val="Times New Roman"/>
        <family val="1"/>
      </rPr>
      <t>y</t>
    </r>
    <r>
      <rPr>
        <sz val="11"/>
        <rFont val="Times New Roman"/>
        <family val="1"/>
      </rPr>
      <t>=</t>
    </r>
  </si>
  <si>
    <r>
      <rPr>
        <sz val="11"/>
        <color theme="1"/>
        <rFont val="宋体"/>
        <charset val="134"/>
      </rPr>
      <t>采用</t>
    </r>
    <r>
      <rPr>
        <sz val="11"/>
        <color theme="1"/>
        <rFont val="Times New Roman"/>
        <family val="1"/>
      </rPr>
      <t>HPB235</t>
    </r>
    <r>
      <rPr>
        <sz val="11"/>
        <color theme="1"/>
        <rFont val="宋体"/>
        <charset val="134"/>
      </rPr>
      <t>，一级</t>
    </r>
  </si>
  <si>
    <r>
      <rPr>
        <sz val="11"/>
        <rFont val="宋体"/>
        <charset val="134"/>
      </rPr>
      <t>螺旋式间接钢筋直径</t>
    </r>
    <r>
      <rPr>
        <sz val="11"/>
        <rFont val="Times New Roman"/>
        <family val="1"/>
      </rPr>
      <t>Φ=</t>
    </r>
  </si>
  <si>
    <r>
      <rPr>
        <sz val="11"/>
        <rFont val="宋体"/>
        <charset val="134"/>
      </rPr>
      <t>螺旋式间接钢筋面积</t>
    </r>
    <r>
      <rPr>
        <sz val="11"/>
        <rFont val="Times New Roman"/>
        <family val="1"/>
      </rPr>
      <t>A</t>
    </r>
    <r>
      <rPr>
        <vertAlign val="subscript"/>
        <sz val="11"/>
        <rFont val="Times New Roman"/>
        <family val="1"/>
      </rPr>
      <t>ss1</t>
    </r>
    <r>
      <rPr>
        <sz val="11"/>
        <rFont val="Times New Roman"/>
        <family val="1"/>
      </rPr>
      <t>=πφ</t>
    </r>
    <r>
      <rPr>
        <vertAlign val="superscript"/>
        <sz val="11"/>
        <rFont val="Times New Roman"/>
        <family val="1"/>
      </rPr>
      <t>2</t>
    </r>
    <r>
      <rPr>
        <sz val="11"/>
        <rFont val="Times New Roman"/>
        <family val="1"/>
      </rPr>
      <t>/4=</t>
    </r>
  </si>
  <si>
    <r>
      <rPr>
        <sz val="11"/>
        <rFont val="宋体"/>
        <charset val="134"/>
      </rPr>
      <t>螺旋式间接钢筋范围内砼直径</t>
    </r>
    <r>
      <rPr>
        <sz val="11"/>
        <rFont val="Times New Roman"/>
        <family val="1"/>
      </rPr>
      <t>d</t>
    </r>
    <r>
      <rPr>
        <vertAlign val="subscript"/>
        <sz val="11"/>
        <rFont val="Times New Roman"/>
        <family val="1"/>
      </rPr>
      <t>cor</t>
    </r>
    <r>
      <rPr>
        <sz val="11"/>
        <rFont val="Times New Roman"/>
        <family val="1"/>
      </rPr>
      <t>=</t>
    </r>
  </si>
  <si>
    <r>
      <rPr>
        <sz val="11"/>
        <rFont val="宋体"/>
        <charset val="134"/>
      </rPr>
      <t>混凝土核心面积</t>
    </r>
    <r>
      <rPr>
        <sz val="11"/>
        <rFont val="Times New Roman"/>
        <family val="1"/>
      </rPr>
      <t>A</t>
    </r>
    <r>
      <rPr>
        <vertAlign val="subscript"/>
        <sz val="11"/>
        <rFont val="Times New Roman"/>
        <family val="1"/>
      </rPr>
      <t>cor</t>
    </r>
    <r>
      <rPr>
        <sz val="11"/>
        <rFont val="Times New Roman"/>
        <family val="1"/>
      </rPr>
      <t>=</t>
    </r>
  </si>
  <si>
    <r>
      <rPr>
        <sz val="11"/>
        <rFont val="宋体"/>
        <charset val="134"/>
      </rPr>
      <t>螺旋式间接钢筋的间距</t>
    </r>
    <r>
      <rPr>
        <sz val="11"/>
        <rFont val="Times New Roman"/>
        <family val="1"/>
      </rPr>
      <t>s=</t>
    </r>
  </si>
  <si>
    <r>
      <rPr>
        <sz val="11"/>
        <rFont val="宋体"/>
        <charset val="134"/>
      </rPr>
      <t>体积配筋率</t>
    </r>
    <r>
      <rPr>
        <sz val="11"/>
        <rFont val="Times New Roman"/>
        <family val="1"/>
      </rPr>
      <t>ρ</t>
    </r>
    <r>
      <rPr>
        <vertAlign val="subscript"/>
        <sz val="11"/>
        <rFont val="Times New Roman"/>
        <family val="1"/>
      </rPr>
      <t>v</t>
    </r>
    <r>
      <rPr>
        <sz val="11"/>
        <rFont val="Times New Roman"/>
        <family val="1"/>
      </rPr>
      <t>=4A</t>
    </r>
    <r>
      <rPr>
        <vertAlign val="subscript"/>
        <sz val="11"/>
        <rFont val="Times New Roman"/>
        <family val="1"/>
      </rPr>
      <t>ss1</t>
    </r>
    <r>
      <rPr>
        <sz val="11"/>
        <rFont val="Times New Roman"/>
        <family val="1"/>
      </rPr>
      <t>/d</t>
    </r>
    <r>
      <rPr>
        <vertAlign val="subscript"/>
        <sz val="11"/>
        <rFont val="Times New Roman"/>
        <family val="1"/>
      </rPr>
      <t>cor</t>
    </r>
    <r>
      <rPr>
        <sz val="11"/>
        <rFont val="Times New Roman"/>
        <family val="1"/>
      </rPr>
      <t>s=</t>
    </r>
  </si>
  <si>
    <r>
      <rPr>
        <sz val="11"/>
        <rFont val="宋体"/>
        <charset val="134"/>
      </rPr>
      <t>配置间接钢筋的砼局部受压承载力提高系数</t>
    </r>
    <r>
      <rPr>
        <sz val="11"/>
        <rFont val="Times New Roman"/>
        <family val="1"/>
      </rPr>
      <t>β</t>
    </r>
    <r>
      <rPr>
        <vertAlign val="subscript"/>
        <sz val="11"/>
        <rFont val="Times New Roman"/>
        <family val="1"/>
      </rPr>
      <t>cor</t>
    </r>
    <r>
      <rPr>
        <sz val="11"/>
        <rFont val="宋体"/>
        <charset val="134"/>
      </rPr>
      <t>：</t>
    </r>
  </si>
  <si>
    <r>
      <rPr>
        <sz val="11"/>
        <rFont val="Times New Roman"/>
        <family val="1"/>
      </rPr>
      <t>β</t>
    </r>
    <r>
      <rPr>
        <vertAlign val="subscript"/>
        <sz val="11"/>
        <rFont val="Times New Roman"/>
        <family val="1"/>
      </rPr>
      <t>cor</t>
    </r>
    <r>
      <rPr>
        <sz val="11"/>
        <rFont val="Times New Roman"/>
        <family val="1"/>
      </rPr>
      <t>=(A</t>
    </r>
    <r>
      <rPr>
        <vertAlign val="subscript"/>
        <sz val="11"/>
        <rFont val="Times New Roman"/>
        <family val="1"/>
      </rPr>
      <t>cor</t>
    </r>
    <r>
      <rPr>
        <sz val="11"/>
        <rFont val="Times New Roman"/>
        <family val="1"/>
      </rPr>
      <t>/A</t>
    </r>
    <r>
      <rPr>
        <vertAlign val="subscript"/>
        <sz val="11"/>
        <rFont val="Times New Roman"/>
        <family val="1"/>
      </rPr>
      <t>L</t>
    </r>
    <r>
      <rPr>
        <sz val="11"/>
        <rFont val="Times New Roman"/>
        <family val="1"/>
      </rPr>
      <t>)</t>
    </r>
    <r>
      <rPr>
        <vertAlign val="superscript"/>
        <sz val="11"/>
        <rFont val="Times New Roman"/>
        <family val="1"/>
      </rPr>
      <t>0.5</t>
    </r>
    <r>
      <rPr>
        <sz val="11"/>
        <rFont val="Times New Roman"/>
        <family val="1"/>
      </rPr>
      <t>=</t>
    </r>
  </si>
  <si>
    <r>
      <rPr>
        <sz val="11"/>
        <rFont val="Times New Roman"/>
        <family val="1"/>
      </rPr>
      <t>(β</t>
    </r>
    <r>
      <rPr>
        <vertAlign val="subscript"/>
        <sz val="11"/>
        <rFont val="Times New Roman"/>
        <family val="1"/>
      </rPr>
      <t>L</t>
    </r>
    <r>
      <rPr>
        <sz val="11"/>
        <rFont val="Times New Roman"/>
        <family val="1"/>
      </rPr>
      <t>f</t>
    </r>
    <r>
      <rPr>
        <vertAlign val="subscript"/>
        <sz val="11"/>
        <rFont val="Times New Roman"/>
        <family val="1"/>
      </rPr>
      <t>c</t>
    </r>
    <r>
      <rPr>
        <sz val="11"/>
        <rFont val="Times New Roman"/>
        <family val="1"/>
      </rPr>
      <t>+2ρ</t>
    </r>
    <r>
      <rPr>
        <vertAlign val="subscript"/>
        <sz val="11"/>
        <rFont val="Times New Roman"/>
        <family val="1"/>
      </rPr>
      <t>v</t>
    </r>
    <r>
      <rPr>
        <sz val="11"/>
        <rFont val="Times New Roman"/>
        <family val="1"/>
      </rPr>
      <t>β</t>
    </r>
    <r>
      <rPr>
        <vertAlign val="subscript"/>
        <sz val="11"/>
        <rFont val="Times New Roman"/>
        <family val="1"/>
      </rPr>
      <t>cor</t>
    </r>
    <r>
      <rPr>
        <sz val="11"/>
        <rFont val="Times New Roman"/>
        <family val="1"/>
      </rPr>
      <t>f</t>
    </r>
    <r>
      <rPr>
        <vertAlign val="subscript"/>
        <sz val="11"/>
        <rFont val="Times New Roman"/>
        <family val="1"/>
      </rPr>
      <t>y</t>
    </r>
    <r>
      <rPr>
        <sz val="11"/>
        <rFont val="Times New Roman"/>
        <family val="1"/>
      </rPr>
      <t>)A</t>
    </r>
    <r>
      <rPr>
        <vertAlign val="subscript"/>
        <sz val="11"/>
        <rFont val="Times New Roman"/>
        <family val="1"/>
      </rPr>
      <t>L</t>
    </r>
    <r>
      <rPr>
        <sz val="11"/>
        <rFont val="Times New Roman"/>
        <family val="1"/>
      </rPr>
      <t>=</t>
    </r>
  </si>
  <si>
    <t>KF=</t>
  </si>
  <si>
    <r>
      <rPr>
        <sz val="11"/>
        <rFont val="Times New Roman"/>
        <family val="1"/>
      </rPr>
      <t>1.5β</t>
    </r>
    <r>
      <rPr>
        <vertAlign val="subscript"/>
        <sz val="11"/>
        <rFont val="Times New Roman"/>
        <family val="1"/>
      </rPr>
      <t>L</t>
    </r>
    <r>
      <rPr>
        <sz val="11"/>
        <rFont val="Times New Roman"/>
        <family val="1"/>
      </rPr>
      <t>f</t>
    </r>
    <r>
      <rPr>
        <vertAlign val="subscript"/>
        <sz val="11"/>
        <rFont val="Times New Roman"/>
        <family val="1"/>
      </rPr>
      <t>c</t>
    </r>
    <r>
      <rPr>
        <sz val="11"/>
        <rFont val="Times New Roman"/>
        <family val="1"/>
      </rPr>
      <t>A</t>
    </r>
    <r>
      <rPr>
        <vertAlign val="subscript"/>
        <sz val="11"/>
        <rFont val="Times New Roman"/>
        <family val="1"/>
      </rPr>
      <t>L</t>
    </r>
    <r>
      <rPr>
        <sz val="11"/>
        <rFont val="Times New Roman"/>
        <family val="1"/>
      </rPr>
      <t>=</t>
    </r>
  </si>
  <si>
    <t>1 作用于槽身的荷载</t>
  </si>
  <si>
    <t>1)自重荷载（含栏杆、顶面铺装）</t>
  </si>
  <si>
    <t>2)设计水重及水压力</t>
  </si>
  <si>
    <t>3)人群荷载</t>
  </si>
  <si>
    <t>4)雪冰荷载</t>
  </si>
  <si>
    <t>5)风荷载</t>
  </si>
  <si>
    <t>6)温度变化及砼收缩引起的荷载</t>
  </si>
  <si>
    <t>7)地震荷载</t>
  </si>
  <si>
    <t>8)预应力荷载</t>
  </si>
  <si>
    <t>9)其它可能的施工荷载</t>
  </si>
  <si>
    <t>结构尺寸初设</t>
  </si>
  <si>
    <t>槽壳内半径R0=</t>
  </si>
  <si>
    <t>跨度L=</t>
  </si>
  <si>
    <t>跨宽比=</t>
  </si>
  <si>
    <t>3～4</t>
  </si>
  <si>
    <t>范围值(m)</t>
  </si>
  <si>
    <t>设计值(m)</t>
  </si>
  <si>
    <t>t</t>
  </si>
  <si>
    <t>(1/10～1/15)R0</t>
  </si>
  <si>
    <t>a</t>
  </si>
  <si>
    <t>(1.5～2.5)t</t>
  </si>
  <si>
    <t>b</t>
  </si>
  <si>
    <t>(1～2)t</t>
  </si>
  <si>
    <t>c</t>
  </si>
  <si>
    <t>d0</t>
  </si>
  <si>
    <t>(0.5～0.6)R0</t>
  </si>
  <si>
    <t>t0</t>
  </si>
  <si>
    <t>(1～1.5)t</t>
  </si>
  <si>
    <t>f</t>
  </si>
  <si>
    <t>(0.4～0.6)R0</t>
  </si>
  <si>
    <r>
      <rPr>
        <sz val="11"/>
        <color theme="1"/>
        <rFont val="宋体"/>
        <charset val="134"/>
        <scheme val="minor"/>
      </rPr>
      <t>S</t>
    </r>
    <r>
      <rPr>
        <vertAlign val="subscript"/>
        <sz val="12"/>
        <rFont val="宋体"/>
        <charset val="134"/>
      </rPr>
      <t>0</t>
    </r>
  </si>
  <si>
    <t>(cad图上，由相切决定)</t>
  </si>
  <si>
    <t>人行道板厚度=</t>
  </si>
  <si>
    <t>人行道板长度=</t>
  </si>
  <si>
    <t>拉杆宽=</t>
  </si>
  <si>
    <t>拉杆高=</t>
  </si>
  <si>
    <t>拉杆长=</t>
  </si>
  <si>
    <t>拉杆间距=</t>
  </si>
  <si>
    <t>人行道长度=</t>
  </si>
  <si>
    <t>设计水深</t>
  </si>
  <si>
    <t>加大水深</t>
  </si>
  <si>
    <t>满槽水深</t>
  </si>
  <si>
    <t>槽身高</t>
  </si>
  <si>
    <t>15～20</t>
  </si>
  <si>
    <t>渡槽高h=</t>
  </si>
  <si>
    <t>C40，考虑到施工工艺等具体条件，计算中混凝土强度偏安全地取用C30的数值</t>
  </si>
  <si>
    <t>纵向结构计算</t>
  </si>
  <si>
    <t>3.1材料常数：</t>
  </si>
  <si>
    <r>
      <rPr>
        <sz val="11"/>
        <color rgb="FFFF0000"/>
        <rFont val="宋体"/>
        <charset val="134"/>
      </rPr>
      <t>C30</t>
    </r>
    <r>
      <rPr>
        <sz val="11"/>
        <rFont val="宋体"/>
        <charset val="134"/>
      </rPr>
      <t>砼轴心抗压强度设计值f</t>
    </r>
    <r>
      <rPr>
        <vertAlign val="subscript"/>
        <sz val="11"/>
        <rFont val="宋体"/>
        <charset val="134"/>
      </rPr>
      <t>c</t>
    </r>
    <r>
      <rPr>
        <sz val="11"/>
        <rFont val="宋体"/>
        <charset val="134"/>
      </rPr>
      <t>=</t>
    </r>
  </si>
  <si>
    <r>
      <rPr>
        <sz val="11"/>
        <rFont val="宋体"/>
        <charset val="134"/>
      </rPr>
      <t>N/mm</t>
    </r>
    <r>
      <rPr>
        <vertAlign val="superscript"/>
        <sz val="11"/>
        <rFont val="宋体"/>
        <charset val="134"/>
      </rPr>
      <t>2</t>
    </r>
  </si>
  <si>
    <t>混凝土</t>
  </si>
  <si>
    <t>C30砼轴心抗拉强度设计值ft=</t>
  </si>
  <si>
    <t>c40参数用c30替代</t>
  </si>
  <si>
    <t>C30砼轴心抗拉强度标准值ftk=</t>
  </si>
  <si>
    <t>C30砼轴心抗压强度标准值fck=</t>
  </si>
  <si>
    <t>C30弹模Ec=</t>
  </si>
  <si>
    <r>
      <rPr>
        <sz val="12"/>
        <rFont val="宋体"/>
        <charset val="134"/>
      </rPr>
      <t>施工实际混凝土轴心抗压强度f'</t>
    </r>
    <r>
      <rPr>
        <vertAlign val="subscript"/>
        <sz val="12"/>
        <rFont val="宋体"/>
        <charset val="134"/>
      </rPr>
      <t>ck</t>
    </r>
    <r>
      <rPr>
        <sz val="12"/>
        <rFont val="宋体"/>
        <charset val="134"/>
      </rPr>
      <t>=</t>
    </r>
  </si>
  <si>
    <t>0.75？0.9？贵州0.9矩形？一分院0.75U型</t>
  </si>
  <si>
    <t>施工时采用0.75倍混凝土强度等级，见SL191-2008,8.1.3</t>
  </si>
  <si>
    <r>
      <rPr>
        <sz val="12"/>
        <rFont val="宋体"/>
        <charset val="134"/>
      </rPr>
      <t>施工实际混凝土轴心抗拉强度f'</t>
    </r>
    <r>
      <rPr>
        <vertAlign val="subscript"/>
        <sz val="12"/>
        <rFont val="宋体"/>
        <charset val="134"/>
      </rPr>
      <t>tk</t>
    </r>
    <r>
      <rPr>
        <sz val="12"/>
        <rFont val="宋体"/>
        <charset val="134"/>
      </rPr>
      <t>=</t>
    </r>
  </si>
  <si>
    <r>
      <rPr>
        <sz val="12"/>
        <rFont val="宋体"/>
        <charset val="134"/>
      </rPr>
      <t>施加预应力时混凝土立方体抗压强度f'</t>
    </r>
    <r>
      <rPr>
        <vertAlign val="subscript"/>
        <sz val="12"/>
        <rFont val="宋体"/>
        <charset val="134"/>
      </rPr>
      <t>cu</t>
    </r>
    <r>
      <rPr>
        <sz val="12"/>
        <rFont val="宋体"/>
        <charset val="134"/>
      </rPr>
      <t>=</t>
    </r>
  </si>
  <si>
    <r>
      <rPr>
        <sz val="11"/>
        <color rgb="FFFF0000"/>
        <rFont val="宋体"/>
        <charset val="134"/>
      </rPr>
      <t>HRB400</t>
    </r>
    <r>
      <rPr>
        <sz val="11"/>
        <rFont val="宋体"/>
        <charset val="134"/>
      </rPr>
      <t>(φ)钢筋抗拉强度设计值f</t>
    </r>
    <r>
      <rPr>
        <vertAlign val="subscript"/>
        <sz val="11"/>
        <rFont val="宋体"/>
        <charset val="134"/>
      </rPr>
      <t>y</t>
    </r>
    <r>
      <rPr>
        <sz val="11"/>
        <rFont val="宋体"/>
        <charset val="134"/>
      </rPr>
      <t>=</t>
    </r>
  </si>
  <si>
    <r>
      <rPr>
        <sz val="11"/>
        <rFont val="宋体"/>
        <charset val="134"/>
      </rPr>
      <t>HRB</t>
    </r>
    <r>
      <rPr>
        <sz val="11"/>
        <color rgb="FFFF0000"/>
        <rFont val="宋体"/>
        <charset val="134"/>
      </rPr>
      <t>400</t>
    </r>
    <r>
      <rPr>
        <sz val="11"/>
        <rFont val="宋体"/>
        <charset val="134"/>
      </rPr>
      <t>(φ)钢筋抗压强度设计值f</t>
    </r>
    <r>
      <rPr>
        <vertAlign val="superscript"/>
        <sz val="11"/>
        <rFont val="宋体"/>
        <charset val="134"/>
      </rPr>
      <t>′</t>
    </r>
    <r>
      <rPr>
        <vertAlign val="subscript"/>
        <sz val="11"/>
        <rFont val="宋体"/>
        <charset val="134"/>
      </rPr>
      <t>y</t>
    </r>
    <r>
      <rPr>
        <sz val="11"/>
        <rFont val="宋体"/>
        <charset val="134"/>
      </rPr>
      <t>=</t>
    </r>
  </si>
  <si>
    <r>
      <rPr>
        <sz val="11"/>
        <rFont val="宋体"/>
        <charset val="134"/>
      </rPr>
      <t>HRB</t>
    </r>
    <r>
      <rPr>
        <sz val="11"/>
        <color rgb="FFFF0000"/>
        <rFont val="宋体"/>
        <charset val="134"/>
      </rPr>
      <t>400</t>
    </r>
    <r>
      <rPr>
        <sz val="11"/>
        <rFont val="宋体"/>
        <charset val="134"/>
      </rPr>
      <t>(φ)钢筋、HRB335(φ)钢筋弹模E</t>
    </r>
    <r>
      <rPr>
        <vertAlign val="subscript"/>
        <sz val="11"/>
        <rFont val="宋体"/>
        <charset val="134"/>
      </rPr>
      <t>s</t>
    </r>
    <r>
      <rPr>
        <sz val="11"/>
        <rFont val="宋体"/>
        <charset val="134"/>
      </rPr>
      <t>=</t>
    </r>
  </si>
  <si>
    <t>！</t>
  </si>
  <si>
    <r>
      <rPr>
        <sz val="11"/>
        <color rgb="FFFF0000"/>
        <rFont val="宋体"/>
        <charset val="134"/>
      </rPr>
      <t>φ</t>
    </r>
    <r>
      <rPr>
        <vertAlign val="superscript"/>
        <sz val="11"/>
        <color rgb="FFFF0000"/>
        <rFont val="宋体"/>
        <charset val="134"/>
      </rPr>
      <t>ps</t>
    </r>
    <r>
      <rPr>
        <sz val="11"/>
        <rFont val="宋体"/>
        <charset val="134"/>
      </rPr>
      <t>32螺纹钢筋抗拉强度标准值f</t>
    </r>
    <r>
      <rPr>
        <vertAlign val="subscript"/>
        <sz val="11"/>
        <rFont val="宋体"/>
        <charset val="134"/>
      </rPr>
      <t>ptk</t>
    </r>
    <r>
      <rPr>
        <sz val="11"/>
        <rFont val="宋体"/>
        <charset val="134"/>
      </rPr>
      <t>=</t>
    </r>
  </si>
  <si>
    <r>
      <rPr>
        <sz val="11"/>
        <rFont val="宋体"/>
        <charset val="134"/>
      </rPr>
      <t>N/mm</t>
    </r>
    <r>
      <rPr>
        <vertAlign val="superscript"/>
        <sz val="11"/>
        <rFont val="宋体"/>
        <charset val="134"/>
      </rPr>
      <t>3</t>
    </r>
  </si>
  <si>
    <r>
      <rPr>
        <sz val="11"/>
        <rFont val="宋体"/>
        <charset val="134"/>
      </rPr>
      <t>HRB335</t>
    </r>
    <r>
      <rPr>
        <u/>
        <sz val="11"/>
        <rFont val="宋体"/>
        <charset val="134"/>
      </rPr>
      <t>φ</t>
    </r>
    <r>
      <rPr>
        <sz val="11"/>
        <rFont val="宋体"/>
        <charset val="134"/>
      </rPr>
      <t>钢筋抗拉强度设计值f</t>
    </r>
    <r>
      <rPr>
        <vertAlign val="subscript"/>
        <sz val="11"/>
        <rFont val="宋体"/>
        <charset val="134"/>
      </rPr>
      <t>py</t>
    </r>
    <r>
      <rPr>
        <sz val="11"/>
        <rFont val="宋体"/>
        <charset val="134"/>
      </rPr>
      <t>=</t>
    </r>
  </si>
  <si>
    <r>
      <rPr>
        <sz val="11"/>
        <rFont val="宋体"/>
        <charset val="134"/>
      </rPr>
      <t>φ</t>
    </r>
    <r>
      <rPr>
        <vertAlign val="superscript"/>
        <sz val="11"/>
        <rFont val="宋体"/>
        <charset val="134"/>
      </rPr>
      <t>s</t>
    </r>
    <r>
      <rPr>
        <sz val="11"/>
        <rFont val="宋体"/>
        <charset val="134"/>
      </rPr>
      <t>1×7预应力钢绞线强度标准值f</t>
    </r>
    <r>
      <rPr>
        <vertAlign val="subscript"/>
        <sz val="11"/>
        <rFont val="宋体"/>
        <charset val="134"/>
      </rPr>
      <t>ptk</t>
    </r>
    <r>
      <rPr>
        <sz val="11"/>
        <rFont val="宋体"/>
        <charset val="134"/>
      </rPr>
      <t>=</t>
    </r>
  </si>
  <si>
    <r>
      <rPr>
        <sz val="11"/>
        <rFont val="宋体"/>
        <charset val="134"/>
      </rPr>
      <t>抗拉强度设计值f</t>
    </r>
    <r>
      <rPr>
        <vertAlign val="subscript"/>
        <sz val="11"/>
        <rFont val="宋体"/>
        <charset val="134"/>
      </rPr>
      <t>py</t>
    </r>
    <r>
      <rPr>
        <sz val="11"/>
        <rFont val="宋体"/>
        <charset val="134"/>
      </rPr>
      <t>=</t>
    </r>
  </si>
  <si>
    <r>
      <rPr>
        <sz val="11"/>
        <rFont val="宋体"/>
        <charset val="134"/>
      </rPr>
      <t>！抗压强度设计值f</t>
    </r>
    <r>
      <rPr>
        <vertAlign val="superscript"/>
        <sz val="11"/>
        <rFont val="宋体"/>
        <charset val="134"/>
      </rPr>
      <t>′</t>
    </r>
    <r>
      <rPr>
        <vertAlign val="subscript"/>
        <sz val="11"/>
        <rFont val="宋体"/>
        <charset val="134"/>
      </rPr>
      <t>py</t>
    </r>
    <r>
      <rPr>
        <sz val="11"/>
        <rFont val="宋体"/>
        <charset val="134"/>
      </rPr>
      <t>=</t>
    </r>
  </si>
  <si>
    <r>
      <rPr>
        <sz val="11"/>
        <rFont val="宋体"/>
        <charset val="134"/>
      </rPr>
      <t>钢绞线弹模E′</t>
    </r>
    <r>
      <rPr>
        <vertAlign val="subscript"/>
        <sz val="11"/>
        <rFont val="宋体"/>
        <charset val="134"/>
      </rPr>
      <t>p</t>
    </r>
    <r>
      <rPr>
        <sz val="11"/>
        <rFont val="宋体"/>
        <charset val="134"/>
      </rPr>
      <t>=</t>
    </r>
  </si>
  <si>
    <t>3.2内力计算：</t>
  </si>
  <si>
    <t>槽壳分块Ai,各分块重心至槽顶距离yi，各分块重心至槽壳重心轴距离y,各分块对自身轴惯性距Ii</t>
  </si>
  <si>
    <t>(见右上图）</t>
  </si>
  <si>
    <t>分块序号</t>
  </si>
  <si>
    <r>
      <rPr>
        <sz val="11"/>
        <rFont val="宋体"/>
        <charset val="134"/>
      </rPr>
      <t>Ai(m</t>
    </r>
    <r>
      <rPr>
        <vertAlign val="superscript"/>
        <sz val="11"/>
        <rFont val="宋体"/>
        <charset val="134"/>
      </rPr>
      <t>2</t>
    </r>
    <r>
      <rPr>
        <sz val="11"/>
        <rFont val="宋体"/>
        <charset val="134"/>
      </rPr>
      <t>)</t>
    </r>
  </si>
  <si>
    <r>
      <rPr>
        <sz val="11"/>
        <rFont val="宋体"/>
        <charset val="134"/>
      </rPr>
      <t>Aiy</t>
    </r>
    <r>
      <rPr>
        <vertAlign val="superscript"/>
        <sz val="11"/>
        <rFont val="宋体"/>
        <charset val="134"/>
      </rPr>
      <t>2</t>
    </r>
  </si>
  <si>
    <t>人行道板</t>
  </si>
  <si>
    <t>∑</t>
  </si>
  <si>
    <r>
      <rPr>
        <sz val="11"/>
        <rFont val="宋体"/>
        <charset val="134"/>
      </rPr>
      <t>混凝土截面面积A</t>
    </r>
    <r>
      <rPr>
        <vertAlign val="subscript"/>
        <sz val="11"/>
        <rFont val="宋体"/>
        <charset val="134"/>
      </rPr>
      <t>c</t>
    </r>
    <r>
      <rPr>
        <sz val="11"/>
        <rFont val="宋体"/>
        <charset val="134"/>
      </rPr>
      <t>=</t>
    </r>
  </si>
  <si>
    <r>
      <rPr>
        <sz val="11"/>
        <rFont val="宋体"/>
        <charset val="134"/>
      </rPr>
      <t>m</t>
    </r>
    <r>
      <rPr>
        <vertAlign val="superscript"/>
        <sz val="11"/>
        <rFont val="宋体"/>
        <charset val="134"/>
      </rPr>
      <t>2</t>
    </r>
  </si>
  <si>
    <r>
      <rPr>
        <sz val="11"/>
        <rFont val="宋体"/>
        <charset val="134"/>
      </rPr>
      <t>混凝土截面重心至槽顶边缘距离y</t>
    </r>
    <r>
      <rPr>
        <vertAlign val="subscript"/>
        <sz val="11"/>
        <rFont val="宋体"/>
        <charset val="134"/>
      </rPr>
      <t>1</t>
    </r>
    <r>
      <rPr>
        <sz val="11"/>
        <rFont val="宋体"/>
        <charset val="134"/>
      </rPr>
      <t>=</t>
    </r>
  </si>
  <si>
    <r>
      <rPr>
        <sz val="11"/>
        <rFont val="宋体"/>
        <charset val="134"/>
      </rPr>
      <t>混凝土截面重心至槽底边缘距离y</t>
    </r>
    <r>
      <rPr>
        <vertAlign val="subscript"/>
        <sz val="11"/>
        <rFont val="宋体"/>
        <charset val="134"/>
      </rPr>
      <t>2</t>
    </r>
    <r>
      <rPr>
        <sz val="11"/>
        <rFont val="宋体"/>
        <charset val="134"/>
      </rPr>
      <t>=</t>
    </r>
  </si>
  <si>
    <r>
      <rPr>
        <sz val="11"/>
        <rFont val="宋体"/>
        <charset val="134"/>
      </rPr>
      <t>截面的惯性矩I</t>
    </r>
    <r>
      <rPr>
        <vertAlign val="subscript"/>
        <sz val="11"/>
        <rFont val="宋体"/>
        <charset val="134"/>
      </rPr>
      <t>c</t>
    </r>
    <r>
      <rPr>
        <sz val="11"/>
        <rFont val="宋体"/>
        <charset val="134"/>
      </rPr>
      <t>=∑Ii+∑Aiy</t>
    </r>
    <r>
      <rPr>
        <vertAlign val="superscript"/>
        <sz val="11"/>
        <rFont val="宋体"/>
        <charset val="134"/>
      </rPr>
      <t>2</t>
    </r>
    <r>
      <rPr>
        <sz val="11"/>
        <rFont val="宋体"/>
        <charset val="134"/>
      </rPr>
      <t>=</t>
    </r>
  </si>
  <si>
    <r>
      <rPr>
        <sz val="11"/>
        <rFont val="宋体"/>
        <charset val="134"/>
      </rPr>
      <t>m</t>
    </r>
    <r>
      <rPr>
        <vertAlign val="superscript"/>
        <sz val="11"/>
        <rFont val="宋体"/>
        <charset val="134"/>
      </rPr>
      <t>4</t>
    </r>
  </si>
  <si>
    <t>壳槽平均半径R=</t>
  </si>
  <si>
    <t>截面重心至圆心的高度K=</t>
  </si>
  <si>
    <t>圆弧段面积对重心轴的面积矩S1=</t>
  </si>
  <si>
    <r>
      <rPr>
        <sz val="11"/>
        <rFont val="宋体"/>
        <charset val="134"/>
      </rPr>
      <t>m</t>
    </r>
    <r>
      <rPr>
        <vertAlign val="superscript"/>
        <sz val="11"/>
        <rFont val="宋体"/>
        <charset val="134"/>
      </rPr>
      <t>3</t>
    </r>
  </si>
  <si>
    <t>槽底加厚部分对重心轴的面积矩S2=</t>
  </si>
  <si>
    <t>3.2.1槽壳自重：</t>
  </si>
  <si>
    <t>系数=</t>
  </si>
  <si>
    <r>
      <rPr>
        <sz val="11"/>
        <rFont val="宋体"/>
        <charset val="134"/>
      </rPr>
      <t>预应力砼容重：</t>
    </r>
    <r>
      <rPr>
        <sz val="11"/>
        <rFont val="Times New Roman"/>
        <family val="1"/>
      </rPr>
      <t>γ</t>
    </r>
    <r>
      <rPr>
        <vertAlign val="subscript"/>
        <sz val="11"/>
        <rFont val="宋体"/>
        <charset val="134"/>
      </rPr>
      <t>1</t>
    </r>
    <r>
      <rPr>
        <sz val="11"/>
        <rFont val="宋体"/>
        <charset val="134"/>
      </rPr>
      <t>=</t>
    </r>
  </si>
  <si>
    <r>
      <rPr>
        <sz val="11"/>
        <rFont val="宋体"/>
        <charset val="134"/>
      </rPr>
      <t>KN/m</t>
    </r>
    <r>
      <rPr>
        <vertAlign val="superscript"/>
        <sz val="11"/>
        <rFont val="宋体"/>
        <charset val="134"/>
      </rPr>
      <t>3</t>
    </r>
  </si>
  <si>
    <r>
      <rPr>
        <sz val="11"/>
        <rFont val="宋体"/>
        <charset val="134"/>
      </rPr>
      <t>标准值：q</t>
    </r>
    <r>
      <rPr>
        <vertAlign val="subscript"/>
        <sz val="11"/>
        <rFont val="宋体"/>
        <charset val="134"/>
      </rPr>
      <t>0</t>
    </r>
    <r>
      <rPr>
        <vertAlign val="subscript"/>
        <sz val="11"/>
        <rFont val="宋体"/>
        <charset val="134"/>
      </rPr>
      <t>1</t>
    </r>
    <r>
      <rPr>
        <sz val="11"/>
        <rFont val="宋体"/>
        <charset val="134"/>
      </rPr>
      <t>=</t>
    </r>
    <r>
      <rPr>
        <sz val="11"/>
        <rFont val="宋体"/>
        <charset val="134"/>
      </rPr>
      <t>S</t>
    </r>
    <r>
      <rPr>
        <vertAlign val="subscript"/>
        <sz val="11"/>
        <rFont val="宋体"/>
        <charset val="134"/>
      </rPr>
      <t>1</t>
    </r>
    <r>
      <rPr>
        <sz val="11"/>
        <rFont val="Times New Roman"/>
        <family val="1"/>
      </rPr>
      <t>γ</t>
    </r>
    <r>
      <rPr>
        <vertAlign val="subscript"/>
        <sz val="11"/>
        <rFont val="宋体"/>
        <charset val="134"/>
      </rPr>
      <t>1</t>
    </r>
    <r>
      <rPr>
        <sz val="11"/>
        <rFont val="宋体"/>
        <charset val="134"/>
      </rPr>
      <t>=</t>
    </r>
  </si>
  <si>
    <r>
      <rPr>
        <sz val="11"/>
        <rFont val="宋体"/>
        <charset val="134"/>
      </rPr>
      <t>设计值：q</t>
    </r>
    <r>
      <rPr>
        <vertAlign val="subscript"/>
        <sz val="11"/>
        <rFont val="宋体"/>
        <charset val="134"/>
      </rPr>
      <t>1</t>
    </r>
    <r>
      <rPr>
        <sz val="11"/>
        <rFont val="宋体"/>
        <charset val="134"/>
      </rPr>
      <t>=</t>
    </r>
  </si>
  <si>
    <t>3.2.7槽身风压力</t>
  </si>
  <si>
    <t>h/b=</t>
  </si>
  <si>
    <t>3.2.2拉杆自重：</t>
  </si>
  <si>
    <t>根据《水工建筑物荷载设计规范DL9077-97》以及渡槽的特点，</t>
  </si>
  <si>
    <r>
      <rPr>
        <sz val="11"/>
        <rFont val="宋体"/>
        <charset val="134"/>
      </rPr>
      <t>作用于渡槽表面的风压力</t>
    </r>
    <r>
      <rPr>
        <sz val="11"/>
        <rFont val="宋体"/>
        <charset val="134"/>
      </rPr>
      <t>W</t>
    </r>
    <r>
      <rPr>
        <sz val="11"/>
        <rFont val="宋体"/>
        <charset val="134"/>
      </rPr>
      <t>为：W=β</t>
    </r>
    <r>
      <rPr>
        <vertAlign val="subscript"/>
        <sz val="11"/>
        <rFont val="宋体"/>
        <charset val="134"/>
      </rPr>
      <t>z</t>
    </r>
    <r>
      <rPr>
        <sz val="11"/>
        <rFont val="宋体"/>
        <charset val="134"/>
      </rPr>
      <t>μ</t>
    </r>
    <r>
      <rPr>
        <vertAlign val="subscript"/>
        <sz val="11"/>
        <rFont val="宋体"/>
        <charset val="134"/>
      </rPr>
      <t>s</t>
    </r>
    <r>
      <rPr>
        <sz val="11"/>
        <rFont val="宋体"/>
        <charset val="134"/>
      </rPr>
      <t>μ</t>
    </r>
    <r>
      <rPr>
        <vertAlign val="subscript"/>
        <sz val="11"/>
        <rFont val="宋体"/>
        <charset val="134"/>
      </rPr>
      <t>z</t>
    </r>
    <r>
      <rPr>
        <sz val="11"/>
        <rFont val="宋体"/>
        <charset val="134"/>
      </rPr>
      <t>μ</t>
    </r>
    <r>
      <rPr>
        <vertAlign val="subscript"/>
        <sz val="11"/>
        <rFont val="宋体"/>
        <charset val="134"/>
      </rPr>
      <t>t</t>
    </r>
    <r>
      <rPr>
        <sz val="11"/>
        <rFont val="宋体"/>
        <charset val="134"/>
      </rPr>
      <t>W</t>
    </r>
    <r>
      <rPr>
        <vertAlign val="subscript"/>
        <sz val="11"/>
        <rFont val="宋体"/>
        <charset val="134"/>
      </rPr>
      <t>0</t>
    </r>
  </si>
  <si>
    <r>
      <rPr>
        <sz val="11"/>
        <rFont val="宋体"/>
        <charset val="134"/>
      </rPr>
      <t>砼容重：</t>
    </r>
    <r>
      <rPr>
        <sz val="11"/>
        <rFont val="Times New Roman"/>
        <family val="1"/>
      </rPr>
      <t>γ</t>
    </r>
    <r>
      <rPr>
        <vertAlign val="subscript"/>
        <sz val="11"/>
        <rFont val="宋体"/>
        <charset val="134"/>
      </rPr>
      <t>2</t>
    </r>
    <r>
      <rPr>
        <sz val="11"/>
        <rFont val="宋体"/>
        <charset val="134"/>
      </rPr>
      <t>=</t>
    </r>
  </si>
  <si>
    <r>
      <rPr>
        <sz val="11"/>
        <rFont val="宋体"/>
        <charset val="134"/>
      </rPr>
      <t>β</t>
    </r>
    <r>
      <rPr>
        <vertAlign val="subscript"/>
        <sz val="11"/>
        <rFont val="宋体"/>
        <charset val="134"/>
      </rPr>
      <t>z</t>
    </r>
    <r>
      <rPr>
        <sz val="11"/>
        <rFont val="宋体"/>
        <charset val="134"/>
      </rPr>
      <t>风振系数，</t>
    </r>
    <r>
      <rPr>
        <sz val="11"/>
        <rFont val="宋体"/>
        <charset val="134"/>
      </rPr>
      <t>取βz=</t>
    </r>
  </si>
  <si>
    <r>
      <rPr>
        <sz val="11"/>
        <rFont val="宋体"/>
        <charset val="134"/>
      </rPr>
      <t>标准值：q</t>
    </r>
    <r>
      <rPr>
        <vertAlign val="subscript"/>
        <sz val="11"/>
        <rFont val="宋体"/>
        <charset val="134"/>
      </rPr>
      <t>02</t>
    </r>
    <r>
      <rPr>
        <sz val="11"/>
        <rFont val="宋体"/>
        <charset val="134"/>
      </rPr>
      <t>=</t>
    </r>
  </si>
  <si>
    <r>
      <rPr>
        <sz val="11"/>
        <rFont val="宋体"/>
        <charset val="134"/>
      </rPr>
      <t>μ</t>
    </r>
    <r>
      <rPr>
        <vertAlign val="subscript"/>
        <sz val="11"/>
        <rFont val="宋体"/>
        <charset val="134"/>
      </rPr>
      <t>s</t>
    </r>
    <r>
      <rPr>
        <sz val="11"/>
        <rFont val="宋体"/>
        <charset val="134"/>
      </rPr>
      <t>体型系数，取μ</t>
    </r>
    <r>
      <rPr>
        <vertAlign val="subscript"/>
        <sz val="11"/>
        <rFont val="宋体"/>
        <charset val="134"/>
      </rPr>
      <t>s</t>
    </r>
    <r>
      <rPr>
        <sz val="11"/>
        <rFont val="宋体"/>
        <charset val="134"/>
      </rPr>
      <t>=</t>
    </r>
  </si>
  <si>
    <r>
      <rPr>
        <sz val="11"/>
        <rFont val="宋体"/>
        <charset val="134"/>
      </rPr>
      <t>设计值：q</t>
    </r>
    <r>
      <rPr>
        <vertAlign val="subscript"/>
        <sz val="11"/>
        <rFont val="宋体"/>
        <charset val="134"/>
      </rPr>
      <t>2</t>
    </r>
    <r>
      <rPr>
        <sz val="11"/>
        <rFont val="宋体"/>
        <charset val="134"/>
      </rPr>
      <t>=</t>
    </r>
  </si>
  <si>
    <r>
      <rPr>
        <sz val="11"/>
        <rFont val="宋体"/>
        <charset val="134"/>
      </rPr>
      <t>μ</t>
    </r>
    <r>
      <rPr>
        <vertAlign val="subscript"/>
        <sz val="11"/>
        <rFont val="宋体"/>
        <charset val="134"/>
      </rPr>
      <t>z</t>
    </r>
    <r>
      <rPr>
        <sz val="11"/>
        <rFont val="宋体"/>
        <charset val="134"/>
      </rPr>
      <t>高度变化系数，槽身离地面平均20m，取μ</t>
    </r>
    <r>
      <rPr>
        <vertAlign val="subscript"/>
        <sz val="11"/>
        <rFont val="宋体"/>
        <charset val="134"/>
      </rPr>
      <t>z</t>
    </r>
    <r>
      <rPr>
        <sz val="11"/>
        <rFont val="宋体"/>
        <charset val="134"/>
      </rPr>
      <t>=</t>
    </r>
  </si>
  <si>
    <t>3.2.3人群荷载：</t>
  </si>
  <si>
    <r>
      <rPr>
        <sz val="11"/>
        <rFont val="宋体"/>
        <charset val="134"/>
      </rPr>
      <t>μ</t>
    </r>
    <r>
      <rPr>
        <vertAlign val="subscript"/>
        <sz val="11"/>
        <rFont val="宋体"/>
        <charset val="134"/>
      </rPr>
      <t>t</t>
    </r>
    <r>
      <rPr>
        <sz val="11"/>
        <rFont val="宋体"/>
        <charset val="134"/>
      </rPr>
      <t>地形、地理条件系数，</t>
    </r>
    <r>
      <rPr>
        <sz val="11"/>
        <rFont val="宋体"/>
        <charset val="134"/>
      </rPr>
      <t>取μ</t>
    </r>
    <r>
      <rPr>
        <vertAlign val="subscript"/>
        <sz val="11"/>
        <rFont val="宋体"/>
        <charset val="134"/>
      </rPr>
      <t>t</t>
    </r>
    <r>
      <rPr>
        <sz val="11"/>
        <rFont val="宋体"/>
        <charset val="134"/>
      </rPr>
      <t>=</t>
    </r>
  </si>
  <si>
    <r>
      <rPr>
        <sz val="10"/>
        <rFont val="宋体"/>
        <charset val="134"/>
      </rPr>
      <t>风速V</t>
    </r>
    <r>
      <rPr>
        <vertAlign val="subscript"/>
        <sz val="10"/>
        <rFont val="宋体"/>
        <charset val="134"/>
      </rPr>
      <t>0</t>
    </r>
    <r>
      <rPr>
        <sz val="10"/>
        <rFont val="宋体"/>
        <charset val="134"/>
      </rPr>
      <t>，按当地10m高处30年一遇10min平均最大风速  V</t>
    </r>
    <r>
      <rPr>
        <vertAlign val="subscript"/>
        <sz val="10"/>
        <rFont val="宋体"/>
        <charset val="134"/>
      </rPr>
      <t>0</t>
    </r>
    <r>
      <rPr>
        <sz val="10"/>
        <rFont val="宋体"/>
        <charset val="134"/>
      </rPr>
      <t>=</t>
    </r>
  </si>
  <si>
    <r>
      <rPr>
        <sz val="11"/>
        <rFont val="宋体"/>
        <charset val="134"/>
      </rPr>
      <t>m</t>
    </r>
    <r>
      <rPr>
        <sz val="10"/>
        <rFont val="宋体"/>
        <charset val="134"/>
      </rPr>
      <t>/s</t>
    </r>
  </si>
  <si>
    <r>
      <rPr>
        <sz val="11"/>
        <rFont val="宋体"/>
        <charset val="134"/>
      </rPr>
      <t>人群荷载：q</t>
    </r>
    <r>
      <rPr>
        <vertAlign val="subscript"/>
        <sz val="11"/>
        <rFont val="宋体"/>
        <charset val="134"/>
      </rPr>
      <t>人</t>
    </r>
    <r>
      <rPr>
        <sz val="11"/>
        <rFont val="宋体"/>
        <charset val="134"/>
      </rPr>
      <t>=</t>
    </r>
  </si>
  <si>
    <r>
      <rPr>
        <sz val="11"/>
        <rFont val="宋体"/>
        <charset val="134"/>
      </rPr>
      <t>KN/m</t>
    </r>
    <r>
      <rPr>
        <vertAlign val="superscript"/>
        <sz val="11"/>
        <rFont val="宋体"/>
        <charset val="134"/>
      </rPr>
      <t>2</t>
    </r>
  </si>
  <si>
    <r>
      <rPr>
        <sz val="10"/>
        <rFont val="宋体"/>
        <charset val="134"/>
      </rPr>
      <t>基本风压值W</t>
    </r>
    <r>
      <rPr>
        <vertAlign val="subscript"/>
        <sz val="10"/>
        <rFont val="宋体"/>
        <charset val="134"/>
      </rPr>
      <t>0</t>
    </r>
    <r>
      <rPr>
        <sz val="10"/>
        <rFont val="宋体"/>
        <charset val="134"/>
      </rPr>
      <t>=V</t>
    </r>
    <r>
      <rPr>
        <vertAlign val="subscript"/>
        <sz val="10"/>
        <rFont val="宋体"/>
        <charset val="134"/>
      </rPr>
      <t>0</t>
    </r>
    <r>
      <rPr>
        <vertAlign val="superscript"/>
        <sz val="10"/>
        <rFont val="宋体"/>
        <charset val="134"/>
      </rPr>
      <t>2</t>
    </r>
    <r>
      <rPr>
        <sz val="10"/>
        <rFont val="宋体"/>
        <charset val="134"/>
      </rPr>
      <t>/1000=</t>
    </r>
  </si>
  <si>
    <r>
      <rPr>
        <sz val="11"/>
        <rFont val="宋体"/>
        <charset val="134"/>
      </rPr>
      <t>KN/m</t>
    </r>
    <r>
      <rPr>
        <vertAlign val="superscript"/>
        <sz val="10"/>
        <rFont val="宋体"/>
        <charset val="134"/>
      </rPr>
      <t>2</t>
    </r>
  </si>
  <si>
    <r>
      <rPr>
        <sz val="11"/>
        <rFont val="宋体"/>
        <charset val="134"/>
      </rPr>
      <t>标准值：q</t>
    </r>
    <r>
      <rPr>
        <vertAlign val="subscript"/>
        <sz val="11"/>
        <rFont val="宋体"/>
        <charset val="134"/>
      </rPr>
      <t>03</t>
    </r>
    <r>
      <rPr>
        <sz val="11"/>
        <rFont val="宋体"/>
        <charset val="134"/>
      </rPr>
      <t>=</t>
    </r>
  </si>
  <si>
    <r>
      <rPr>
        <sz val="11"/>
        <rFont val="宋体"/>
        <charset val="134"/>
      </rPr>
      <t>风荷载强度标准值:W</t>
    </r>
    <r>
      <rPr>
        <sz val="11"/>
        <rFont val="宋体"/>
        <charset val="134"/>
      </rPr>
      <t>=β</t>
    </r>
    <r>
      <rPr>
        <vertAlign val="subscript"/>
        <sz val="11"/>
        <rFont val="宋体"/>
        <charset val="134"/>
      </rPr>
      <t>z</t>
    </r>
    <r>
      <rPr>
        <sz val="11"/>
        <rFont val="宋体"/>
        <charset val="134"/>
      </rPr>
      <t>μ</t>
    </r>
    <r>
      <rPr>
        <vertAlign val="subscript"/>
        <sz val="11"/>
        <rFont val="宋体"/>
        <charset val="134"/>
      </rPr>
      <t>s</t>
    </r>
    <r>
      <rPr>
        <sz val="11"/>
        <rFont val="宋体"/>
        <charset val="134"/>
      </rPr>
      <t>μ</t>
    </r>
    <r>
      <rPr>
        <vertAlign val="subscript"/>
        <sz val="11"/>
        <rFont val="宋体"/>
        <charset val="134"/>
      </rPr>
      <t>z</t>
    </r>
    <r>
      <rPr>
        <sz val="11"/>
        <rFont val="宋体"/>
        <charset val="134"/>
      </rPr>
      <t>μ</t>
    </r>
    <r>
      <rPr>
        <vertAlign val="subscript"/>
        <sz val="11"/>
        <rFont val="宋体"/>
        <charset val="134"/>
      </rPr>
      <t>t</t>
    </r>
    <r>
      <rPr>
        <sz val="11"/>
        <rFont val="宋体"/>
        <charset val="134"/>
      </rPr>
      <t>W</t>
    </r>
    <r>
      <rPr>
        <vertAlign val="subscript"/>
        <sz val="11"/>
        <rFont val="宋体"/>
        <charset val="134"/>
      </rPr>
      <t>0</t>
    </r>
    <r>
      <rPr>
        <sz val="11"/>
        <rFont val="宋体"/>
        <charset val="134"/>
      </rPr>
      <t>=</t>
    </r>
  </si>
  <si>
    <r>
      <rPr>
        <sz val="11"/>
        <rFont val="宋体"/>
        <charset val="134"/>
      </rPr>
      <t>设计值：q</t>
    </r>
    <r>
      <rPr>
        <vertAlign val="subscript"/>
        <sz val="11"/>
        <rFont val="宋体"/>
        <charset val="134"/>
      </rPr>
      <t>3</t>
    </r>
    <r>
      <rPr>
        <sz val="11"/>
        <rFont val="宋体"/>
        <charset val="134"/>
      </rPr>
      <t>=</t>
    </r>
  </si>
  <si>
    <t>分项系数=</t>
  </si>
  <si>
    <t>3.2.4水重：</t>
  </si>
  <si>
    <r>
      <rPr>
        <sz val="11"/>
        <rFont val="宋体"/>
        <charset val="134"/>
      </rPr>
      <t>风荷载强度设计值W′</t>
    </r>
    <r>
      <rPr>
        <sz val="11"/>
        <rFont val="宋体"/>
        <charset val="134"/>
      </rPr>
      <t>=</t>
    </r>
  </si>
  <si>
    <t>设计水深：</t>
  </si>
  <si>
    <r>
      <rPr>
        <sz val="11"/>
        <rFont val="宋体"/>
        <charset val="134"/>
      </rPr>
      <t>水容重：</t>
    </r>
    <r>
      <rPr>
        <sz val="11"/>
        <rFont val="Times New Roman"/>
        <family val="1"/>
      </rPr>
      <t>γ</t>
    </r>
    <r>
      <rPr>
        <vertAlign val="subscript"/>
        <sz val="11"/>
        <rFont val="宋体"/>
        <charset val="134"/>
      </rPr>
      <t>2</t>
    </r>
    <r>
      <rPr>
        <sz val="11"/>
        <rFont val="宋体"/>
        <charset val="134"/>
      </rPr>
      <t>=</t>
    </r>
  </si>
  <si>
    <t>设计水深hs=</t>
  </si>
  <si>
    <t>圆心以上水深=</t>
  </si>
  <si>
    <r>
      <rPr>
        <sz val="11"/>
        <rFont val="宋体"/>
        <charset val="134"/>
      </rPr>
      <t>过水断面：S</t>
    </r>
    <r>
      <rPr>
        <vertAlign val="subscript"/>
        <sz val="11"/>
        <rFont val="宋体"/>
        <charset val="134"/>
      </rPr>
      <t>2</t>
    </r>
    <r>
      <rPr>
        <sz val="11"/>
        <rFont val="宋体"/>
        <charset val="134"/>
      </rPr>
      <t>=</t>
    </r>
  </si>
  <si>
    <r>
      <rPr>
        <sz val="11"/>
        <color theme="1"/>
        <rFont val="宋体"/>
        <charset val="134"/>
        <scheme val="minor"/>
      </rPr>
      <t>m</t>
    </r>
    <r>
      <rPr>
        <vertAlign val="superscript"/>
        <sz val="11"/>
        <color theme="1"/>
        <rFont val="宋体"/>
        <charset val="134"/>
        <scheme val="minor"/>
      </rPr>
      <t>2</t>
    </r>
  </si>
  <si>
    <r>
      <rPr>
        <sz val="11"/>
        <rFont val="宋体"/>
        <charset val="134"/>
      </rPr>
      <t>标准值：q</t>
    </r>
    <r>
      <rPr>
        <vertAlign val="subscript"/>
        <sz val="11"/>
        <rFont val="宋体"/>
        <charset val="134"/>
      </rPr>
      <t>04</t>
    </r>
    <r>
      <rPr>
        <sz val="11"/>
        <rFont val="宋体"/>
        <charset val="134"/>
      </rPr>
      <t>=S2</t>
    </r>
    <r>
      <rPr>
        <sz val="11"/>
        <rFont val="Times New Roman"/>
        <family val="1"/>
      </rPr>
      <t>γ</t>
    </r>
    <r>
      <rPr>
        <vertAlign val="subscript"/>
        <sz val="11"/>
        <rFont val="宋体"/>
        <charset val="134"/>
      </rPr>
      <t>2</t>
    </r>
    <r>
      <rPr>
        <sz val="11"/>
        <rFont val="宋体"/>
        <charset val="134"/>
      </rPr>
      <t>=</t>
    </r>
  </si>
  <si>
    <t>满槽水深：</t>
  </si>
  <si>
    <t>满槽水深hm=</t>
  </si>
  <si>
    <r>
      <rPr>
        <sz val="11"/>
        <rFont val="宋体"/>
        <charset val="134"/>
      </rPr>
      <t>过水断面：S</t>
    </r>
    <r>
      <rPr>
        <vertAlign val="subscript"/>
        <sz val="11"/>
        <rFont val="宋体"/>
        <charset val="134"/>
      </rPr>
      <t>3</t>
    </r>
    <r>
      <rPr>
        <sz val="11"/>
        <rFont val="宋体"/>
        <charset val="134"/>
      </rPr>
      <t>=</t>
    </r>
  </si>
  <si>
    <r>
      <rPr>
        <sz val="11"/>
        <rFont val="宋体"/>
        <charset val="134"/>
      </rPr>
      <t>标准值：q</t>
    </r>
    <r>
      <rPr>
        <vertAlign val="subscript"/>
        <sz val="11"/>
        <rFont val="宋体"/>
        <charset val="134"/>
      </rPr>
      <t>05</t>
    </r>
    <r>
      <rPr>
        <sz val="11"/>
        <rFont val="宋体"/>
        <charset val="134"/>
      </rPr>
      <t>=S3</t>
    </r>
    <r>
      <rPr>
        <sz val="11"/>
        <rFont val="Times New Roman"/>
        <family val="1"/>
      </rPr>
      <t>γ</t>
    </r>
    <r>
      <rPr>
        <vertAlign val="subscript"/>
        <sz val="11"/>
        <rFont val="宋体"/>
        <charset val="134"/>
      </rPr>
      <t>2</t>
    </r>
    <r>
      <rPr>
        <sz val="11"/>
        <rFont val="宋体"/>
        <charset val="134"/>
      </rPr>
      <t>=</t>
    </r>
  </si>
  <si>
    <r>
      <rPr>
        <sz val="11"/>
        <rFont val="宋体"/>
        <charset val="134"/>
      </rPr>
      <t>设计值：q</t>
    </r>
    <r>
      <rPr>
        <vertAlign val="subscript"/>
        <sz val="11"/>
        <rFont val="宋体"/>
        <charset val="134"/>
      </rPr>
      <t>5</t>
    </r>
    <r>
      <rPr>
        <sz val="11"/>
        <rFont val="宋体"/>
        <charset val="134"/>
      </rPr>
      <t>=</t>
    </r>
  </si>
  <si>
    <t>3.2.5栏杆自重：</t>
  </si>
  <si>
    <r>
      <rPr>
        <sz val="11"/>
        <rFont val="宋体"/>
        <charset val="134"/>
      </rPr>
      <t>标准值：q</t>
    </r>
    <r>
      <rPr>
        <vertAlign val="subscript"/>
        <sz val="11"/>
        <rFont val="宋体"/>
        <charset val="134"/>
      </rPr>
      <t>06</t>
    </r>
    <r>
      <rPr>
        <sz val="11"/>
        <rFont val="宋体"/>
        <charset val="134"/>
      </rPr>
      <t>=</t>
    </r>
  </si>
  <si>
    <r>
      <rPr>
        <sz val="11"/>
        <rFont val="宋体"/>
        <charset val="134"/>
      </rPr>
      <t>设计值：q</t>
    </r>
    <r>
      <rPr>
        <vertAlign val="subscript"/>
        <sz val="11"/>
        <rFont val="宋体"/>
        <charset val="134"/>
      </rPr>
      <t>6</t>
    </r>
    <r>
      <rPr>
        <sz val="11"/>
        <rFont val="宋体"/>
        <charset val="134"/>
      </rPr>
      <t>=</t>
    </r>
  </si>
  <si>
    <t>3.2.6顶板铺盖重：</t>
  </si>
  <si>
    <r>
      <rPr>
        <sz val="11"/>
        <rFont val="宋体"/>
        <charset val="134"/>
      </rPr>
      <t xml:space="preserve">  铺装容重：</t>
    </r>
    <r>
      <rPr>
        <sz val="11"/>
        <rFont val="Times New Roman"/>
        <family val="1"/>
      </rPr>
      <t>γ</t>
    </r>
    <r>
      <rPr>
        <vertAlign val="subscript"/>
        <sz val="11"/>
        <rFont val="宋体"/>
        <charset val="134"/>
      </rPr>
      <t>7</t>
    </r>
    <r>
      <rPr>
        <sz val="11"/>
        <rFont val="宋体"/>
        <charset val="134"/>
      </rPr>
      <t>=</t>
    </r>
  </si>
  <si>
    <r>
      <rPr>
        <sz val="11"/>
        <rFont val="宋体"/>
        <charset val="134"/>
      </rPr>
      <t>分布宽度：B</t>
    </r>
    <r>
      <rPr>
        <vertAlign val="subscript"/>
        <sz val="11"/>
        <rFont val="宋体"/>
        <charset val="134"/>
      </rPr>
      <t>顶</t>
    </r>
    <r>
      <rPr>
        <sz val="11"/>
        <rFont val="宋体"/>
        <charset val="134"/>
      </rPr>
      <t>=</t>
    </r>
  </si>
  <si>
    <t>厚度δ=</t>
  </si>
  <si>
    <r>
      <rPr>
        <sz val="11"/>
        <rFont val="宋体"/>
        <charset val="134"/>
      </rPr>
      <t>标准值：q</t>
    </r>
    <r>
      <rPr>
        <vertAlign val="subscript"/>
        <sz val="11"/>
        <rFont val="宋体"/>
        <charset val="134"/>
      </rPr>
      <t>07</t>
    </r>
    <r>
      <rPr>
        <sz val="11"/>
        <rFont val="宋体"/>
        <charset val="134"/>
      </rPr>
      <t>=B</t>
    </r>
    <r>
      <rPr>
        <vertAlign val="subscript"/>
        <sz val="11"/>
        <rFont val="宋体"/>
        <charset val="134"/>
      </rPr>
      <t>顶</t>
    </r>
    <r>
      <rPr>
        <sz val="11"/>
        <rFont val="Times New Roman"/>
        <family val="1"/>
      </rPr>
      <t>γ</t>
    </r>
    <r>
      <rPr>
        <vertAlign val="subscript"/>
        <sz val="11"/>
        <rFont val="宋体"/>
        <charset val="134"/>
      </rPr>
      <t>6</t>
    </r>
    <r>
      <rPr>
        <sz val="11"/>
        <rFont val="宋体"/>
        <charset val="134"/>
      </rPr>
      <t>=</t>
    </r>
  </si>
  <si>
    <r>
      <rPr>
        <sz val="11"/>
        <rFont val="宋体"/>
        <charset val="134"/>
      </rPr>
      <t>设计值：q</t>
    </r>
    <r>
      <rPr>
        <vertAlign val="subscript"/>
        <sz val="11"/>
        <rFont val="宋体"/>
        <charset val="134"/>
      </rPr>
      <t>7</t>
    </r>
    <r>
      <rPr>
        <sz val="11"/>
        <rFont val="宋体"/>
        <charset val="134"/>
      </rPr>
      <t>=</t>
    </r>
  </si>
  <si>
    <t>基本组合：</t>
  </si>
  <si>
    <r>
      <rPr>
        <sz val="11"/>
        <rFont val="宋体"/>
        <charset val="134"/>
      </rPr>
      <t>承载力安全系数:K</t>
    </r>
    <r>
      <rPr>
        <vertAlign val="subscript"/>
        <sz val="11"/>
        <rFont val="宋体"/>
        <charset val="134"/>
      </rPr>
      <t>基</t>
    </r>
    <r>
      <rPr>
        <sz val="11"/>
        <rFont val="宋体"/>
        <charset val="134"/>
      </rPr>
      <t>=</t>
    </r>
  </si>
  <si>
    <t>偶然组合：</t>
  </si>
  <si>
    <r>
      <rPr>
        <sz val="11"/>
        <rFont val="宋体"/>
        <charset val="134"/>
      </rPr>
      <t>承载力安全系数:K</t>
    </r>
    <r>
      <rPr>
        <vertAlign val="subscript"/>
        <sz val="11"/>
        <rFont val="宋体"/>
        <charset val="134"/>
      </rPr>
      <t>偶</t>
    </r>
    <r>
      <rPr>
        <sz val="11"/>
        <rFont val="宋体"/>
        <charset val="134"/>
      </rPr>
      <t>=</t>
    </r>
  </si>
  <si>
    <r>
      <rPr>
        <sz val="11"/>
        <rFont val="宋体"/>
        <charset val="134"/>
      </rPr>
      <t>设计工况下槽身均布荷载标准值q</t>
    </r>
    <r>
      <rPr>
        <vertAlign val="subscript"/>
        <sz val="11"/>
        <rFont val="宋体"/>
        <charset val="134"/>
      </rPr>
      <t>0s</t>
    </r>
    <r>
      <rPr>
        <sz val="11"/>
        <rFont val="宋体"/>
        <charset val="134"/>
      </rPr>
      <t>=</t>
    </r>
  </si>
  <si>
    <t>根据是否计入顶板铺盖、栏杆等决定其相应数值</t>
  </si>
  <si>
    <t>设计工况下槽身均布荷载设计值qs=</t>
  </si>
  <si>
    <r>
      <rPr>
        <sz val="11"/>
        <rFont val="宋体"/>
        <charset val="134"/>
      </rPr>
      <t>满槽工况下槽身均布荷载标准值q</t>
    </r>
    <r>
      <rPr>
        <vertAlign val="subscript"/>
        <sz val="11"/>
        <rFont val="宋体"/>
        <charset val="134"/>
      </rPr>
      <t>0m</t>
    </r>
    <r>
      <rPr>
        <sz val="11"/>
        <rFont val="宋体"/>
        <charset val="134"/>
      </rPr>
      <t>=</t>
    </r>
  </si>
  <si>
    <t>满槽工况下槽身均布荷载设计值qm=</t>
  </si>
  <si>
    <r>
      <rPr>
        <sz val="11"/>
        <rFont val="宋体"/>
        <charset val="134"/>
      </rPr>
      <t>K</t>
    </r>
    <r>
      <rPr>
        <vertAlign val="subscript"/>
        <sz val="11"/>
        <rFont val="宋体"/>
        <charset val="134"/>
      </rPr>
      <t>基</t>
    </r>
    <r>
      <rPr>
        <sz val="11"/>
        <rFont val="宋体"/>
        <charset val="134"/>
      </rPr>
      <t>q</t>
    </r>
    <r>
      <rPr>
        <vertAlign val="subscript"/>
        <sz val="11"/>
        <rFont val="宋体"/>
        <charset val="134"/>
      </rPr>
      <t>s</t>
    </r>
    <r>
      <rPr>
        <sz val="11"/>
        <rFont val="宋体"/>
        <charset val="134"/>
      </rPr>
      <t>=</t>
    </r>
  </si>
  <si>
    <r>
      <rPr>
        <sz val="11"/>
        <rFont val="宋体"/>
        <charset val="134"/>
      </rPr>
      <t>K</t>
    </r>
    <r>
      <rPr>
        <vertAlign val="subscript"/>
        <sz val="11"/>
        <rFont val="宋体"/>
        <charset val="134"/>
      </rPr>
      <t>偶</t>
    </r>
    <r>
      <rPr>
        <sz val="11"/>
        <rFont val="宋体"/>
        <charset val="134"/>
      </rPr>
      <t>q</t>
    </r>
    <r>
      <rPr>
        <vertAlign val="subscript"/>
        <sz val="11"/>
        <rFont val="宋体"/>
        <charset val="134"/>
      </rPr>
      <t>m</t>
    </r>
    <r>
      <rPr>
        <sz val="11"/>
        <rFont val="宋体"/>
        <charset val="134"/>
      </rPr>
      <t>=</t>
    </r>
  </si>
  <si>
    <r>
      <rPr>
        <sz val="11"/>
        <rFont val="宋体"/>
        <charset val="134"/>
      </rPr>
      <t>计算弯矩跨度l</t>
    </r>
    <r>
      <rPr>
        <vertAlign val="subscript"/>
        <sz val="11"/>
        <rFont val="宋体"/>
        <charset val="134"/>
      </rPr>
      <t>0</t>
    </r>
    <r>
      <rPr>
        <sz val="11"/>
        <rFont val="宋体"/>
        <charset val="134"/>
      </rPr>
      <t>=</t>
    </r>
  </si>
  <si>
    <t>（0.6支座支撑宽度）</t>
  </si>
  <si>
    <r>
      <rPr>
        <sz val="11"/>
        <rFont val="宋体"/>
        <charset val="134"/>
      </rPr>
      <t>计算剪力跨度l</t>
    </r>
    <r>
      <rPr>
        <vertAlign val="subscript"/>
        <sz val="11"/>
        <rFont val="宋体"/>
        <charset val="134"/>
      </rPr>
      <t>n</t>
    </r>
    <r>
      <rPr>
        <sz val="11"/>
        <rFont val="宋体"/>
        <charset val="134"/>
      </rPr>
      <t>=</t>
    </r>
  </si>
  <si>
    <r>
      <rPr>
        <sz val="11"/>
        <rFont val="宋体"/>
        <charset val="134"/>
      </rPr>
      <t>跨中弯矩标准值M</t>
    </r>
    <r>
      <rPr>
        <vertAlign val="subscript"/>
        <sz val="11"/>
        <rFont val="宋体"/>
        <charset val="134"/>
      </rPr>
      <t>ks</t>
    </r>
    <r>
      <rPr>
        <sz val="11"/>
        <rFont val="宋体"/>
        <charset val="134"/>
      </rPr>
      <t>=q</t>
    </r>
    <r>
      <rPr>
        <vertAlign val="subscript"/>
        <sz val="11"/>
        <rFont val="宋体"/>
        <charset val="134"/>
      </rPr>
      <t>0s</t>
    </r>
    <r>
      <rPr>
        <sz val="11"/>
        <rFont val="宋体"/>
        <charset val="134"/>
      </rPr>
      <t>l</t>
    </r>
    <r>
      <rPr>
        <vertAlign val="subscript"/>
        <sz val="11"/>
        <rFont val="宋体"/>
        <charset val="134"/>
      </rPr>
      <t>0</t>
    </r>
    <r>
      <rPr>
        <vertAlign val="superscript"/>
        <sz val="11"/>
        <rFont val="宋体"/>
        <charset val="134"/>
      </rPr>
      <t>2</t>
    </r>
    <r>
      <rPr>
        <sz val="11"/>
        <rFont val="宋体"/>
        <charset val="134"/>
      </rPr>
      <t>/8=</t>
    </r>
  </si>
  <si>
    <r>
      <rPr>
        <sz val="11"/>
        <rFont val="宋体"/>
        <charset val="134"/>
      </rPr>
      <t>最大剪力标准值V</t>
    </r>
    <r>
      <rPr>
        <vertAlign val="subscript"/>
        <sz val="11"/>
        <rFont val="宋体"/>
        <charset val="134"/>
      </rPr>
      <t>ks</t>
    </r>
    <r>
      <rPr>
        <sz val="11"/>
        <rFont val="宋体"/>
        <charset val="134"/>
      </rPr>
      <t>=q</t>
    </r>
    <r>
      <rPr>
        <vertAlign val="subscript"/>
        <sz val="11"/>
        <rFont val="宋体"/>
        <charset val="134"/>
      </rPr>
      <t>0s</t>
    </r>
    <r>
      <rPr>
        <sz val="11"/>
        <rFont val="宋体"/>
        <charset val="134"/>
      </rPr>
      <t>l</t>
    </r>
    <r>
      <rPr>
        <vertAlign val="subscript"/>
        <sz val="11"/>
        <rFont val="宋体"/>
        <charset val="134"/>
      </rPr>
      <t>n</t>
    </r>
    <r>
      <rPr>
        <sz val="11"/>
        <rFont val="宋体"/>
        <charset val="134"/>
      </rPr>
      <t>/2=</t>
    </r>
  </si>
  <si>
    <r>
      <rPr>
        <sz val="11"/>
        <rFont val="宋体"/>
        <charset val="134"/>
      </rPr>
      <t>跨中弯矩设计值M</t>
    </r>
    <r>
      <rPr>
        <vertAlign val="subscript"/>
        <sz val="11"/>
        <rFont val="宋体"/>
        <charset val="134"/>
      </rPr>
      <t>s</t>
    </r>
    <r>
      <rPr>
        <sz val="11"/>
        <rFont val="宋体"/>
        <charset val="134"/>
      </rPr>
      <t>=q</t>
    </r>
    <r>
      <rPr>
        <vertAlign val="subscript"/>
        <sz val="11"/>
        <rFont val="宋体"/>
        <charset val="134"/>
      </rPr>
      <t>s</t>
    </r>
    <r>
      <rPr>
        <sz val="11"/>
        <rFont val="宋体"/>
        <charset val="134"/>
      </rPr>
      <t>l</t>
    </r>
    <r>
      <rPr>
        <vertAlign val="subscript"/>
        <sz val="11"/>
        <rFont val="宋体"/>
        <charset val="134"/>
      </rPr>
      <t>0</t>
    </r>
    <r>
      <rPr>
        <vertAlign val="superscript"/>
        <sz val="11"/>
        <rFont val="宋体"/>
        <charset val="134"/>
      </rPr>
      <t>2</t>
    </r>
    <r>
      <rPr>
        <sz val="11"/>
        <rFont val="宋体"/>
        <charset val="134"/>
      </rPr>
      <t>/8=</t>
    </r>
  </si>
  <si>
    <r>
      <rPr>
        <sz val="11"/>
        <rFont val="宋体"/>
        <charset val="134"/>
      </rPr>
      <t>最大剪力设计值V</t>
    </r>
    <r>
      <rPr>
        <vertAlign val="subscript"/>
        <sz val="11"/>
        <rFont val="宋体"/>
        <charset val="134"/>
      </rPr>
      <t>s</t>
    </r>
    <r>
      <rPr>
        <sz val="11"/>
        <rFont val="宋体"/>
        <charset val="134"/>
      </rPr>
      <t>=q</t>
    </r>
    <r>
      <rPr>
        <vertAlign val="subscript"/>
        <sz val="11"/>
        <rFont val="宋体"/>
        <charset val="134"/>
      </rPr>
      <t>s</t>
    </r>
    <r>
      <rPr>
        <sz val="11"/>
        <rFont val="宋体"/>
        <charset val="134"/>
      </rPr>
      <t>l</t>
    </r>
    <r>
      <rPr>
        <vertAlign val="subscript"/>
        <sz val="11"/>
        <rFont val="宋体"/>
        <charset val="134"/>
      </rPr>
      <t>n</t>
    </r>
    <r>
      <rPr>
        <sz val="11"/>
        <rFont val="宋体"/>
        <charset val="134"/>
      </rPr>
      <t>/2=</t>
    </r>
  </si>
  <si>
    <t>3.3正截面承载力计算</t>
  </si>
  <si>
    <t>将U型截面简化为T型截面</t>
  </si>
  <si>
    <t>受拉区预应力钢绞线：</t>
  </si>
  <si>
    <t>查《水工混凝土结构设计规范》（SL191-2008）</t>
  </si>
  <si>
    <t>选用预应力钢绞线 1X7-15.20-1860</t>
  </si>
  <si>
    <r>
      <rPr>
        <sz val="11"/>
        <rFont val="宋体"/>
        <charset val="134"/>
      </rPr>
      <t>单根钢绞线面积S</t>
    </r>
    <r>
      <rPr>
        <vertAlign val="subscript"/>
        <sz val="11"/>
        <rFont val="宋体"/>
        <charset val="134"/>
      </rPr>
      <t>n</t>
    </r>
    <r>
      <rPr>
        <sz val="11"/>
        <rFont val="宋体"/>
        <charset val="134"/>
      </rPr>
      <t>=</t>
    </r>
  </si>
  <si>
    <r>
      <rPr>
        <sz val="11"/>
        <rFont val="宋体"/>
        <charset val="134"/>
      </rPr>
      <t>mm</t>
    </r>
    <r>
      <rPr>
        <vertAlign val="superscript"/>
        <sz val="11"/>
        <rFont val="宋体"/>
        <charset val="134"/>
      </rPr>
      <t>2</t>
    </r>
  </si>
  <si>
    <r>
      <rPr>
        <sz val="12"/>
        <rFont val="宋体"/>
        <charset val="134"/>
      </rPr>
      <t>φ</t>
    </r>
    <r>
      <rPr>
        <vertAlign val="superscript"/>
        <sz val="12"/>
        <rFont val="宋体"/>
        <charset val="134"/>
      </rPr>
      <t>s</t>
    </r>
    <r>
      <rPr>
        <sz val="12"/>
        <rFont val="宋体"/>
        <charset val="134"/>
      </rPr>
      <t>1×7</t>
    </r>
  </si>
  <si>
    <t>钢绞线</t>
  </si>
  <si>
    <t>单束钢绞线根数n=</t>
  </si>
  <si>
    <t>根</t>
  </si>
  <si>
    <r>
      <rPr>
        <sz val="11"/>
        <rFont val="宋体"/>
        <charset val="134"/>
      </rPr>
      <t>单束钢绞线面积S=</t>
    </r>
    <r>
      <rPr>
        <sz val="11"/>
        <rFont val="宋体"/>
        <charset val="134"/>
      </rPr>
      <t>nS</t>
    </r>
    <r>
      <rPr>
        <vertAlign val="subscript"/>
        <sz val="11"/>
        <rFont val="宋体"/>
        <charset val="134"/>
      </rPr>
      <t>n</t>
    </r>
    <r>
      <rPr>
        <sz val="11"/>
        <rFont val="宋体"/>
        <charset val="134"/>
      </rPr>
      <t>=</t>
    </r>
  </si>
  <si>
    <t>束</t>
  </si>
  <si>
    <r>
      <rPr>
        <sz val="11"/>
        <rFont val="宋体"/>
        <charset val="134"/>
      </rPr>
      <t>受拉区预应力钢筋面积A</t>
    </r>
    <r>
      <rPr>
        <vertAlign val="subscript"/>
        <sz val="11"/>
        <rFont val="宋体"/>
        <charset val="134"/>
      </rPr>
      <t>P</t>
    </r>
    <r>
      <rPr>
        <sz val="11"/>
        <rFont val="宋体"/>
        <charset val="134"/>
      </rPr>
      <t>=</t>
    </r>
    <r>
      <rPr>
        <sz val="11"/>
        <rFont val="宋体"/>
        <charset val="134"/>
      </rPr>
      <t>SN=</t>
    </r>
  </si>
  <si>
    <t>受压区预应力钢绞线：</t>
  </si>
  <si>
    <r>
      <rPr>
        <sz val="11"/>
        <rFont val="宋体"/>
        <charset val="134"/>
      </rPr>
      <t>单根钢绞线面积S</t>
    </r>
    <r>
      <rPr>
        <sz val="11"/>
        <rFont val="Times New Roman"/>
        <family val="1"/>
      </rPr>
      <t>'</t>
    </r>
    <r>
      <rPr>
        <vertAlign val="subscript"/>
        <sz val="11"/>
        <rFont val="宋体"/>
        <charset val="134"/>
      </rPr>
      <t>n</t>
    </r>
    <r>
      <rPr>
        <sz val="11"/>
        <rFont val="宋体"/>
        <charset val="134"/>
      </rPr>
      <t>=</t>
    </r>
  </si>
  <si>
    <r>
      <rPr>
        <sz val="11"/>
        <rFont val="宋体"/>
        <charset val="134"/>
      </rPr>
      <t>单束钢绞线根数n</t>
    </r>
    <r>
      <rPr>
        <sz val="11"/>
        <rFont val="Times New Roman"/>
        <family val="1"/>
      </rPr>
      <t>'</t>
    </r>
    <r>
      <rPr>
        <sz val="11"/>
        <rFont val="宋体"/>
        <charset val="134"/>
      </rPr>
      <t>=</t>
    </r>
  </si>
  <si>
    <r>
      <rPr>
        <sz val="11"/>
        <rFont val="宋体"/>
        <charset val="134"/>
      </rPr>
      <t>单束钢绞线面积S</t>
    </r>
    <r>
      <rPr>
        <sz val="11"/>
        <rFont val="Times New Roman"/>
        <family val="1"/>
      </rPr>
      <t>'</t>
    </r>
    <r>
      <rPr>
        <sz val="11"/>
        <rFont val="宋体"/>
        <charset val="134"/>
      </rPr>
      <t>=</t>
    </r>
    <r>
      <rPr>
        <sz val="11"/>
        <rFont val="宋体"/>
        <charset val="134"/>
      </rPr>
      <t>n</t>
    </r>
    <r>
      <rPr>
        <sz val="11"/>
        <rFont val="Times New Roman"/>
        <family val="1"/>
      </rPr>
      <t>'</t>
    </r>
    <r>
      <rPr>
        <sz val="11"/>
        <rFont val="宋体"/>
        <charset val="134"/>
      </rPr>
      <t>S</t>
    </r>
    <r>
      <rPr>
        <sz val="11"/>
        <rFont val="Times New Roman"/>
        <family val="1"/>
      </rPr>
      <t>'</t>
    </r>
    <r>
      <rPr>
        <vertAlign val="subscript"/>
        <sz val="11"/>
        <rFont val="宋体"/>
        <charset val="134"/>
      </rPr>
      <t>n</t>
    </r>
    <r>
      <rPr>
        <sz val="11"/>
        <rFont val="宋体"/>
        <charset val="134"/>
      </rPr>
      <t>=</t>
    </r>
  </si>
  <si>
    <r>
      <rPr>
        <sz val="11"/>
        <rFont val="宋体"/>
        <charset val="134"/>
      </rPr>
      <t>N</t>
    </r>
    <r>
      <rPr>
        <sz val="11"/>
        <rFont val="Times New Roman"/>
        <family val="1"/>
      </rPr>
      <t>'</t>
    </r>
    <r>
      <rPr>
        <sz val="11"/>
        <rFont val="宋体"/>
        <charset val="134"/>
      </rPr>
      <t>=</t>
    </r>
  </si>
  <si>
    <r>
      <rPr>
        <sz val="11"/>
        <rFont val="宋体"/>
        <charset val="134"/>
      </rPr>
      <t>受压区预应力钢筋面积A</t>
    </r>
    <r>
      <rPr>
        <sz val="11"/>
        <rFont val="Times New Roman"/>
        <family val="1"/>
      </rPr>
      <t>'</t>
    </r>
    <r>
      <rPr>
        <vertAlign val="subscript"/>
        <sz val="11"/>
        <rFont val="宋体"/>
        <charset val="134"/>
      </rPr>
      <t>P</t>
    </r>
    <r>
      <rPr>
        <sz val="11"/>
        <rFont val="宋体"/>
        <charset val="134"/>
      </rPr>
      <t>=</t>
    </r>
    <r>
      <rPr>
        <sz val="11"/>
        <rFont val="宋体"/>
        <charset val="134"/>
      </rPr>
      <t>S</t>
    </r>
    <r>
      <rPr>
        <sz val="11"/>
        <rFont val="Times New Roman"/>
        <family val="1"/>
      </rPr>
      <t>'</t>
    </r>
    <r>
      <rPr>
        <sz val="11"/>
        <rFont val="宋体"/>
        <charset val="134"/>
      </rPr>
      <t>N</t>
    </r>
    <r>
      <rPr>
        <sz val="11"/>
        <rFont val="Times New Roman"/>
        <family val="1"/>
      </rPr>
      <t>'</t>
    </r>
    <r>
      <rPr>
        <sz val="11"/>
        <rFont val="宋体"/>
        <charset val="134"/>
      </rPr>
      <t>=</t>
    </r>
  </si>
  <si>
    <t>受拉区普通钢筋：</t>
  </si>
  <si>
    <r>
      <rPr>
        <sz val="11"/>
        <rFont val="宋体"/>
        <charset val="134"/>
      </rPr>
      <t>单根钢筋面积S</t>
    </r>
    <r>
      <rPr>
        <vertAlign val="subscript"/>
        <sz val="11"/>
        <rFont val="宋体"/>
        <charset val="134"/>
      </rPr>
      <t>1</t>
    </r>
    <r>
      <rPr>
        <sz val="11"/>
        <rFont val="宋体"/>
        <charset val="134"/>
      </rPr>
      <t>=</t>
    </r>
  </si>
  <si>
    <t>D=20</t>
  </si>
  <si>
    <r>
      <rPr>
        <sz val="11"/>
        <rFont val="宋体"/>
        <charset val="134"/>
      </rPr>
      <t>n</t>
    </r>
    <r>
      <rPr>
        <vertAlign val="subscript"/>
        <sz val="11"/>
        <rFont val="宋体"/>
        <charset val="134"/>
      </rPr>
      <t>1</t>
    </r>
    <r>
      <rPr>
        <sz val="11"/>
        <rFont val="宋体"/>
        <charset val="134"/>
      </rPr>
      <t>=</t>
    </r>
  </si>
  <si>
    <r>
      <rPr>
        <sz val="11"/>
        <rFont val="宋体"/>
        <charset val="134"/>
      </rPr>
      <t>受拉区普通钢筋面积A</t>
    </r>
    <r>
      <rPr>
        <vertAlign val="subscript"/>
        <sz val="11"/>
        <rFont val="宋体"/>
        <charset val="134"/>
      </rPr>
      <t>s</t>
    </r>
    <r>
      <rPr>
        <sz val="11"/>
        <rFont val="宋体"/>
        <charset val="134"/>
      </rPr>
      <t>=</t>
    </r>
    <r>
      <rPr>
        <sz val="11"/>
        <rFont val="宋体"/>
        <charset val="134"/>
      </rPr>
      <t>n</t>
    </r>
    <r>
      <rPr>
        <vertAlign val="subscript"/>
        <sz val="11"/>
        <rFont val="宋体"/>
        <charset val="134"/>
      </rPr>
      <t>1</t>
    </r>
    <r>
      <rPr>
        <sz val="11"/>
        <rFont val="宋体"/>
        <charset val="134"/>
      </rPr>
      <t>S</t>
    </r>
    <r>
      <rPr>
        <vertAlign val="subscript"/>
        <sz val="11"/>
        <rFont val="宋体"/>
        <charset val="134"/>
      </rPr>
      <t>1</t>
    </r>
    <r>
      <rPr>
        <sz val="11"/>
        <rFont val="宋体"/>
        <charset val="134"/>
      </rPr>
      <t>=</t>
    </r>
  </si>
  <si>
    <t>受压区普通钢筋：</t>
  </si>
  <si>
    <r>
      <rPr>
        <sz val="11"/>
        <rFont val="宋体"/>
        <charset val="134"/>
      </rPr>
      <t>单根钢筋面积</t>
    </r>
    <r>
      <rPr>
        <sz val="11"/>
        <rFont val="Times New Roman"/>
        <family val="1"/>
      </rPr>
      <t>S'</t>
    </r>
    <r>
      <rPr>
        <vertAlign val="subscript"/>
        <sz val="11"/>
        <rFont val="宋体"/>
        <charset val="134"/>
      </rPr>
      <t>1</t>
    </r>
    <r>
      <rPr>
        <sz val="11"/>
        <rFont val="宋体"/>
        <charset val="134"/>
      </rPr>
      <t>=</t>
    </r>
  </si>
  <si>
    <t>D=16</t>
  </si>
  <si>
    <r>
      <rPr>
        <sz val="11"/>
        <rFont val="宋体"/>
        <charset val="134"/>
      </rPr>
      <t>n</t>
    </r>
    <r>
      <rPr>
        <sz val="11"/>
        <rFont val="Times New Roman"/>
        <family val="1"/>
      </rPr>
      <t>'</t>
    </r>
    <r>
      <rPr>
        <vertAlign val="subscript"/>
        <sz val="11"/>
        <rFont val="宋体"/>
        <charset val="134"/>
      </rPr>
      <t>1</t>
    </r>
    <r>
      <rPr>
        <sz val="11"/>
        <rFont val="宋体"/>
        <charset val="134"/>
      </rPr>
      <t>=</t>
    </r>
  </si>
  <si>
    <r>
      <rPr>
        <sz val="11"/>
        <rFont val="宋体"/>
        <charset val="134"/>
      </rPr>
      <t>受压区普通钢筋面积A</t>
    </r>
    <r>
      <rPr>
        <vertAlign val="superscript"/>
        <sz val="11"/>
        <rFont val="宋体"/>
        <charset val="134"/>
      </rPr>
      <t>'</t>
    </r>
    <r>
      <rPr>
        <vertAlign val="subscript"/>
        <sz val="11"/>
        <rFont val="宋体"/>
        <charset val="134"/>
      </rPr>
      <t>s</t>
    </r>
    <r>
      <rPr>
        <sz val="11"/>
        <rFont val="宋体"/>
        <charset val="134"/>
      </rPr>
      <t>=</t>
    </r>
    <r>
      <rPr>
        <sz val="11"/>
        <rFont val="宋体"/>
        <charset val="134"/>
      </rPr>
      <t>n</t>
    </r>
    <r>
      <rPr>
        <sz val="11"/>
        <rFont val="Times New Roman"/>
        <family val="1"/>
      </rPr>
      <t>'</t>
    </r>
    <r>
      <rPr>
        <vertAlign val="subscript"/>
        <sz val="11"/>
        <rFont val="宋体"/>
        <charset val="134"/>
      </rPr>
      <t>1</t>
    </r>
    <r>
      <rPr>
        <sz val="11"/>
        <rFont val="宋体"/>
        <charset val="134"/>
      </rPr>
      <t>S</t>
    </r>
    <r>
      <rPr>
        <sz val="11"/>
        <rFont val="Times New Roman"/>
        <family val="1"/>
      </rPr>
      <t>'</t>
    </r>
    <r>
      <rPr>
        <vertAlign val="subscript"/>
        <sz val="11"/>
        <rFont val="宋体"/>
        <charset val="134"/>
      </rPr>
      <t>1</t>
    </r>
    <r>
      <rPr>
        <sz val="11"/>
        <rFont val="宋体"/>
        <charset val="134"/>
      </rPr>
      <t>=</t>
    </r>
  </si>
  <si>
    <r>
      <rPr>
        <sz val="11"/>
        <rFont val="宋体"/>
        <charset val="134"/>
      </rPr>
      <t>上翼缘宽度b</t>
    </r>
    <r>
      <rPr>
        <vertAlign val="superscript"/>
        <sz val="11"/>
        <rFont val="宋体"/>
        <charset val="134"/>
      </rPr>
      <t>′</t>
    </r>
    <r>
      <rPr>
        <sz val="11"/>
        <rFont val="宋体"/>
        <charset val="134"/>
      </rPr>
      <t>t=2(a+t)=</t>
    </r>
  </si>
  <si>
    <r>
      <rPr>
        <sz val="11"/>
        <rFont val="宋体"/>
        <charset val="134"/>
      </rPr>
      <t>上翼缘高度h</t>
    </r>
    <r>
      <rPr>
        <vertAlign val="superscript"/>
        <sz val="11"/>
        <rFont val="宋体"/>
        <charset val="134"/>
      </rPr>
      <t>′</t>
    </r>
    <r>
      <rPr>
        <sz val="11"/>
        <rFont val="宋体"/>
        <charset val="134"/>
      </rPr>
      <t>f=0.5(b+b+c)=</t>
    </r>
  </si>
  <si>
    <t>腹板宽度b=2t=</t>
  </si>
  <si>
    <r>
      <rPr>
        <sz val="11"/>
        <rFont val="宋体"/>
        <charset val="134"/>
      </rPr>
      <t>单根钢绞线</t>
    </r>
    <r>
      <rPr>
        <sz val="11"/>
        <color rgb="FFFF0000"/>
        <rFont val="宋体"/>
        <charset val="134"/>
      </rPr>
      <t>公称</t>
    </r>
    <r>
      <rPr>
        <sz val="11"/>
        <rFont val="宋体"/>
        <charset val="134"/>
      </rPr>
      <t>直径d=</t>
    </r>
  </si>
  <si>
    <r>
      <rPr>
        <sz val="11"/>
        <rFont val="宋体"/>
        <charset val="134"/>
      </rPr>
      <t>受拉区单束钢绞线</t>
    </r>
    <r>
      <rPr>
        <sz val="11"/>
        <color rgb="FFFF0000"/>
        <rFont val="宋体"/>
        <charset val="134"/>
      </rPr>
      <t>公称</t>
    </r>
    <r>
      <rPr>
        <sz val="11"/>
        <rFont val="宋体"/>
        <charset val="134"/>
      </rPr>
      <t>直径d</t>
    </r>
    <r>
      <rPr>
        <vertAlign val="subscript"/>
        <sz val="11"/>
        <rFont val="宋体"/>
        <charset val="134"/>
      </rPr>
      <t>l</t>
    </r>
    <r>
      <rPr>
        <sz val="11"/>
        <rFont val="宋体"/>
        <charset val="134"/>
      </rPr>
      <t>=</t>
    </r>
  </si>
  <si>
    <r>
      <rPr>
        <sz val="11"/>
        <rFont val="宋体"/>
        <charset val="134"/>
      </rPr>
      <t>受拉区单</t>
    </r>
    <r>
      <rPr>
        <sz val="11"/>
        <color rgb="FFFF0000"/>
        <rFont val="宋体"/>
        <charset val="134"/>
      </rPr>
      <t>束</t>
    </r>
    <r>
      <rPr>
        <sz val="11"/>
        <rFont val="宋体"/>
        <charset val="134"/>
      </rPr>
      <t>孔道d</t>
    </r>
    <r>
      <rPr>
        <vertAlign val="subscript"/>
        <sz val="11"/>
        <rFont val="宋体"/>
        <charset val="134"/>
      </rPr>
      <t>孔l</t>
    </r>
    <r>
      <rPr>
        <sz val="11"/>
        <rFont val="宋体"/>
        <charset val="134"/>
      </rPr>
      <t>=</t>
    </r>
  </si>
  <si>
    <t>圆形金属波纹管</t>
  </si>
  <si>
    <t>孔道直径应比预应力钢筋束外径大10～15mm</t>
  </si>
  <si>
    <t>贵州按单根，一分院按单束换算公称直径？</t>
  </si>
  <si>
    <t>红色字体为我自己改的</t>
  </si>
  <si>
    <r>
      <rPr>
        <sz val="11"/>
        <rFont val="宋体"/>
        <charset val="134"/>
      </rPr>
      <t>A</t>
    </r>
    <r>
      <rPr>
        <vertAlign val="subscript"/>
        <sz val="11"/>
        <rFont val="宋体"/>
        <charset val="134"/>
      </rPr>
      <t>k</t>
    </r>
    <r>
      <rPr>
        <sz val="11"/>
        <rFont val="宋体"/>
        <charset val="134"/>
      </rPr>
      <t>=</t>
    </r>
    <r>
      <rPr>
        <sz val="11"/>
        <rFont val="宋体"/>
        <charset val="134"/>
      </rPr>
      <t>N(πd</t>
    </r>
    <r>
      <rPr>
        <vertAlign val="superscript"/>
        <sz val="11"/>
        <rFont val="宋体"/>
        <charset val="134"/>
      </rPr>
      <t>2</t>
    </r>
    <r>
      <rPr>
        <vertAlign val="subscript"/>
        <sz val="11"/>
        <rFont val="宋体"/>
        <charset val="134"/>
      </rPr>
      <t>孔</t>
    </r>
    <r>
      <rPr>
        <sz val="11"/>
        <rFont val="宋体"/>
        <charset val="134"/>
      </rPr>
      <t>/4)=</t>
    </r>
  </si>
  <si>
    <t>孔道截面面积不应小于两倍预应力筋截面面积</t>
  </si>
  <si>
    <r>
      <rPr>
        <sz val="11"/>
        <rFont val="宋体"/>
        <charset val="134"/>
      </rPr>
      <t>受压区单</t>
    </r>
    <r>
      <rPr>
        <sz val="11"/>
        <color rgb="FFFF0000"/>
        <rFont val="宋体"/>
        <charset val="134"/>
      </rPr>
      <t>束</t>
    </r>
    <r>
      <rPr>
        <sz val="11"/>
        <rFont val="宋体"/>
        <charset val="134"/>
      </rPr>
      <t>钢绞线公称直径d</t>
    </r>
    <r>
      <rPr>
        <vertAlign val="subscript"/>
        <sz val="11"/>
        <rFont val="宋体"/>
        <charset val="134"/>
      </rPr>
      <t>y</t>
    </r>
    <r>
      <rPr>
        <sz val="11"/>
        <rFont val="宋体"/>
        <charset val="134"/>
      </rPr>
      <t>=</t>
    </r>
  </si>
  <si>
    <r>
      <rPr>
        <sz val="11"/>
        <rFont val="宋体"/>
        <charset val="134"/>
      </rPr>
      <t>受压区单</t>
    </r>
    <r>
      <rPr>
        <sz val="11"/>
        <color rgb="FFFF0000"/>
        <rFont val="宋体"/>
        <charset val="134"/>
      </rPr>
      <t>束</t>
    </r>
    <r>
      <rPr>
        <sz val="11"/>
        <rFont val="宋体"/>
        <charset val="134"/>
      </rPr>
      <t>孔道d</t>
    </r>
    <r>
      <rPr>
        <vertAlign val="subscript"/>
        <sz val="11"/>
        <rFont val="宋体"/>
        <charset val="134"/>
      </rPr>
      <t>孔y</t>
    </r>
    <r>
      <rPr>
        <sz val="11"/>
        <rFont val="宋体"/>
        <charset val="134"/>
      </rPr>
      <t>=</t>
    </r>
  </si>
  <si>
    <t>扁管金属波纹管</t>
  </si>
  <si>
    <r>
      <rPr>
        <sz val="11"/>
        <rFont val="宋体"/>
        <charset val="134"/>
      </rPr>
      <t>A</t>
    </r>
    <r>
      <rPr>
        <vertAlign val="superscript"/>
        <sz val="11"/>
        <rFont val="宋体"/>
        <charset val="134"/>
      </rPr>
      <t>'</t>
    </r>
    <r>
      <rPr>
        <vertAlign val="subscript"/>
        <sz val="11"/>
        <rFont val="宋体"/>
        <charset val="134"/>
      </rPr>
      <t>k</t>
    </r>
    <r>
      <rPr>
        <sz val="11"/>
        <rFont val="宋体"/>
        <charset val="134"/>
      </rPr>
      <t>=</t>
    </r>
    <r>
      <rPr>
        <sz val="11"/>
        <rFont val="宋体"/>
        <charset val="134"/>
      </rPr>
      <t>N</t>
    </r>
    <r>
      <rPr>
        <vertAlign val="superscript"/>
        <sz val="11"/>
        <rFont val="宋体"/>
        <charset val="134"/>
      </rPr>
      <t>'</t>
    </r>
    <r>
      <rPr>
        <sz val="11"/>
        <rFont val="宋体"/>
        <charset val="134"/>
      </rPr>
      <t>(πd</t>
    </r>
    <r>
      <rPr>
        <vertAlign val="superscript"/>
        <sz val="11"/>
        <rFont val="宋体"/>
        <charset val="134"/>
      </rPr>
      <t>2</t>
    </r>
    <r>
      <rPr>
        <vertAlign val="subscript"/>
        <sz val="11"/>
        <rFont val="宋体"/>
        <charset val="134"/>
      </rPr>
      <t>孔</t>
    </r>
    <r>
      <rPr>
        <sz val="11"/>
        <rFont val="宋体"/>
        <charset val="134"/>
      </rPr>
      <t>/4)</t>
    </r>
    <r>
      <rPr>
        <sz val="11"/>
        <rFont val="宋体"/>
        <charset val="134"/>
      </rPr>
      <t>=</t>
    </r>
  </si>
  <si>
    <r>
      <rPr>
        <sz val="11"/>
        <rFont val="宋体"/>
        <charset val="134"/>
      </rPr>
      <t>A</t>
    </r>
    <r>
      <rPr>
        <vertAlign val="subscript"/>
        <sz val="11"/>
        <rFont val="宋体"/>
        <charset val="134"/>
      </rPr>
      <t>m</t>
    </r>
    <r>
      <rPr>
        <sz val="11"/>
        <rFont val="宋体"/>
        <charset val="134"/>
      </rPr>
      <t>=A</t>
    </r>
    <r>
      <rPr>
        <vertAlign val="subscript"/>
        <sz val="11"/>
        <rFont val="宋体"/>
        <charset val="134"/>
      </rPr>
      <t>k</t>
    </r>
    <r>
      <rPr>
        <sz val="11"/>
        <rFont val="宋体"/>
        <charset val="134"/>
      </rPr>
      <t>+A</t>
    </r>
    <r>
      <rPr>
        <vertAlign val="superscript"/>
        <sz val="11"/>
        <rFont val="宋体"/>
        <charset val="134"/>
      </rPr>
      <t>'</t>
    </r>
    <r>
      <rPr>
        <vertAlign val="subscript"/>
        <sz val="11"/>
        <rFont val="宋体"/>
        <charset val="134"/>
      </rPr>
      <t>k</t>
    </r>
    <r>
      <rPr>
        <sz val="11"/>
        <rFont val="宋体"/>
        <charset val="134"/>
      </rPr>
      <t>=</t>
    </r>
  </si>
  <si>
    <r>
      <rPr>
        <sz val="11"/>
        <rFont val="宋体"/>
        <charset val="134"/>
      </rPr>
      <t>预应力钢筋α</t>
    </r>
    <r>
      <rPr>
        <vertAlign val="subscript"/>
        <sz val="11"/>
        <rFont val="宋体"/>
        <charset val="134"/>
      </rPr>
      <t>P</t>
    </r>
    <r>
      <rPr>
        <sz val="11"/>
        <rFont val="宋体"/>
        <charset val="134"/>
      </rPr>
      <t>=E</t>
    </r>
    <r>
      <rPr>
        <vertAlign val="subscript"/>
        <sz val="11"/>
        <rFont val="宋体"/>
        <charset val="134"/>
      </rPr>
      <t>p</t>
    </r>
    <r>
      <rPr>
        <sz val="11"/>
        <rFont val="宋体"/>
        <charset val="134"/>
      </rPr>
      <t>/E</t>
    </r>
    <r>
      <rPr>
        <vertAlign val="subscript"/>
        <sz val="11"/>
        <rFont val="宋体"/>
        <charset val="134"/>
      </rPr>
      <t>c</t>
    </r>
    <r>
      <rPr>
        <sz val="11"/>
        <rFont val="宋体"/>
        <charset val="134"/>
      </rPr>
      <t>=</t>
    </r>
  </si>
  <si>
    <r>
      <rPr>
        <sz val="11"/>
        <rFont val="宋体"/>
        <charset val="134"/>
      </rPr>
      <t>普通钢筋α</t>
    </r>
    <r>
      <rPr>
        <vertAlign val="subscript"/>
        <sz val="11"/>
        <rFont val="宋体"/>
        <charset val="134"/>
      </rPr>
      <t>E</t>
    </r>
    <r>
      <rPr>
        <sz val="11"/>
        <rFont val="宋体"/>
        <charset val="134"/>
      </rPr>
      <t>=E</t>
    </r>
    <r>
      <rPr>
        <vertAlign val="subscript"/>
        <sz val="11"/>
        <rFont val="宋体"/>
        <charset val="134"/>
      </rPr>
      <t>s</t>
    </r>
    <r>
      <rPr>
        <sz val="11"/>
        <rFont val="宋体"/>
        <charset val="134"/>
      </rPr>
      <t>/E</t>
    </r>
    <r>
      <rPr>
        <vertAlign val="subscript"/>
        <sz val="11"/>
        <rFont val="宋体"/>
        <charset val="134"/>
      </rPr>
      <t>c</t>
    </r>
    <r>
      <rPr>
        <sz val="11"/>
        <rFont val="宋体"/>
        <charset val="134"/>
      </rPr>
      <t>=</t>
    </r>
  </si>
  <si>
    <r>
      <rPr>
        <sz val="11"/>
        <rFont val="宋体"/>
        <charset val="134"/>
      </rPr>
      <t>α</t>
    </r>
    <r>
      <rPr>
        <vertAlign val="subscript"/>
        <sz val="11"/>
        <rFont val="宋体"/>
        <charset val="134"/>
      </rPr>
      <t>E</t>
    </r>
    <r>
      <rPr>
        <sz val="11"/>
        <rFont val="宋体"/>
        <charset val="134"/>
      </rPr>
      <t>(A</t>
    </r>
    <r>
      <rPr>
        <vertAlign val="subscript"/>
        <sz val="11"/>
        <rFont val="宋体"/>
        <charset val="134"/>
      </rPr>
      <t>s</t>
    </r>
    <r>
      <rPr>
        <sz val="11"/>
        <rFont val="宋体"/>
        <charset val="134"/>
      </rPr>
      <t>+A</t>
    </r>
    <r>
      <rPr>
        <vertAlign val="superscript"/>
        <sz val="11"/>
        <rFont val="宋体"/>
        <charset val="134"/>
      </rPr>
      <t>′</t>
    </r>
    <r>
      <rPr>
        <vertAlign val="subscript"/>
        <sz val="11"/>
        <rFont val="宋体"/>
        <charset val="134"/>
      </rPr>
      <t>s</t>
    </r>
    <r>
      <rPr>
        <sz val="11"/>
        <rFont val="宋体"/>
        <charset val="134"/>
      </rPr>
      <t>)=</t>
    </r>
  </si>
  <si>
    <r>
      <rPr>
        <sz val="11"/>
        <rFont val="宋体"/>
        <charset val="134"/>
      </rPr>
      <t>净截面面积A</t>
    </r>
    <r>
      <rPr>
        <vertAlign val="subscript"/>
        <sz val="11"/>
        <rFont val="宋体"/>
        <charset val="134"/>
      </rPr>
      <t>n</t>
    </r>
    <r>
      <rPr>
        <sz val="11"/>
        <rFont val="宋体"/>
        <charset val="134"/>
      </rPr>
      <t>=A</t>
    </r>
    <r>
      <rPr>
        <vertAlign val="subscript"/>
        <sz val="11"/>
        <rFont val="宋体"/>
        <charset val="134"/>
      </rPr>
      <t>c</t>
    </r>
    <r>
      <rPr>
        <sz val="11"/>
        <rFont val="宋体"/>
        <charset val="134"/>
      </rPr>
      <t>-A</t>
    </r>
    <r>
      <rPr>
        <vertAlign val="subscript"/>
        <sz val="11"/>
        <rFont val="宋体"/>
        <charset val="134"/>
      </rPr>
      <t>m</t>
    </r>
    <r>
      <rPr>
        <sz val="11"/>
        <rFont val="宋体"/>
        <charset val="134"/>
      </rPr>
      <t>+α</t>
    </r>
    <r>
      <rPr>
        <vertAlign val="subscript"/>
        <sz val="11"/>
        <rFont val="宋体"/>
        <charset val="134"/>
      </rPr>
      <t>E</t>
    </r>
    <r>
      <rPr>
        <sz val="11"/>
        <rFont val="宋体"/>
        <charset val="134"/>
      </rPr>
      <t>(A</t>
    </r>
    <r>
      <rPr>
        <vertAlign val="subscript"/>
        <sz val="11"/>
        <rFont val="宋体"/>
        <charset val="134"/>
      </rPr>
      <t>s</t>
    </r>
    <r>
      <rPr>
        <sz val="11"/>
        <rFont val="宋体"/>
        <charset val="134"/>
      </rPr>
      <t>+A′s)=</t>
    </r>
  </si>
  <si>
    <t>保护层厚度c=</t>
  </si>
  <si>
    <r>
      <rPr>
        <sz val="11"/>
        <rFont val="宋体"/>
        <charset val="134"/>
      </rPr>
      <t>普通受拉钢筋合力点至受拉边缘的距离a</t>
    </r>
    <r>
      <rPr>
        <vertAlign val="subscript"/>
        <sz val="11"/>
        <rFont val="宋体"/>
        <charset val="134"/>
      </rPr>
      <t>s</t>
    </r>
    <r>
      <rPr>
        <sz val="11"/>
        <rFont val="宋体"/>
        <charset val="134"/>
      </rPr>
      <t>=</t>
    </r>
  </si>
  <si>
    <t>初算</t>
  </si>
  <si>
    <r>
      <rPr>
        <sz val="11"/>
        <rFont val="宋体"/>
        <charset val="134"/>
      </rPr>
      <t>普通受压钢筋合力点至受压边缘的距离a</t>
    </r>
    <r>
      <rPr>
        <sz val="11"/>
        <rFont val="Times New Roman"/>
        <family val="1"/>
      </rPr>
      <t>'</t>
    </r>
    <r>
      <rPr>
        <vertAlign val="subscript"/>
        <sz val="11"/>
        <rFont val="宋体"/>
        <charset val="134"/>
      </rPr>
      <t>s</t>
    </r>
    <r>
      <rPr>
        <sz val="11"/>
        <rFont val="宋体"/>
        <charset val="134"/>
      </rPr>
      <t>=</t>
    </r>
  </si>
  <si>
    <r>
      <rPr>
        <sz val="11"/>
        <rFont val="宋体"/>
        <charset val="134"/>
      </rPr>
      <t>受压区全部纵向钢筋合力点至受压边缘的距离a</t>
    </r>
    <r>
      <rPr>
        <sz val="11"/>
        <rFont val="Times New Roman"/>
        <family val="1"/>
      </rPr>
      <t>'</t>
    </r>
    <r>
      <rPr>
        <sz val="11"/>
        <rFont val="宋体"/>
        <charset val="134"/>
      </rPr>
      <t>=</t>
    </r>
  </si>
  <si>
    <r>
      <rPr>
        <sz val="11"/>
        <rFont val="宋体"/>
        <charset val="134"/>
      </rPr>
      <t>受压区纵向预应力钢筋合力点至受压边缘的距离a</t>
    </r>
    <r>
      <rPr>
        <sz val="11"/>
        <rFont val="Times New Roman"/>
        <family val="1"/>
      </rPr>
      <t>'</t>
    </r>
    <r>
      <rPr>
        <vertAlign val="subscript"/>
        <sz val="11"/>
        <rFont val="宋体"/>
        <charset val="134"/>
      </rPr>
      <t>p</t>
    </r>
    <r>
      <rPr>
        <sz val="11"/>
        <rFont val="宋体"/>
        <charset val="134"/>
      </rPr>
      <t>=</t>
    </r>
  </si>
  <si>
    <r>
      <rPr>
        <sz val="11"/>
        <rFont val="宋体"/>
        <charset val="134"/>
      </rPr>
      <t>受拉区纵向预应力钢筋合力点至受拉边缘的距离a</t>
    </r>
    <r>
      <rPr>
        <vertAlign val="subscript"/>
        <sz val="11"/>
        <rFont val="宋体"/>
        <charset val="134"/>
      </rPr>
      <t>p</t>
    </r>
    <r>
      <rPr>
        <sz val="11"/>
        <rFont val="宋体"/>
        <charset val="134"/>
      </rPr>
      <t>=</t>
    </r>
  </si>
  <si>
    <t>受拉区全部纵向钢筋合力点至受拉边缘的距离a=</t>
  </si>
  <si>
    <r>
      <rPr>
        <sz val="11"/>
        <rFont val="宋体"/>
        <charset val="134"/>
      </rPr>
      <t>截面有效高度h</t>
    </r>
    <r>
      <rPr>
        <vertAlign val="subscript"/>
        <sz val="11"/>
        <rFont val="宋体"/>
        <charset val="134"/>
      </rPr>
      <t>0</t>
    </r>
    <r>
      <rPr>
        <sz val="11"/>
        <rFont val="宋体"/>
        <charset val="134"/>
      </rPr>
      <t>=</t>
    </r>
  </si>
  <si>
    <r>
      <rPr>
        <sz val="11"/>
        <rFont val="黑体"/>
        <charset val="134"/>
      </rPr>
      <t>混凝土净截面重心至受压边缘的距离y</t>
    </r>
    <r>
      <rPr>
        <vertAlign val="subscript"/>
        <sz val="11"/>
        <rFont val="黑体"/>
        <charset val="134"/>
      </rPr>
      <t>n1</t>
    </r>
    <r>
      <rPr>
        <sz val="11"/>
        <rFont val="黑体"/>
        <charset val="134"/>
      </rPr>
      <t>=</t>
    </r>
  </si>
  <si>
    <r>
      <rPr>
        <sz val="11"/>
        <rFont val="宋体"/>
        <charset val="134"/>
      </rPr>
      <t>混凝土净截面重心至受拉边缘的距离y</t>
    </r>
    <r>
      <rPr>
        <vertAlign val="subscript"/>
        <sz val="11"/>
        <rFont val="宋体"/>
        <charset val="134"/>
      </rPr>
      <t>n2</t>
    </r>
    <r>
      <rPr>
        <sz val="11"/>
        <rFont val="宋体"/>
        <charset val="134"/>
      </rPr>
      <t>=h-y</t>
    </r>
    <r>
      <rPr>
        <vertAlign val="subscript"/>
        <sz val="11"/>
        <rFont val="宋体"/>
        <charset val="134"/>
      </rPr>
      <t>n1</t>
    </r>
    <r>
      <rPr>
        <sz val="11"/>
        <rFont val="宋体"/>
        <charset val="134"/>
      </rPr>
      <t>=</t>
    </r>
  </si>
  <si>
    <r>
      <rPr>
        <sz val="11"/>
        <rFont val="黑体"/>
        <charset val="134"/>
      </rPr>
      <t>净截面的惯性矩I</t>
    </r>
    <r>
      <rPr>
        <vertAlign val="subscript"/>
        <sz val="11"/>
        <rFont val="黑体"/>
        <charset val="134"/>
      </rPr>
      <t>n</t>
    </r>
    <r>
      <rPr>
        <sz val="11"/>
        <rFont val="黑体"/>
        <charset val="134"/>
      </rPr>
      <t>:</t>
    </r>
  </si>
  <si>
    <r>
      <rPr>
        <sz val="11"/>
        <color theme="1"/>
        <rFont val="宋体"/>
        <charset val="134"/>
        <scheme val="minor"/>
      </rPr>
      <t>公式尚少了A</t>
    </r>
    <r>
      <rPr>
        <vertAlign val="subscript"/>
        <sz val="11"/>
        <color theme="1"/>
        <rFont val="宋体"/>
        <charset val="134"/>
        <scheme val="minor"/>
      </rPr>
      <t>c</t>
    </r>
    <r>
      <rPr>
        <sz val="11"/>
        <color theme="1"/>
        <rFont val="宋体"/>
        <charset val="134"/>
        <scheme val="minor"/>
      </rPr>
      <t>(y</t>
    </r>
    <r>
      <rPr>
        <vertAlign val="subscript"/>
        <sz val="11"/>
        <color theme="1"/>
        <rFont val="宋体"/>
        <charset val="134"/>
        <scheme val="minor"/>
      </rPr>
      <t>1</t>
    </r>
    <r>
      <rPr>
        <sz val="11"/>
        <color theme="1"/>
        <rFont val="宋体"/>
        <charset val="134"/>
        <scheme val="minor"/>
      </rPr>
      <t>-y</t>
    </r>
    <r>
      <rPr>
        <vertAlign val="subscript"/>
        <sz val="11"/>
        <color theme="1"/>
        <rFont val="宋体"/>
        <charset val="134"/>
        <scheme val="minor"/>
      </rPr>
      <t>n1</t>
    </r>
    <r>
      <rPr>
        <sz val="11"/>
        <color theme="1"/>
        <rFont val="宋体"/>
        <charset val="134"/>
        <scheme val="minor"/>
      </rPr>
      <t>)</t>
    </r>
    <r>
      <rPr>
        <vertAlign val="superscript"/>
        <sz val="11"/>
        <color theme="1"/>
        <rFont val="宋体"/>
        <charset val="134"/>
        <scheme val="minor"/>
      </rPr>
      <t>2</t>
    </r>
    <r>
      <rPr>
        <sz val="11"/>
        <color theme="1"/>
        <rFont val="宋体"/>
        <charset val="134"/>
        <scheme val="minor"/>
      </rPr>
      <t>但是两者距离所差甚小，</t>
    </r>
  </si>
  <si>
    <r>
      <rPr>
        <sz val="11"/>
        <rFont val="宋体"/>
        <charset val="134"/>
      </rPr>
      <t>I</t>
    </r>
    <r>
      <rPr>
        <vertAlign val="subscript"/>
        <sz val="11"/>
        <rFont val="宋体"/>
        <charset val="134"/>
      </rPr>
      <t>n</t>
    </r>
    <r>
      <rPr>
        <sz val="11"/>
        <rFont val="宋体"/>
        <charset val="134"/>
      </rPr>
      <t>=</t>
    </r>
  </si>
  <si>
    <r>
      <rPr>
        <sz val="11"/>
        <color theme="1"/>
        <rFont val="宋体"/>
        <charset val="134"/>
        <scheme val="minor"/>
      </rPr>
      <t>mm</t>
    </r>
    <r>
      <rPr>
        <vertAlign val="superscript"/>
        <sz val="11"/>
        <color theme="1"/>
        <rFont val="宋体"/>
        <charset val="134"/>
        <scheme val="minor"/>
      </rPr>
      <t>4</t>
    </r>
  </si>
  <si>
    <t>可忽略也可加上，我加上了</t>
  </si>
  <si>
    <r>
      <rPr>
        <sz val="11"/>
        <rFont val="宋体"/>
        <charset val="134"/>
      </rPr>
      <t>换算面积A</t>
    </r>
    <r>
      <rPr>
        <vertAlign val="subscript"/>
        <sz val="11"/>
        <rFont val="宋体"/>
        <charset val="134"/>
      </rPr>
      <t>0</t>
    </r>
    <r>
      <rPr>
        <sz val="11"/>
        <rFont val="宋体"/>
        <charset val="134"/>
      </rPr>
      <t>=A</t>
    </r>
    <r>
      <rPr>
        <vertAlign val="subscript"/>
        <sz val="11"/>
        <rFont val="宋体"/>
        <charset val="134"/>
      </rPr>
      <t>n</t>
    </r>
    <r>
      <rPr>
        <sz val="11"/>
        <rFont val="宋体"/>
        <charset val="134"/>
      </rPr>
      <t>+α</t>
    </r>
    <r>
      <rPr>
        <sz val="11"/>
        <rFont val="Times New Roman"/>
        <family val="1"/>
      </rPr>
      <t>'</t>
    </r>
    <r>
      <rPr>
        <vertAlign val="subscript"/>
        <sz val="11"/>
        <rFont val="宋体"/>
        <charset val="134"/>
      </rPr>
      <t>E</t>
    </r>
    <r>
      <rPr>
        <sz val="11"/>
        <rFont val="宋体"/>
        <charset val="134"/>
      </rPr>
      <t>(</t>
    </r>
    <r>
      <rPr>
        <sz val="11"/>
        <rFont val="宋体"/>
        <charset val="134"/>
      </rPr>
      <t>A</t>
    </r>
    <r>
      <rPr>
        <vertAlign val="subscript"/>
        <sz val="11"/>
        <rFont val="宋体"/>
        <charset val="134"/>
      </rPr>
      <t>p</t>
    </r>
    <r>
      <rPr>
        <sz val="11"/>
        <rFont val="宋体"/>
        <charset val="134"/>
      </rPr>
      <t>+A</t>
    </r>
    <r>
      <rPr>
        <vertAlign val="superscript"/>
        <sz val="11"/>
        <rFont val="Times New Roman"/>
        <family val="1"/>
      </rPr>
      <t>'</t>
    </r>
    <r>
      <rPr>
        <vertAlign val="subscript"/>
        <sz val="11"/>
        <rFont val="宋体"/>
        <charset val="134"/>
      </rPr>
      <t>p</t>
    </r>
    <r>
      <rPr>
        <sz val="11"/>
        <rFont val="宋体"/>
        <charset val="134"/>
      </rPr>
      <t>)</t>
    </r>
    <r>
      <rPr>
        <sz val="11"/>
        <rFont val="宋体"/>
        <charset val="134"/>
      </rPr>
      <t>=</t>
    </r>
  </si>
  <si>
    <r>
      <rPr>
        <sz val="11"/>
        <color theme="1"/>
        <rFont val="宋体"/>
        <charset val="134"/>
        <scheme val="minor"/>
      </rPr>
      <t>mm</t>
    </r>
    <r>
      <rPr>
        <vertAlign val="superscript"/>
        <sz val="11"/>
        <color theme="1"/>
        <rFont val="宋体"/>
        <charset val="134"/>
        <scheme val="minor"/>
      </rPr>
      <t>2</t>
    </r>
  </si>
  <si>
    <r>
      <rPr>
        <sz val="11"/>
        <rFont val="宋体"/>
        <charset val="134"/>
      </rPr>
      <t>换算截面重心至受压边缘的距离y</t>
    </r>
    <r>
      <rPr>
        <vertAlign val="subscript"/>
        <sz val="11"/>
        <rFont val="宋体"/>
        <charset val="134"/>
      </rPr>
      <t>01</t>
    </r>
    <r>
      <rPr>
        <sz val="11"/>
        <rFont val="宋体"/>
        <charset val="134"/>
      </rPr>
      <t>：</t>
    </r>
  </si>
  <si>
    <r>
      <rPr>
        <sz val="11"/>
        <rFont val="宋体"/>
        <charset val="134"/>
      </rPr>
      <t>y</t>
    </r>
    <r>
      <rPr>
        <vertAlign val="subscript"/>
        <sz val="11"/>
        <rFont val="宋体"/>
        <charset val="134"/>
      </rPr>
      <t>01</t>
    </r>
    <r>
      <rPr>
        <sz val="11"/>
        <rFont val="宋体"/>
        <charset val="134"/>
      </rPr>
      <t>=</t>
    </r>
  </si>
  <si>
    <r>
      <rPr>
        <sz val="11"/>
        <rFont val="宋体"/>
        <charset val="134"/>
      </rPr>
      <t>换算截面重心至受拉边缘的距离y</t>
    </r>
    <r>
      <rPr>
        <vertAlign val="subscript"/>
        <sz val="11"/>
        <rFont val="宋体"/>
        <charset val="134"/>
      </rPr>
      <t>02</t>
    </r>
    <r>
      <rPr>
        <sz val="11"/>
        <rFont val="宋体"/>
        <charset val="134"/>
      </rPr>
      <t>=h-y</t>
    </r>
    <r>
      <rPr>
        <vertAlign val="subscript"/>
        <sz val="11"/>
        <rFont val="宋体"/>
        <charset val="134"/>
      </rPr>
      <t>01</t>
    </r>
    <r>
      <rPr>
        <sz val="11"/>
        <rFont val="宋体"/>
        <charset val="134"/>
      </rPr>
      <t>=</t>
    </r>
  </si>
  <si>
    <r>
      <rPr>
        <sz val="11"/>
        <rFont val="黑体"/>
        <charset val="134"/>
      </rPr>
      <t>换算截面的惯性矩I</t>
    </r>
    <r>
      <rPr>
        <vertAlign val="subscript"/>
        <sz val="11"/>
        <rFont val="宋体"/>
        <charset val="134"/>
      </rPr>
      <t>0</t>
    </r>
    <r>
      <rPr>
        <sz val="11"/>
        <rFont val="宋体"/>
        <charset val="134"/>
      </rPr>
      <t>:</t>
    </r>
  </si>
  <si>
    <r>
      <rPr>
        <sz val="11"/>
        <rFont val="宋体"/>
        <charset val="134"/>
      </rPr>
      <t>I</t>
    </r>
    <r>
      <rPr>
        <vertAlign val="subscript"/>
        <sz val="11"/>
        <rFont val="宋体"/>
        <charset val="134"/>
      </rPr>
      <t>0</t>
    </r>
    <r>
      <rPr>
        <sz val="11"/>
        <rFont val="宋体"/>
        <charset val="134"/>
      </rPr>
      <t>=</t>
    </r>
  </si>
  <si>
    <r>
      <rPr>
        <sz val="11"/>
        <color theme="1"/>
        <rFont val="宋体"/>
        <charset val="134"/>
      </rPr>
      <t>α</t>
    </r>
    <r>
      <rPr>
        <sz val="11"/>
        <color theme="1"/>
        <rFont val="宋体"/>
        <charset val="134"/>
        <scheme val="minor"/>
      </rPr>
      <t>'</t>
    </r>
    <r>
      <rPr>
        <vertAlign val="subscript"/>
        <sz val="11"/>
        <color theme="1"/>
        <rFont val="宋体"/>
        <charset val="134"/>
        <scheme val="minor"/>
      </rPr>
      <t>e</t>
    </r>
    <r>
      <rPr>
        <sz val="11"/>
        <color theme="1"/>
        <rFont val="宋体"/>
        <charset val="134"/>
        <scheme val="minor"/>
      </rPr>
      <t>即</t>
    </r>
    <r>
      <rPr>
        <sz val="11"/>
        <color theme="1"/>
        <rFont val="宋体"/>
        <charset val="134"/>
      </rPr>
      <t>α’</t>
    </r>
    <r>
      <rPr>
        <vertAlign val="subscript"/>
        <sz val="11"/>
        <color theme="1"/>
        <rFont val="宋体"/>
        <charset val="134"/>
      </rPr>
      <t>p</t>
    </r>
  </si>
  <si>
    <r>
      <rPr>
        <sz val="11"/>
        <rFont val="宋体"/>
        <charset val="134"/>
      </rPr>
      <t>换算截面受拉边缘的弹性抵抗矩W</t>
    </r>
    <r>
      <rPr>
        <vertAlign val="subscript"/>
        <sz val="11"/>
        <rFont val="宋体"/>
        <charset val="134"/>
      </rPr>
      <t>0</t>
    </r>
    <r>
      <rPr>
        <sz val="11"/>
        <rFont val="宋体"/>
        <charset val="134"/>
      </rPr>
      <t>=I</t>
    </r>
    <r>
      <rPr>
        <vertAlign val="subscript"/>
        <sz val="11"/>
        <rFont val="宋体"/>
        <charset val="134"/>
      </rPr>
      <t>0</t>
    </r>
    <r>
      <rPr>
        <sz val="11"/>
        <rFont val="宋体"/>
        <charset val="134"/>
      </rPr>
      <t>/y</t>
    </r>
    <r>
      <rPr>
        <vertAlign val="subscript"/>
        <sz val="11"/>
        <rFont val="宋体"/>
        <charset val="134"/>
      </rPr>
      <t>o2</t>
    </r>
    <r>
      <rPr>
        <sz val="11"/>
        <rFont val="宋体"/>
        <charset val="134"/>
      </rPr>
      <t>=</t>
    </r>
  </si>
  <si>
    <r>
      <rPr>
        <sz val="11"/>
        <color theme="1"/>
        <rFont val="宋体"/>
        <charset val="134"/>
        <scheme val="minor"/>
      </rPr>
      <t>mm</t>
    </r>
    <r>
      <rPr>
        <vertAlign val="superscript"/>
        <sz val="11"/>
        <color theme="1"/>
        <rFont val="宋体"/>
        <charset val="134"/>
        <scheme val="minor"/>
      </rPr>
      <t>3</t>
    </r>
  </si>
  <si>
    <r>
      <rPr>
        <sz val="11"/>
        <rFont val="宋体"/>
        <charset val="134"/>
      </rPr>
      <t>换算截面受压边缘的弹性抵抗矩W</t>
    </r>
    <r>
      <rPr>
        <vertAlign val="subscript"/>
        <sz val="11"/>
        <rFont val="宋体"/>
        <charset val="134"/>
      </rPr>
      <t>01</t>
    </r>
    <r>
      <rPr>
        <sz val="11"/>
        <rFont val="宋体"/>
        <charset val="134"/>
      </rPr>
      <t>=I</t>
    </r>
    <r>
      <rPr>
        <vertAlign val="subscript"/>
        <sz val="11"/>
        <rFont val="宋体"/>
        <charset val="134"/>
      </rPr>
      <t>0</t>
    </r>
    <r>
      <rPr>
        <sz val="11"/>
        <rFont val="宋体"/>
        <charset val="134"/>
      </rPr>
      <t>/y</t>
    </r>
    <r>
      <rPr>
        <vertAlign val="subscript"/>
        <sz val="11"/>
        <rFont val="宋体"/>
        <charset val="134"/>
      </rPr>
      <t>o1</t>
    </r>
    <r>
      <rPr>
        <sz val="11"/>
        <rFont val="宋体"/>
        <charset val="134"/>
      </rPr>
      <t>=</t>
    </r>
  </si>
  <si>
    <t>预应力钢筋的张拉控制应力及应力损失值计算</t>
  </si>
  <si>
    <r>
      <rPr>
        <sz val="11"/>
        <rFont val="宋体"/>
        <charset val="134"/>
      </rPr>
      <t xml:space="preserve">    《水工混凝土结构设计规范》（SL 191-2008）8.1条规定：</t>
    </r>
    <r>
      <rPr>
        <sz val="11"/>
        <color rgb="FFFF0000"/>
        <rFont val="宋体"/>
        <charset val="134"/>
      </rPr>
      <t>后张法预应力钢筋</t>
    </r>
    <r>
      <rPr>
        <sz val="11"/>
        <rFont val="宋体"/>
        <charset val="134"/>
      </rPr>
      <t>的张拉控制应力值σ</t>
    </r>
    <r>
      <rPr>
        <vertAlign val="subscript"/>
        <sz val="11"/>
        <rFont val="宋体"/>
        <charset val="134"/>
      </rPr>
      <t>con</t>
    </r>
    <r>
      <rPr>
        <sz val="11"/>
        <rFont val="宋体"/>
        <charset val="134"/>
      </rPr>
      <t>不应小于0.4f</t>
    </r>
    <r>
      <rPr>
        <vertAlign val="subscript"/>
        <sz val="11"/>
        <rFont val="宋体"/>
        <charset val="134"/>
      </rPr>
      <t>ptk</t>
    </r>
    <r>
      <rPr>
        <sz val="11"/>
        <rFont val="宋体"/>
        <charset val="134"/>
      </rPr>
      <t>,且不宜超过0.75f</t>
    </r>
    <r>
      <rPr>
        <vertAlign val="subscript"/>
        <sz val="11"/>
        <rFont val="宋体"/>
        <charset val="134"/>
      </rPr>
      <t>ptk</t>
    </r>
  </si>
  <si>
    <r>
      <rPr>
        <sz val="11"/>
        <rFont val="宋体"/>
        <charset val="134"/>
      </rPr>
      <t>张拉控制应力值σ</t>
    </r>
    <r>
      <rPr>
        <vertAlign val="subscript"/>
        <sz val="11"/>
        <rFont val="宋体"/>
        <charset val="134"/>
      </rPr>
      <t>con</t>
    </r>
    <r>
      <rPr>
        <sz val="11"/>
        <rFont val="宋体"/>
        <charset val="134"/>
      </rPr>
      <t>=0.7f</t>
    </r>
    <r>
      <rPr>
        <vertAlign val="subscript"/>
        <sz val="11"/>
        <rFont val="宋体"/>
        <charset val="134"/>
      </rPr>
      <t>ptk</t>
    </r>
    <r>
      <rPr>
        <sz val="11"/>
        <rFont val="宋体"/>
        <charset val="134"/>
      </rPr>
      <t>=</t>
    </r>
  </si>
  <si>
    <t>后张法预应力钢筋张拉应力损失的原因有：</t>
  </si>
  <si>
    <t>张拉端锚具变形和钢筋内缩σl1</t>
  </si>
  <si>
    <t>预应力钢筋的摩擦σl2</t>
  </si>
  <si>
    <t>预应力钢筋的应力松驰σl4</t>
  </si>
  <si>
    <t>砼收缩和徐变σl5</t>
  </si>
  <si>
    <t>锚具变形和钢筋内缩值a=</t>
  </si>
  <si>
    <r>
      <rPr>
        <sz val="12"/>
        <rFont val="宋体"/>
        <charset val="134"/>
      </rPr>
      <t>m</t>
    </r>
    <r>
      <rPr>
        <sz val="12"/>
        <rFont val="宋体"/>
        <charset val="134"/>
      </rPr>
      <t>m</t>
    </r>
  </si>
  <si>
    <t>张拉端和锚固端之间的距离l=</t>
  </si>
  <si>
    <r>
      <rPr>
        <sz val="12"/>
        <rFont val="宋体"/>
        <charset val="134"/>
      </rPr>
      <t>锚具变形损失σ</t>
    </r>
    <r>
      <rPr>
        <vertAlign val="subscript"/>
        <sz val="12"/>
        <rFont val="宋体"/>
        <charset val="134"/>
      </rPr>
      <t>l1</t>
    </r>
    <r>
      <rPr>
        <sz val="12"/>
        <rFont val="宋体"/>
        <charset val="134"/>
      </rPr>
      <t>=</t>
    </r>
  </si>
  <si>
    <t>预应力钢筋与孔道壁之间的摩檫系数μ=</t>
  </si>
  <si>
    <t>从张拉端至计算截面曲线孔道切线夹角θ=</t>
  </si>
  <si>
    <t>孔道每米长度局部偏差摩擦系数κ=</t>
  </si>
  <si>
    <t>张拉端到计算截面的孔道长度x=</t>
  </si>
  <si>
    <r>
      <rPr>
        <sz val="11"/>
        <color theme="1"/>
        <rFont val="宋体"/>
        <charset val="134"/>
        <scheme val="minor"/>
      </rPr>
      <t>μθ+κx</t>
    </r>
    <r>
      <rPr>
        <sz val="11"/>
        <color theme="1"/>
        <rFont val="宋体"/>
        <charset val="134"/>
      </rPr>
      <t>≤</t>
    </r>
    <r>
      <rPr>
        <sz val="11"/>
        <color theme="1"/>
        <rFont val="宋体"/>
        <charset val="134"/>
      </rPr>
      <t>0.2,则</t>
    </r>
  </si>
  <si>
    <r>
      <rPr>
        <sz val="11"/>
        <color theme="1"/>
        <rFont val="宋体"/>
        <charset val="134"/>
        <scheme val="minor"/>
      </rPr>
      <t>预应力筋与孔道壁摩擦引起的损失σ</t>
    </r>
    <r>
      <rPr>
        <vertAlign val="subscript"/>
        <sz val="11"/>
        <color theme="1"/>
        <rFont val="宋体"/>
        <charset val="134"/>
        <scheme val="minor"/>
      </rPr>
      <t>l2</t>
    </r>
    <r>
      <rPr>
        <sz val="11"/>
        <color theme="1"/>
        <rFont val="宋体"/>
        <charset val="134"/>
        <scheme val="minor"/>
      </rPr>
      <t>=</t>
    </r>
  </si>
  <si>
    <r>
      <rPr>
        <sz val="11"/>
        <color theme="1"/>
        <rFont val="宋体"/>
        <charset val="134"/>
        <scheme val="minor"/>
      </rPr>
      <t>钢筋的线膨胀系数</t>
    </r>
    <r>
      <rPr>
        <sz val="11"/>
        <color theme="1"/>
        <rFont val="宋体"/>
        <charset val="134"/>
      </rPr>
      <t>α=</t>
    </r>
  </si>
  <si>
    <t>/℃</t>
  </si>
  <si>
    <t>预应力钢筋雨台座间的温差△t=</t>
  </si>
  <si>
    <t>℃</t>
  </si>
  <si>
    <r>
      <rPr>
        <sz val="11"/>
        <color theme="1"/>
        <rFont val="宋体"/>
        <charset val="134"/>
        <scheme val="minor"/>
      </rPr>
      <t>预应力筋与台座温差引起的损失σ</t>
    </r>
    <r>
      <rPr>
        <vertAlign val="subscript"/>
        <sz val="11"/>
        <color theme="1"/>
        <rFont val="宋体"/>
        <charset val="134"/>
        <scheme val="minor"/>
      </rPr>
      <t>l3</t>
    </r>
    <r>
      <rPr>
        <sz val="11"/>
        <color theme="1"/>
        <rFont val="宋体"/>
        <charset val="134"/>
        <scheme val="minor"/>
      </rPr>
      <t>=</t>
    </r>
  </si>
  <si>
    <r>
      <rPr>
        <sz val="12"/>
        <rFont val="宋体"/>
        <charset val="134"/>
      </rPr>
      <t>预应力钢筋应力松弛损失σ</t>
    </r>
    <r>
      <rPr>
        <vertAlign val="subscript"/>
        <sz val="12"/>
        <rFont val="宋体"/>
        <charset val="134"/>
      </rPr>
      <t>l4</t>
    </r>
    <r>
      <rPr>
        <sz val="12"/>
        <rFont val="宋体"/>
        <charset val="134"/>
      </rPr>
      <t>=</t>
    </r>
  </si>
  <si>
    <t>一次张拉普通松弛，用0.4*；</t>
  </si>
  <si>
    <r>
      <rPr>
        <sz val="11"/>
        <rFont val="宋体"/>
        <charset val="134"/>
      </rPr>
      <t>混凝土收缩和徐变引起的预应力损失值σ</t>
    </r>
    <r>
      <rPr>
        <vertAlign val="subscript"/>
        <sz val="11"/>
        <rFont val="宋体"/>
        <charset val="134"/>
      </rPr>
      <t>L5</t>
    </r>
    <r>
      <rPr>
        <sz val="11"/>
        <rFont val="宋体"/>
        <charset val="134"/>
      </rPr>
      <t>：</t>
    </r>
  </si>
  <si>
    <t>一次张拉低松弛，用0.125*</t>
  </si>
  <si>
    <t>①</t>
  </si>
  <si>
    <r>
      <rPr>
        <sz val="11"/>
        <rFont val="宋体"/>
        <charset val="134"/>
      </rPr>
      <t>初拟σ</t>
    </r>
    <r>
      <rPr>
        <vertAlign val="superscript"/>
        <sz val="11"/>
        <rFont val="Times New Roman"/>
        <family val="1"/>
      </rPr>
      <t>'</t>
    </r>
    <r>
      <rPr>
        <vertAlign val="subscript"/>
        <sz val="11"/>
        <rFont val="宋体"/>
        <charset val="134"/>
      </rPr>
      <t>L5</t>
    </r>
    <r>
      <rPr>
        <sz val="11"/>
        <rFont val="宋体"/>
        <charset val="134"/>
      </rPr>
      <t>=</t>
    </r>
    <r>
      <rPr>
        <sz val="11"/>
        <rFont val="宋体"/>
        <charset val="134"/>
      </rPr>
      <t>σ</t>
    </r>
    <r>
      <rPr>
        <vertAlign val="subscript"/>
        <sz val="11"/>
        <rFont val="宋体"/>
        <charset val="134"/>
      </rPr>
      <t>L5</t>
    </r>
    <r>
      <rPr>
        <sz val="11"/>
        <rFont val="宋体"/>
        <charset val="134"/>
      </rPr>
      <t>=</t>
    </r>
  </si>
  <si>
    <t>仅计入第一批损失，后张法为1，2</t>
  </si>
  <si>
    <r>
      <rPr>
        <sz val="11"/>
        <rFont val="宋体"/>
        <charset val="134"/>
      </rPr>
      <t>预应力钢筋的有效应力σ</t>
    </r>
    <r>
      <rPr>
        <vertAlign val="subscript"/>
        <sz val="11"/>
        <rFont val="宋体"/>
        <charset val="134"/>
      </rPr>
      <t>pe</t>
    </r>
    <r>
      <rPr>
        <sz val="11"/>
        <rFont val="宋体"/>
        <charset val="134"/>
      </rPr>
      <t>=σ</t>
    </r>
    <r>
      <rPr>
        <vertAlign val="subscript"/>
        <sz val="11"/>
        <rFont val="宋体"/>
        <charset val="134"/>
      </rPr>
      <t>con</t>
    </r>
    <r>
      <rPr>
        <sz val="11"/>
        <rFont val="宋体"/>
        <charset val="134"/>
      </rPr>
      <t>-σ</t>
    </r>
    <r>
      <rPr>
        <vertAlign val="subscript"/>
        <sz val="11"/>
        <rFont val="宋体"/>
        <charset val="134"/>
      </rPr>
      <t>l1</t>
    </r>
    <r>
      <rPr>
        <sz val="11"/>
        <rFont val="宋体"/>
        <charset val="134"/>
      </rPr>
      <t>-σ</t>
    </r>
    <r>
      <rPr>
        <vertAlign val="subscript"/>
        <sz val="11"/>
        <rFont val="宋体"/>
        <charset val="134"/>
      </rPr>
      <t>l2</t>
    </r>
    <r>
      <rPr>
        <sz val="11"/>
        <rFont val="宋体"/>
        <charset val="134"/>
      </rPr>
      <t>=</t>
    </r>
  </si>
  <si>
    <r>
      <rPr>
        <sz val="11"/>
        <color theme="1"/>
        <rFont val="宋体"/>
        <charset val="134"/>
        <scheme val="minor"/>
      </rPr>
      <t>σ</t>
    </r>
    <r>
      <rPr>
        <sz val="11"/>
        <color theme="1"/>
        <rFont val="宋体"/>
        <charset val="134"/>
        <scheme val="minor"/>
      </rPr>
      <t>'</t>
    </r>
    <r>
      <rPr>
        <vertAlign val="subscript"/>
        <sz val="11"/>
        <color theme="1"/>
        <rFont val="宋体"/>
        <charset val="134"/>
        <scheme val="minor"/>
      </rPr>
      <t>L5</t>
    </r>
    <r>
      <rPr>
        <sz val="11"/>
        <color theme="1"/>
        <rFont val="宋体"/>
        <charset val="134"/>
        <scheme val="minor"/>
      </rPr>
      <t>、</t>
    </r>
    <r>
      <rPr>
        <sz val="11"/>
        <color theme="1"/>
        <rFont val="宋体"/>
        <charset val="134"/>
        <scheme val="minor"/>
      </rPr>
      <t>σ</t>
    </r>
    <r>
      <rPr>
        <vertAlign val="subscript"/>
        <sz val="11"/>
        <color theme="1"/>
        <rFont val="宋体"/>
        <charset val="134"/>
        <scheme val="minor"/>
      </rPr>
      <t>L5</t>
    </r>
    <r>
      <rPr>
        <sz val="11"/>
        <color theme="1"/>
        <rFont val="宋体"/>
        <charset val="134"/>
        <scheme val="minor"/>
      </rPr>
      <t>取0（不论先张后张）</t>
    </r>
  </si>
  <si>
    <r>
      <rPr>
        <sz val="11"/>
        <rFont val="宋体"/>
        <charset val="134"/>
      </rPr>
      <t>预应力钢筋及非预应力钢筋的合力N</t>
    </r>
    <r>
      <rPr>
        <vertAlign val="subscript"/>
        <sz val="11"/>
        <rFont val="宋体"/>
        <charset val="134"/>
      </rPr>
      <t>P</t>
    </r>
    <r>
      <rPr>
        <sz val="11"/>
        <rFont val="宋体"/>
        <charset val="134"/>
      </rPr>
      <t>:</t>
    </r>
  </si>
  <si>
    <r>
      <rPr>
        <sz val="11"/>
        <color theme="1"/>
        <rFont val="宋体"/>
        <charset val="134"/>
        <scheme val="minor"/>
      </rPr>
      <t>N</t>
    </r>
    <r>
      <rPr>
        <vertAlign val="subscript"/>
        <sz val="11"/>
        <color theme="1"/>
        <rFont val="宋体"/>
        <charset val="134"/>
        <scheme val="minor"/>
      </rPr>
      <t>P</t>
    </r>
    <r>
      <rPr>
        <sz val="11"/>
        <color theme="1"/>
        <rFont val="宋体"/>
        <charset val="134"/>
        <scheme val="minor"/>
      </rPr>
      <t>=</t>
    </r>
  </si>
  <si>
    <r>
      <rPr>
        <sz val="10"/>
        <rFont val="宋体"/>
        <charset val="134"/>
      </rPr>
      <t>受拉区预应力合力点至净截面重心的距离y</t>
    </r>
    <r>
      <rPr>
        <vertAlign val="subscript"/>
        <sz val="10"/>
        <rFont val="宋体"/>
        <charset val="134"/>
      </rPr>
      <t>pn</t>
    </r>
    <r>
      <rPr>
        <sz val="10"/>
        <rFont val="宋体"/>
        <charset val="134"/>
      </rPr>
      <t>=y</t>
    </r>
    <r>
      <rPr>
        <vertAlign val="subscript"/>
        <sz val="10"/>
        <rFont val="宋体"/>
        <charset val="134"/>
      </rPr>
      <t>n2</t>
    </r>
    <r>
      <rPr>
        <sz val="10"/>
        <rFont val="宋体"/>
        <charset val="134"/>
      </rPr>
      <t>-a</t>
    </r>
    <r>
      <rPr>
        <vertAlign val="subscript"/>
        <sz val="10"/>
        <rFont val="宋体"/>
        <charset val="134"/>
      </rPr>
      <t>p</t>
    </r>
    <r>
      <rPr>
        <sz val="10"/>
        <rFont val="宋体"/>
        <charset val="134"/>
      </rPr>
      <t>=</t>
    </r>
  </si>
  <si>
    <r>
      <rPr>
        <sz val="10"/>
        <rFont val="宋体"/>
        <charset val="134"/>
      </rPr>
      <t>受压区预应力合力点至净截面重心的距离y</t>
    </r>
    <r>
      <rPr>
        <sz val="10"/>
        <rFont val="Times New Roman"/>
        <family val="1"/>
      </rPr>
      <t>'</t>
    </r>
    <r>
      <rPr>
        <vertAlign val="subscript"/>
        <sz val="10"/>
        <rFont val="宋体"/>
        <charset val="134"/>
      </rPr>
      <t>pn</t>
    </r>
    <r>
      <rPr>
        <sz val="10"/>
        <rFont val="宋体"/>
        <charset val="134"/>
      </rPr>
      <t>=y</t>
    </r>
    <r>
      <rPr>
        <vertAlign val="subscript"/>
        <sz val="10"/>
        <rFont val="宋体"/>
        <charset val="134"/>
      </rPr>
      <t>n1</t>
    </r>
    <r>
      <rPr>
        <sz val="10"/>
        <rFont val="宋体"/>
        <charset val="134"/>
      </rPr>
      <t>-a</t>
    </r>
    <r>
      <rPr>
        <sz val="10"/>
        <rFont val="Times New Roman"/>
        <family val="1"/>
      </rPr>
      <t>'</t>
    </r>
    <r>
      <rPr>
        <vertAlign val="subscript"/>
        <sz val="10"/>
        <rFont val="宋体"/>
        <charset val="134"/>
      </rPr>
      <t>p</t>
    </r>
    <r>
      <rPr>
        <sz val="10"/>
        <rFont val="宋体"/>
        <charset val="134"/>
      </rPr>
      <t>=</t>
    </r>
  </si>
  <si>
    <r>
      <rPr>
        <sz val="10"/>
        <rFont val="宋体"/>
        <charset val="134"/>
      </rPr>
      <t>受拉区非预应力合力点至净截面重心的距离y</t>
    </r>
    <r>
      <rPr>
        <vertAlign val="subscript"/>
        <sz val="10"/>
        <rFont val="宋体"/>
        <charset val="134"/>
      </rPr>
      <t>sn</t>
    </r>
    <r>
      <rPr>
        <sz val="10"/>
        <rFont val="宋体"/>
        <charset val="134"/>
      </rPr>
      <t>=y</t>
    </r>
    <r>
      <rPr>
        <vertAlign val="subscript"/>
        <sz val="10"/>
        <rFont val="宋体"/>
        <charset val="134"/>
      </rPr>
      <t>n2</t>
    </r>
    <r>
      <rPr>
        <sz val="10"/>
        <rFont val="宋体"/>
        <charset val="134"/>
      </rPr>
      <t>-a</t>
    </r>
    <r>
      <rPr>
        <vertAlign val="subscript"/>
        <sz val="10"/>
        <rFont val="宋体"/>
        <charset val="134"/>
      </rPr>
      <t>s</t>
    </r>
    <r>
      <rPr>
        <sz val="10"/>
        <rFont val="宋体"/>
        <charset val="134"/>
      </rPr>
      <t>=</t>
    </r>
  </si>
  <si>
    <r>
      <rPr>
        <sz val="10"/>
        <rFont val="宋体"/>
        <charset val="134"/>
      </rPr>
      <t>受压区非预应力合力点至净截面重心的距离y</t>
    </r>
    <r>
      <rPr>
        <sz val="10"/>
        <rFont val="Times New Roman"/>
        <family val="1"/>
      </rPr>
      <t>'</t>
    </r>
    <r>
      <rPr>
        <vertAlign val="subscript"/>
        <sz val="10"/>
        <rFont val="Times New Roman"/>
        <family val="1"/>
      </rPr>
      <t>s</t>
    </r>
    <r>
      <rPr>
        <vertAlign val="subscript"/>
        <sz val="10"/>
        <rFont val="宋体"/>
        <charset val="134"/>
      </rPr>
      <t>n</t>
    </r>
    <r>
      <rPr>
        <sz val="10"/>
        <rFont val="宋体"/>
        <charset val="134"/>
      </rPr>
      <t>=y</t>
    </r>
    <r>
      <rPr>
        <vertAlign val="subscript"/>
        <sz val="10"/>
        <rFont val="宋体"/>
        <charset val="134"/>
      </rPr>
      <t>n1</t>
    </r>
    <r>
      <rPr>
        <sz val="10"/>
        <rFont val="宋体"/>
        <charset val="134"/>
      </rPr>
      <t>-a</t>
    </r>
    <r>
      <rPr>
        <sz val="10"/>
        <rFont val="Times New Roman"/>
        <family val="1"/>
      </rPr>
      <t>'</t>
    </r>
    <r>
      <rPr>
        <vertAlign val="subscript"/>
        <sz val="10"/>
        <rFont val="Times New Roman"/>
        <family val="1"/>
      </rPr>
      <t>s</t>
    </r>
    <r>
      <rPr>
        <sz val="10"/>
        <rFont val="宋体"/>
        <charset val="134"/>
      </rPr>
      <t>=</t>
    </r>
  </si>
  <si>
    <r>
      <rPr>
        <sz val="11"/>
        <rFont val="宋体"/>
        <charset val="134"/>
      </rPr>
      <t>预应力钢筋及非预应力钢筋的合力点的偏心矩e</t>
    </r>
    <r>
      <rPr>
        <vertAlign val="subscript"/>
        <sz val="11"/>
        <rFont val="宋体"/>
        <charset val="134"/>
      </rPr>
      <t>pn</t>
    </r>
    <r>
      <rPr>
        <sz val="11"/>
        <rFont val="宋体"/>
        <charset val="134"/>
      </rPr>
      <t>:</t>
    </r>
  </si>
  <si>
    <r>
      <rPr>
        <sz val="11"/>
        <color theme="1"/>
        <rFont val="宋体"/>
        <charset val="134"/>
        <scheme val="minor"/>
      </rPr>
      <t>e</t>
    </r>
    <r>
      <rPr>
        <vertAlign val="subscript"/>
        <sz val="11"/>
        <color theme="1"/>
        <rFont val="宋体"/>
        <charset val="134"/>
        <scheme val="minor"/>
      </rPr>
      <t>pn</t>
    </r>
    <r>
      <rPr>
        <sz val="11"/>
        <color theme="1"/>
        <rFont val="宋体"/>
        <charset val="134"/>
        <scheme val="minor"/>
      </rPr>
      <t>=</t>
    </r>
  </si>
  <si>
    <r>
      <rPr>
        <sz val="11"/>
        <rFont val="宋体"/>
        <charset val="134"/>
      </rPr>
      <t>预加力在受拉区产生的混凝土法向压应力σ</t>
    </r>
    <r>
      <rPr>
        <vertAlign val="subscript"/>
        <sz val="11"/>
        <rFont val="宋体"/>
        <charset val="134"/>
      </rPr>
      <t>pc</t>
    </r>
    <r>
      <rPr>
        <sz val="11"/>
        <rFont val="宋体"/>
        <charset val="134"/>
      </rPr>
      <t>:</t>
    </r>
  </si>
  <si>
    <r>
      <rPr>
        <sz val="11"/>
        <rFont val="宋体"/>
        <charset val="134"/>
      </rPr>
      <t>y</t>
    </r>
    <r>
      <rPr>
        <vertAlign val="subscript"/>
        <sz val="11"/>
        <rFont val="宋体"/>
        <charset val="134"/>
      </rPr>
      <t>n</t>
    </r>
    <r>
      <rPr>
        <sz val="11"/>
        <rFont val="宋体"/>
        <charset val="134"/>
      </rPr>
      <t>=y</t>
    </r>
    <r>
      <rPr>
        <vertAlign val="subscript"/>
        <sz val="11"/>
        <rFont val="宋体"/>
        <charset val="134"/>
      </rPr>
      <t>pn</t>
    </r>
    <r>
      <rPr>
        <sz val="11"/>
        <rFont val="宋体"/>
        <charset val="134"/>
      </rPr>
      <t>=</t>
    </r>
  </si>
  <si>
    <r>
      <rPr>
        <sz val="11"/>
        <color theme="1"/>
        <rFont val="宋体"/>
        <charset val="134"/>
        <scheme val="minor"/>
      </rPr>
      <t>σ</t>
    </r>
    <r>
      <rPr>
        <vertAlign val="subscript"/>
        <sz val="11"/>
        <color theme="1"/>
        <rFont val="宋体"/>
        <charset val="134"/>
        <scheme val="minor"/>
      </rPr>
      <t>pc</t>
    </r>
    <r>
      <rPr>
        <sz val="11"/>
        <color theme="1"/>
        <rFont val="宋体"/>
        <charset val="134"/>
        <scheme val="minor"/>
      </rPr>
      <t>=</t>
    </r>
  </si>
  <si>
    <r>
      <rPr>
        <sz val="11"/>
        <rFont val="宋体"/>
        <charset val="134"/>
      </rPr>
      <t>受压区预应力钢筋合力处的混凝土法向压应力σ</t>
    </r>
    <r>
      <rPr>
        <sz val="11"/>
        <rFont val="Times New Roman"/>
        <family val="1"/>
      </rPr>
      <t>'</t>
    </r>
    <r>
      <rPr>
        <vertAlign val="subscript"/>
        <sz val="11"/>
        <rFont val="宋体"/>
        <charset val="134"/>
      </rPr>
      <t>pc</t>
    </r>
    <r>
      <rPr>
        <sz val="11"/>
        <rFont val="宋体"/>
        <charset val="134"/>
      </rPr>
      <t>:</t>
    </r>
  </si>
  <si>
    <r>
      <rPr>
        <sz val="11"/>
        <rFont val="宋体"/>
        <charset val="134"/>
      </rPr>
      <t>y</t>
    </r>
    <r>
      <rPr>
        <sz val="11"/>
        <rFont val="Times New Roman"/>
        <family val="1"/>
      </rPr>
      <t>'</t>
    </r>
    <r>
      <rPr>
        <vertAlign val="subscript"/>
        <sz val="11"/>
        <rFont val="宋体"/>
        <charset val="134"/>
      </rPr>
      <t>n</t>
    </r>
    <r>
      <rPr>
        <sz val="11"/>
        <rFont val="宋体"/>
        <charset val="134"/>
      </rPr>
      <t>=y</t>
    </r>
    <r>
      <rPr>
        <vertAlign val="subscript"/>
        <sz val="11"/>
        <rFont val="宋体"/>
        <charset val="134"/>
      </rPr>
      <t>'pn</t>
    </r>
    <r>
      <rPr>
        <sz val="11"/>
        <rFont val="宋体"/>
        <charset val="134"/>
      </rPr>
      <t>=</t>
    </r>
  </si>
  <si>
    <r>
      <rPr>
        <sz val="11"/>
        <color theme="1"/>
        <rFont val="宋体"/>
        <charset val="134"/>
        <scheme val="minor"/>
      </rPr>
      <t>σ'</t>
    </r>
    <r>
      <rPr>
        <vertAlign val="subscript"/>
        <sz val="11"/>
        <color theme="1"/>
        <rFont val="宋体"/>
        <charset val="134"/>
        <scheme val="minor"/>
      </rPr>
      <t>pcs</t>
    </r>
    <r>
      <rPr>
        <sz val="11"/>
        <color theme="1"/>
        <rFont val="宋体"/>
        <charset val="134"/>
        <scheme val="minor"/>
      </rPr>
      <t>=</t>
    </r>
  </si>
  <si>
    <r>
      <rPr>
        <sz val="11"/>
        <color theme="1"/>
        <rFont val="宋体"/>
        <charset val="134"/>
        <scheme val="minor"/>
      </rPr>
      <t>σ'</t>
    </r>
    <r>
      <rPr>
        <vertAlign val="subscript"/>
        <sz val="11"/>
        <color theme="1"/>
        <rFont val="宋体"/>
        <charset val="134"/>
        <scheme val="minor"/>
      </rPr>
      <t>pc</t>
    </r>
    <r>
      <rPr>
        <sz val="11"/>
        <color theme="1"/>
        <rFont val="宋体"/>
        <charset val="134"/>
        <scheme val="minor"/>
      </rPr>
      <t>=</t>
    </r>
  </si>
  <si>
    <r>
      <rPr>
        <sz val="11"/>
        <color theme="1"/>
        <rFont val="宋体"/>
        <charset val="134"/>
        <scheme val="minor"/>
      </rPr>
      <t>根据是否有A'</t>
    </r>
    <r>
      <rPr>
        <vertAlign val="subscript"/>
        <sz val="11"/>
        <color theme="1"/>
        <rFont val="宋体"/>
        <charset val="134"/>
        <scheme val="minor"/>
      </rPr>
      <t>S</t>
    </r>
    <r>
      <rPr>
        <sz val="11"/>
        <color theme="1"/>
        <rFont val="宋体"/>
        <charset val="134"/>
        <scheme val="minor"/>
      </rPr>
      <t>、A’</t>
    </r>
    <r>
      <rPr>
        <vertAlign val="subscript"/>
        <sz val="11"/>
        <color theme="1"/>
        <rFont val="宋体"/>
        <charset val="134"/>
        <scheme val="minor"/>
      </rPr>
      <t>p</t>
    </r>
    <r>
      <rPr>
        <sz val="11"/>
        <color theme="1"/>
        <rFont val="宋体"/>
        <charset val="134"/>
        <scheme val="minor"/>
      </rPr>
      <t>即A’</t>
    </r>
    <r>
      <rPr>
        <vertAlign val="subscript"/>
        <sz val="11"/>
        <color theme="1"/>
        <rFont val="宋体"/>
        <charset val="134"/>
        <scheme val="minor"/>
      </rPr>
      <t>k</t>
    </r>
    <r>
      <rPr>
        <sz val="11"/>
        <color theme="1"/>
        <rFont val="宋体"/>
        <charset val="134"/>
        <scheme val="minor"/>
      </rPr>
      <t>决定如何输入公式，</t>
    </r>
  </si>
  <si>
    <r>
      <rPr>
        <sz val="11"/>
        <rFont val="宋体"/>
        <charset val="134"/>
      </rPr>
      <t>混凝土收缩和徐变引起的受拉、受压区纵向预应力损失值σ</t>
    </r>
    <r>
      <rPr>
        <vertAlign val="subscript"/>
        <sz val="11"/>
        <rFont val="宋体"/>
        <charset val="134"/>
      </rPr>
      <t>L5、</t>
    </r>
    <r>
      <rPr>
        <sz val="11"/>
        <rFont val="宋体"/>
        <charset val="134"/>
      </rPr>
      <t>σ</t>
    </r>
    <r>
      <rPr>
        <sz val="11"/>
        <rFont val="Times New Roman"/>
        <family val="1"/>
      </rPr>
      <t>'</t>
    </r>
    <r>
      <rPr>
        <vertAlign val="subscript"/>
        <sz val="11"/>
        <rFont val="宋体"/>
        <charset val="134"/>
      </rPr>
      <t>L5</t>
    </r>
  </si>
  <si>
    <t>A'S、A’p无，则为0，为负值，也取0</t>
  </si>
  <si>
    <t>受拉区预应力筋和非预应力筋的配筋率ρ=</t>
  </si>
  <si>
    <t>&gt;0.2%</t>
  </si>
  <si>
    <t>受压区预应力筋和非预应力筋的配筋率ρ’=</t>
  </si>
  <si>
    <t>②</t>
  </si>
  <si>
    <r>
      <rPr>
        <b/>
        <sz val="11"/>
        <color rgb="FF0000FF"/>
        <rFont val="宋体"/>
        <charset val="134"/>
      </rPr>
      <t>1.3σ</t>
    </r>
    <r>
      <rPr>
        <b/>
        <vertAlign val="subscript"/>
        <sz val="11"/>
        <color rgb="FF0000FF"/>
        <rFont val="宋体"/>
        <charset val="134"/>
      </rPr>
      <t>l5</t>
    </r>
    <r>
      <rPr>
        <b/>
        <sz val="11"/>
        <color rgb="FF0000FF"/>
        <rFont val="宋体"/>
        <charset val="134"/>
      </rPr>
      <t>=</t>
    </r>
  </si>
  <si>
    <t>当结构常年处于年平均相对湿度低于40%的环境下，σl5及σ'l5增加30%</t>
  </si>
  <si>
    <r>
      <rPr>
        <sz val="11"/>
        <rFont val="宋体"/>
        <charset val="134"/>
      </rPr>
      <t>1.3σ'</t>
    </r>
    <r>
      <rPr>
        <vertAlign val="subscript"/>
        <sz val="11"/>
        <rFont val="宋体"/>
        <charset val="134"/>
      </rPr>
      <t>l5</t>
    </r>
    <r>
      <rPr>
        <sz val="11"/>
        <rFont val="宋体"/>
        <charset val="134"/>
      </rPr>
      <t>=</t>
    </r>
  </si>
  <si>
    <r>
      <rPr>
        <sz val="11"/>
        <color rgb="FF0000FF"/>
        <rFont val="宋体"/>
        <charset val="134"/>
        <scheme val="minor"/>
      </rPr>
      <t>贵州用的国外经验0.25</t>
    </r>
    <r>
      <rPr>
        <sz val="11"/>
        <color rgb="FF0000FF"/>
        <rFont val="宋体"/>
        <charset val="134"/>
      </rPr>
      <t>σ</t>
    </r>
    <r>
      <rPr>
        <vertAlign val="subscript"/>
        <sz val="11"/>
        <color rgb="FF0000FF"/>
        <rFont val="宋体"/>
        <charset val="134"/>
      </rPr>
      <t>con</t>
    </r>
    <r>
      <rPr>
        <sz val="11"/>
        <color rgb="FF0000FF"/>
        <rFont val="宋体"/>
        <charset val="134"/>
      </rPr>
      <t>？我没有</t>
    </r>
  </si>
  <si>
    <r>
      <rPr>
        <sz val="11"/>
        <rFont val="黑体"/>
        <charset val="134"/>
      </rPr>
      <t>根据计算出的σ</t>
    </r>
    <r>
      <rPr>
        <vertAlign val="subscript"/>
        <sz val="11"/>
        <rFont val="黑体"/>
        <charset val="134"/>
      </rPr>
      <t>l5</t>
    </r>
    <r>
      <rPr>
        <sz val="11"/>
        <rFont val="黑体"/>
        <charset val="134"/>
      </rPr>
      <t>重新计算σ</t>
    </r>
    <r>
      <rPr>
        <vertAlign val="subscript"/>
        <sz val="11"/>
        <rFont val="黑体"/>
        <charset val="134"/>
      </rPr>
      <t>pe</t>
    </r>
    <r>
      <rPr>
        <sz val="11"/>
        <rFont val="黑体"/>
        <charset val="134"/>
      </rPr>
      <t>、σ</t>
    </r>
    <r>
      <rPr>
        <vertAlign val="subscript"/>
        <sz val="11"/>
        <rFont val="黑体"/>
        <charset val="134"/>
      </rPr>
      <t>pc</t>
    </r>
    <r>
      <rPr>
        <sz val="11"/>
        <rFont val="黑体"/>
        <charset val="134"/>
      </rPr>
      <t>：</t>
    </r>
  </si>
  <si>
    <r>
      <rPr>
        <sz val="11"/>
        <rFont val="宋体"/>
        <charset val="134"/>
      </rPr>
      <t>预应力钢筋的有效应力σ</t>
    </r>
    <r>
      <rPr>
        <vertAlign val="superscript"/>
        <sz val="11"/>
        <rFont val="Times New Roman"/>
        <family val="1"/>
      </rPr>
      <t>'</t>
    </r>
    <r>
      <rPr>
        <vertAlign val="subscript"/>
        <sz val="11"/>
        <rFont val="宋体"/>
        <charset val="134"/>
      </rPr>
      <t>pe</t>
    </r>
    <r>
      <rPr>
        <sz val="11"/>
        <rFont val="宋体"/>
        <charset val="134"/>
      </rPr>
      <t>=σ</t>
    </r>
    <r>
      <rPr>
        <vertAlign val="subscript"/>
        <sz val="11"/>
        <rFont val="宋体"/>
        <charset val="134"/>
      </rPr>
      <t>pe</t>
    </r>
    <r>
      <rPr>
        <sz val="11"/>
        <rFont val="宋体"/>
        <charset val="134"/>
      </rPr>
      <t>=σ</t>
    </r>
    <r>
      <rPr>
        <vertAlign val="subscript"/>
        <sz val="11"/>
        <rFont val="宋体"/>
        <charset val="134"/>
      </rPr>
      <t>con</t>
    </r>
    <r>
      <rPr>
        <sz val="11"/>
        <rFont val="宋体"/>
        <charset val="134"/>
      </rPr>
      <t>-σ</t>
    </r>
    <r>
      <rPr>
        <vertAlign val="subscript"/>
        <sz val="11"/>
        <rFont val="宋体"/>
        <charset val="134"/>
      </rPr>
      <t>l</t>
    </r>
    <r>
      <rPr>
        <sz val="11"/>
        <rFont val="宋体"/>
        <charset val="134"/>
      </rPr>
      <t>=</t>
    </r>
  </si>
  <si>
    <r>
      <rPr>
        <sz val="11"/>
        <rFont val="宋体"/>
        <charset val="134"/>
      </rPr>
      <t>受拉区边缘处的混凝土法向压应力σ</t>
    </r>
    <r>
      <rPr>
        <vertAlign val="subscript"/>
        <sz val="11"/>
        <rFont val="宋体"/>
        <charset val="134"/>
      </rPr>
      <t>pc</t>
    </r>
    <r>
      <rPr>
        <sz val="11"/>
        <rFont val="宋体"/>
        <charset val="134"/>
      </rPr>
      <t>及受压区边缘处的混凝土法向应力σ'</t>
    </r>
    <r>
      <rPr>
        <vertAlign val="subscript"/>
        <sz val="11"/>
        <rFont val="宋体"/>
        <charset val="134"/>
      </rPr>
      <t>pc</t>
    </r>
    <r>
      <rPr>
        <sz val="11"/>
        <rFont val="宋体"/>
        <charset val="134"/>
      </rPr>
      <t>:</t>
    </r>
  </si>
  <si>
    <t>压应力</t>
  </si>
  <si>
    <t>计算受拉区预应力钢筋合力点处混凝土法向应力为零时的预应力钢筋应力：</t>
  </si>
  <si>
    <r>
      <rPr>
        <sz val="10"/>
        <rFont val="宋体"/>
        <charset val="134"/>
      </rPr>
      <t>受拉区预应力钢筋的有效应力σ</t>
    </r>
    <r>
      <rPr>
        <vertAlign val="subscript"/>
        <sz val="10"/>
        <rFont val="宋体"/>
        <charset val="134"/>
      </rPr>
      <t>p0</t>
    </r>
    <r>
      <rPr>
        <sz val="10"/>
        <rFont val="宋体"/>
        <charset val="134"/>
      </rPr>
      <t>=σ</t>
    </r>
    <r>
      <rPr>
        <vertAlign val="subscript"/>
        <sz val="10"/>
        <rFont val="宋体"/>
        <charset val="134"/>
      </rPr>
      <t>con</t>
    </r>
    <r>
      <rPr>
        <sz val="10"/>
        <rFont val="宋体"/>
        <charset val="134"/>
      </rPr>
      <t>-σ</t>
    </r>
    <r>
      <rPr>
        <vertAlign val="subscript"/>
        <sz val="10"/>
        <rFont val="宋体"/>
        <charset val="134"/>
      </rPr>
      <t>L</t>
    </r>
    <r>
      <rPr>
        <sz val="10"/>
        <rFont val="宋体"/>
        <charset val="134"/>
      </rPr>
      <t>+α</t>
    </r>
    <r>
      <rPr>
        <vertAlign val="superscript"/>
        <sz val="10"/>
        <rFont val="Times New Roman"/>
        <family val="1"/>
      </rPr>
      <t>'</t>
    </r>
    <r>
      <rPr>
        <vertAlign val="subscript"/>
        <sz val="10"/>
        <rFont val="Times New Roman"/>
        <family val="1"/>
      </rPr>
      <t>p</t>
    </r>
    <r>
      <rPr>
        <sz val="10"/>
        <rFont val="宋体"/>
        <charset val="134"/>
      </rPr>
      <t>σ</t>
    </r>
    <r>
      <rPr>
        <vertAlign val="subscript"/>
        <sz val="10"/>
        <rFont val="宋体"/>
        <charset val="134"/>
      </rPr>
      <t>pc</t>
    </r>
    <r>
      <rPr>
        <sz val="10"/>
        <rFont val="宋体"/>
        <charset val="134"/>
      </rPr>
      <t>=</t>
    </r>
  </si>
  <si>
    <r>
      <rPr>
        <sz val="10"/>
        <rFont val="宋体"/>
        <charset val="134"/>
      </rPr>
      <t>受压区预应力钢筋的有效应力σ</t>
    </r>
    <r>
      <rPr>
        <vertAlign val="superscript"/>
        <sz val="10"/>
        <rFont val="Times New Roman"/>
        <family val="1"/>
      </rPr>
      <t>'</t>
    </r>
    <r>
      <rPr>
        <vertAlign val="subscript"/>
        <sz val="10"/>
        <rFont val="宋体"/>
        <charset val="134"/>
      </rPr>
      <t>p0</t>
    </r>
    <r>
      <rPr>
        <sz val="10"/>
        <rFont val="宋体"/>
        <charset val="134"/>
      </rPr>
      <t>=σ</t>
    </r>
    <r>
      <rPr>
        <vertAlign val="subscript"/>
        <sz val="10"/>
        <rFont val="宋体"/>
        <charset val="134"/>
      </rPr>
      <t>con</t>
    </r>
    <r>
      <rPr>
        <sz val="10"/>
        <rFont val="宋体"/>
        <charset val="134"/>
      </rPr>
      <t>-σ</t>
    </r>
    <r>
      <rPr>
        <vertAlign val="subscript"/>
        <sz val="10"/>
        <rFont val="宋体"/>
        <charset val="134"/>
      </rPr>
      <t>L</t>
    </r>
    <r>
      <rPr>
        <sz val="10"/>
        <rFont val="宋体"/>
        <charset val="134"/>
      </rPr>
      <t>+α</t>
    </r>
    <r>
      <rPr>
        <vertAlign val="superscript"/>
        <sz val="10"/>
        <rFont val="Times New Roman"/>
        <family val="1"/>
      </rPr>
      <t>'</t>
    </r>
    <r>
      <rPr>
        <vertAlign val="subscript"/>
        <sz val="10"/>
        <rFont val="Times New Roman"/>
        <family val="1"/>
      </rPr>
      <t>p</t>
    </r>
    <r>
      <rPr>
        <sz val="10"/>
        <rFont val="宋体"/>
        <charset val="134"/>
      </rPr>
      <t>σ’</t>
    </r>
    <r>
      <rPr>
        <vertAlign val="subscript"/>
        <sz val="10"/>
        <rFont val="宋体"/>
        <charset val="134"/>
      </rPr>
      <t>pc</t>
    </r>
    <r>
      <rPr>
        <sz val="10"/>
        <rFont val="宋体"/>
        <charset val="134"/>
      </rPr>
      <t>=</t>
    </r>
  </si>
  <si>
    <t>配筋计算：</t>
  </si>
  <si>
    <r>
      <rPr>
        <sz val="11"/>
        <rFont val="宋体"/>
        <charset val="134"/>
      </rPr>
      <t>根据《水工混凝土结构设计规范》（SL 191-2008</t>
    </r>
    <r>
      <rPr>
        <sz val="11"/>
        <rFont val="宋体"/>
        <charset val="134"/>
      </rPr>
      <t>）</t>
    </r>
    <r>
      <rPr>
        <sz val="11"/>
        <rFont val="宋体"/>
        <charset val="134"/>
      </rPr>
      <t>8.3.2条，</t>
    </r>
    <r>
      <rPr>
        <sz val="11"/>
        <rFont val="宋体"/>
        <charset val="134"/>
      </rPr>
      <t>钢绞线ζ</t>
    </r>
    <r>
      <rPr>
        <vertAlign val="subscript"/>
        <sz val="11"/>
        <rFont val="宋体"/>
        <charset val="134"/>
      </rPr>
      <t>b</t>
    </r>
    <r>
      <rPr>
        <sz val="11"/>
        <rFont val="宋体"/>
        <charset val="134"/>
      </rPr>
      <t>的计算如下：</t>
    </r>
  </si>
  <si>
    <r>
      <rPr>
        <sz val="11"/>
        <rFont val="宋体"/>
        <charset val="134"/>
      </rPr>
      <t>f</t>
    </r>
    <r>
      <rPr>
        <vertAlign val="subscript"/>
        <sz val="11"/>
        <rFont val="宋体"/>
        <charset val="134"/>
      </rPr>
      <t>py</t>
    </r>
    <r>
      <rPr>
        <sz val="11"/>
        <rFont val="宋体"/>
        <charset val="134"/>
      </rPr>
      <t>——纵向预应力钢筋抗拉强度设计值；</t>
    </r>
  </si>
  <si>
    <r>
      <rPr>
        <sz val="11"/>
        <rFont val="宋体"/>
        <charset val="134"/>
      </rPr>
      <t>ζ</t>
    </r>
    <r>
      <rPr>
        <vertAlign val="subscript"/>
        <sz val="11"/>
        <rFont val="宋体"/>
        <charset val="134"/>
      </rPr>
      <t>b</t>
    </r>
    <r>
      <rPr>
        <sz val="11"/>
        <rFont val="宋体"/>
        <charset val="134"/>
      </rPr>
      <t>——相对界限受压区高度；</t>
    </r>
  </si>
  <si>
    <r>
      <rPr>
        <sz val="11"/>
        <rFont val="宋体"/>
        <charset val="134"/>
      </rPr>
      <t>σ</t>
    </r>
    <r>
      <rPr>
        <vertAlign val="subscript"/>
        <sz val="11"/>
        <rFont val="宋体"/>
        <charset val="134"/>
      </rPr>
      <t>p0</t>
    </r>
    <r>
      <rPr>
        <sz val="11"/>
        <rFont val="宋体"/>
        <charset val="134"/>
      </rPr>
      <t>——截面受拉区纵向预应力钢筋合力处混凝土法向应力等于零时的预应力钢筋应力；</t>
    </r>
  </si>
  <si>
    <r>
      <rPr>
        <sz val="11"/>
        <rFont val="宋体"/>
        <charset val="134"/>
      </rPr>
      <t>钢绞线ζ</t>
    </r>
    <r>
      <rPr>
        <vertAlign val="subscript"/>
        <sz val="11"/>
        <rFont val="宋体"/>
        <charset val="134"/>
      </rPr>
      <t>b</t>
    </r>
    <r>
      <rPr>
        <sz val="11"/>
        <rFont val="宋体"/>
        <charset val="134"/>
      </rPr>
      <t>=</t>
    </r>
  </si>
  <si>
    <r>
      <rPr>
        <u/>
        <sz val="11"/>
        <rFont val="宋体"/>
        <charset val="134"/>
      </rPr>
      <t>非预应力φ</t>
    </r>
    <r>
      <rPr>
        <sz val="11"/>
        <rFont val="宋体"/>
        <charset val="134"/>
      </rPr>
      <t>钢筋ζ</t>
    </r>
    <r>
      <rPr>
        <vertAlign val="subscript"/>
        <sz val="11"/>
        <rFont val="宋体"/>
        <charset val="134"/>
      </rPr>
      <t>b</t>
    </r>
    <r>
      <rPr>
        <sz val="11"/>
        <rFont val="宋体"/>
        <charset val="134"/>
      </rPr>
      <t>=</t>
    </r>
  </si>
  <si>
    <r>
      <rPr>
        <sz val="11"/>
        <rFont val="宋体"/>
        <charset val="134"/>
      </rPr>
      <t>取小值，即ζ</t>
    </r>
    <r>
      <rPr>
        <vertAlign val="subscript"/>
        <sz val="11"/>
        <rFont val="宋体"/>
        <charset val="134"/>
      </rPr>
      <t>b</t>
    </r>
    <r>
      <rPr>
        <sz val="11"/>
        <rFont val="宋体"/>
        <charset val="134"/>
      </rPr>
      <t>=</t>
    </r>
  </si>
  <si>
    <t>鉴别中和轴位置</t>
  </si>
  <si>
    <t>受压区高度x=</t>
  </si>
  <si>
    <r>
      <rPr>
        <sz val="11"/>
        <rFont val="宋体"/>
        <charset val="134"/>
      </rPr>
      <t>0.85ζ</t>
    </r>
    <r>
      <rPr>
        <vertAlign val="subscript"/>
        <sz val="11"/>
        <rFont val="宋体"/>
        <charset val="134"/>
      </rPr>
      <t>b</t>
    </r>
    <r>
      <rPr>
        <sz val="11"/>
        <rFont val="宋体"/>
        <charset val="134"/>
      </rPr>
      <t>h</t>
    </r>
    <r>
      <rPr>
        <vertAlign val="subscript"/>
        <sz val="11"/>
        <rFont val="宋体"/>
        <charset val="134"/>
      </rPr>
      <t>0</t>
    </r>
    <r>
      <rPr>
        <sz val="11"/>
        <rFont val="宋体"/>
        <charset val="134"/>
      </rPr>
      <t>=</t>
    </r>
  </si>
  <si>
    <r>
      <rPr>
        <sz val="11"/>
        <rFont val="宋体"/>
        <charset val="134"/>
      </rPr>
      <t>2a</t>
    </r>
    <r>
      <rPr>
        <vertAlign val="superscript"/>
        <sz val="11"/>
        <rFont val="Times New Roman"/>
        <family val="1"/>
      </rPr>
      <t>'</t>
    </r>
    <r>
      <rPr>
        <sz val="11"/>
        <rFont val="宋体"/>
        <charset val="134"/>
      </rPr>
      <t>=</t>
    </r>
  </si>
  <si>
    <t>当受压区未配置预应力筋或</t>
  </si>
  <si>
    <t>为拉应力时</t>
  </si>
  <si>
    <t>，a'用as'替代</t>
  </si>
  <si>
    <t>承载力安全系数K=</t>
  </si>
  <si>
    <t>跨中弯矩设计值M=</t>
  </si>
  <si>
    <t>3.4斜截面受剪承载力计算</t>
  </si>
  <si>
    <t>支座剪力设计值V=</t>
  </si>
  <si>
    <r>
      <rPr>
        <sz val="11"/>
        <rFont val="宋体"/>
        <charset val="134"/>
      </rPr>
      <t>截面的腹板高度h</t>
    </r>
    <r>
      <rPr>
        <vertAlign val="subscript"/>
        <sz val="11"/>
        <rFont val="宋体"/>
        <charset val="134"/>
      </rPr>
      <t>w</t>
    </r>
    <r>
      <rPr>
        <sz val="11"/>
        <rFont val="宋体"/>
        <charset val="134"/>
      </rPr>
      <t>=</t>
    </r>
  </si>
  <si>
    <t>腹板的宽度b=</t>
  </si>
  <si>
    <r>
      <rPr>
        <sz val="11"/>
        <rFont val="宋体"/>
        <charset val="134"/>
      </rPr>
      <t>h</t>
    </r>
    <r>
      <rPr>
        <vertAlign val="subscript"/>
        <sz val="11"/>
        <rFont val="宋体"/>
        <charset val="134"/>
      </rPr>
      <t>w</t>
    </r>
    <r>
      <rPr>
        <sz val="11"/>
        <rFont val="宋体"/>
        <charset val="134"/>
      </rPr>
      <t>/b=</t>
    </r>
  </si>
  <si>
    <r>
      <rPr>
        <sz val="11"/>
        <color rgb="FF000000"/>
        <rFont val="Calibri"/>
        <family val="2"/>
      </rPr>
      <t>f</t>
    </r>
    <r>
      <rPr>
        <vertAlign val="subscript"/>
        <sz val="11"/>
        <color rgb="FF000000"/>
        <rFont val="Calibri"/>
        <family val="2"/>
      </rPr>
      <t>c</t>
    </r>
    <r>
      <rPr>
        <sz val="11"/>
        <color rgb="FF000000"/>
        <rFont val="Calibri"/>
        <family val="2"/>
      </rPr>
      <t>bh</t>
    </r>
    <r>
      <rPr>
        <vertAlign val="subscript"/>
        <sz val="11"/>
        <color rgb="FF000000"/>
        <rFont val="Calibri"/>
        <family val="2"/>
      </rPr>
      <t>0</t>
    </r>
    <r>
      <rPr>
        <sz val="11"/>
        <color rgb="FF000000"/>
        <rFont val="Calibri"/>
        <family val="2"/>
      </rPr>
      <t>=</t>
    </r>
  </si>
  <si>
    <t>判定是否按照计算配置箍筋</t>
  </si>
  <si>
    <r>
      <rPr>
        <sz val="11"/>
        <rFont val="黑体"/>
        <charset val="134"/>
      </rPr>
      <t>混凝土的受剪承载力V</t>
    </r>
    <r>
      <rPr>
        <vertAlign val="subscript"/>
        <sz val="11"/>
        <rFont val="黑体"/>
        <charset val="134"/>
      </rPr>
      <t>c</t>
    </r>
    <r>
      <rPr>
        <sz val="11"/>
        <rFont val="黑体"/>
        <charset val="134"/>
      </rPr>
      <t>=0.7f</t>
    </r>
    <r>
      <rPr>
        <vertAlign val="subscript"/>
        <sz val="11"/>
        <rFont val="黑体"/>
        <charset val="134"/>
      </rPr>
      <t>t</t>
    </r>
    <r>
      <rPr>
        <sz val="11"/>
        <rFont val="黑体"/>
        <charset val="134"/>
      </rPr>
      <t>bh</t>
    </r>
    <r>
      <rPr>
        <vertAlign val="subscript"/>
        <sz val="11"/>
        <rFont val="黑体"/>
        <charset val="134"/>
      </rPr>
      <t>o</t>
    </r>
    <r>
      <rPr>
        <sz val="11"/>
        <rFont val="黑体"/>
        <charset val="134"/>
      </rPr>
      <t>=</t>
    </r>
  </si>
  <si>
    <r>
      <rPr>
        <sz val="10"/>
        <rFont val="宋体"/>
        <charset val="134"/>
      </rPr>
      <t>混凝土法向应力为零时纵向预应力筋及非预应力筋合力N</t>
    </r>
    <r>
      <rPr>
        <vertAlign val="subscript"/>
        <sz val="10"/>
        <rFont val="宋体"/>
        <charset val="134"/>
      </rPr>
      <t>p0</t>
    </r>
    <r>
      <rPr>
        <sz val="10"/>
        <rFont val="宋体"/>
        <charset val="134"/>
      </rPr>
      <t>=</t>
    </r>
  </si>
  <si>
    <r>
      <rPr>
        <sz val="11"/>
        <color theme="1"/>
        <rFont val="宋体"/>
        <charset val="134"/>
        <scheme val="minor"/>
      </rPr>
      <t>0.3f</t>
    </r>
    <r>
      <rPr>
        <vertAlign val="subscript"/>
        <sz val="11"/>
        <color theme="1"/>
        <rFont val="宋体"/>
        <charset val="134"/>
        <scheme val="minor"/>
      </rPr>
      <t>c</t>
    </r>
    <r>
      <rPr>
        <sz val="11"/>
        <color theme="1"/>
        <rFont val="宋体"/>
        <charset val="134"/>
        <scheme val="minor"/>
      </rPr>
      <t>A</t>
    </r>
    <r>
      <rPr>
        <vertAlign val="subscript"/>
        <sz val="11"/>
        <color theme="1"/>
        <rFont val="宋体"/>
        <charset val="134"/>
        <scheme val="minor"/>
      </rPr>
      <t>o</t>
    </r>
    <r>
      <rPr>
        <sz val="11"/>
        <color theme="1"/>
        <rFont val="宋体"/>
        <charset val="134"/>
        <scheme val="minor"/>
      </rPr>
      <t>=</t>
    </r>
  </si>
  <si>
    <r>
      <rPr>
        <sz val="11"/>
        <color theme="1"/>
        <rFont val="宋体"/>
        <charset val="134"/>
        <scheme val="minor"/>
      </rPr>
      <t>N</t>
    </r>
    <r>
      <rPr>
        <vertAlign val="subscript"/>
        <sz val="11"/>
        <color theme="1"/>
        <rFont val="宋体"/>
        <charset val="134"/>
        <scheme val="minor"/>
      </rPr>
      <t>p0</t>
    </r>
    <r>
      <rPr>
        <sz val="11"/>
        <color theme="1"/>
        <rFont val="宋体"/>
        <charset val="134"/>
        <scheme val="minor"/>
      </rPr>
      <t>=</t>
    </r>
  </si>
  <si>
    <t>取小者</t>
  </si>
  <si>
    <r>
      <rPr>
        <sz val="11"/>
        <rFont val="黑体"/>
        <charset val="134"/>
      </rPr>
      <t>预应力提高的构件受剪承载力V</t>
    </r>
    <r>
      <rPr>
        <vertAlign val="subscript"/>
        <sz val="11"/>
        <rFont val="黑体"/>
        <charset val="134"/>
      </rPr>
      <t>p</t>
    </r>
    <r>
      <rPr>
        <sz val="11"/>
        <rFont val="黑体"/>
        <charset val="134"/>
      </rPr>
      <t>=0.05N</t>
    </r>
    <r>
      <rPr>
        <vertAlign val="subscript"/>
        <sz val="11"/>
        <rFont val="黑体"/>
        <charset val="134"/>
      </rPr>
      <t>p0</t>
    </r>
    <r>
      <rPr>
        <sz val="11"/>
        <rFont val="黑体"/>
        <charset val="134"/>
      </rPr>
      <t>=</t>
    </r>
  </si>
  <si>
    <t>配置箍筋计算，按构造选用φ8@100，沿槽身全长配置</t>
  </si>
  <si>
    <t>箍筋公称直径=</t>
  </si>
  <si>
    <r>
      <rPr>
        <sz val="11"/>
        <rFont val="宋体"/>
        <charset val="134"/>
      </rPr>
      <t>单肢面积A</t>
    </r>
    <r>
      <rPr>
        <vertAlign val="subscript"/>
        <sz val="11"/>
        <rFont val="宋体"/>
        <charset val="134"/>
      </rPr>
      <t>vs1</t>
    </r>
    <r>
      <rPr>
        <sz val="11"/>
        <rFont val="宋体"/>
        <charset val="134"/>
      </rPr>
      <t>=</t>
    </r>
  </si>
  <si>
    <r>
      <rPr>
        <sz val="11"/>
        <rFont val="宋体"/>
        <charset val="134"/>
      </rPr>
      <t>同一截面内肢数n</t>
    </r>
    <r>
      <rPr>
        <vertAlign val="subscript"/>
        <sz val="11"/>
        <rFont val="宋体"/>
        <charset val="134"/>
      </rPr>
      <t>1</t>
    </r>
    <r>
      <rPr>
        <sz val="11"/>
        <rFont val="宋体"/>
        <charset val="134"/>
      </rPr>
      <t>=</t>
    </r>
  </si>
  <si>
    <r>
      <rPr>
        <sz val="11"/>
        <color theme="1"/>
        <rFont val="宋体"/>
        <charset val="134"/>
        <scheme val="minor"/>
      </rPr>
      <t>A</t>
    </r>
    <r>
      <rPr>
        <vertAlign val="subscript"/>
        <sz val="11"/>
        <color theme="1"/>
        <rFont val="宋体"/>
        <charset val="134"/>
        <scheme val="minor"/>
      </rPr>
      <t>sv</t>
    </r>
    <r>
      <rPr>
        <sz val="11"/>
        <color theme="1"/>
        <rFont val="宋体"/>
        <charset val="134"/>
        <scheme val="minor"/>
      </rPr>
      <t>=</t>
    </r>
  </si>
  <si>
    <t>沿长度方向的箍筋间距s=</t>
  </si>
  <si>
    <r>
      <rPr>
        <sz val="12"/>
        <rFont val="宋体"/>
        <charset val="134"/>
      </rPr>
      <t>箍筋抗拉强度设计值f</t>
    </r>
    <r>
      <rPr>
        <vertAlign val="subscript"/>
        <sz val="12"/>
        <rFont val="宋体"/>
        <charset val="134"/>
      </rPr>
      <t>yv</t>
    </r>
    <r>
      <rPr>
        <sz val="12"/>
        <rFont val="宋体"/>
        <charset val="134"/>
      </rPr>
      <t>=</t>
    </r>
  </si>
  <si>
    <r>
      <rPr>
        <sz val="11"/>
        <rFont val="黑体"/>
        <charset val="134"/>
      </rPr>
      <t>竖向精扎钢筋受剪承载力V</t>
    </r>
    <r>
      <rPr>
        <vertAlign val="subscript"/>
        <sz val="11"/>
        <rFont val="黑体"/>
        <charset val="134"/>
      </rPr>
      <t>SV</t>
    </r>
    <r>
      <rPr>
        <sz val="11"/>
        <rFont val="黑体"/>
        <charset val="134"/>
      </rPr>
      <t>=1.25f</t>
    </r>
    <r>
      <rPr>
        <vertAlign val="subscript"/>
        <sz val="11"/>
        <rFont val="黑体"/>
        <charset val="134"/>
      </rPr>
      <t>yv</t>
    </r>
    <r>
      <rPr>
        <sz val="11"/>
        <rFont val="黑体"/>
        <charset val="134"/>
      </rPr>
      <t>A</t>
    </r>
    <r>
      <rPr>
        <vertAlign val="subscript"/>
        <sz val="11"/>
        <rFont val="黑体"/>
        <charset val="134"/>
      </rPr>
      <t>sv</t>
    </r>
    <r>
      <rPr>
        <sz val="11"/>
        <rFont val="黑体"/>
        <charset val="134"/>
      </rPr>
      <t>h</t>
    </r>
    <r>
      <rPr>
        <vertAlign val="subscript"/>
        <sz val="11"/>
        <rFont val="黑体"/>
        <charset val="134"/>
      </rPr>
      <t>0</t>
    </r>
    <r>
      <rPr>
        <sz val="11"/>
        <rFont val="黑体"/>
        <charset val="134"/>
      </rPr>
      <t>/s=</t>
    </r>
  </si>
  <si>
    <r>
      <rPr>
        <sz val="12"/>
        <rFont val="宋体"/>
        <charset val="134"/>
      </rPr>
      <t>V</t>
    </r>
    <r>
      <rPr>
        <vertAlign val="subscript"/>
        <sz val="12"/>
        <rFont val="宋体"/>
        <charset val="134"/>
      </rPr>
      <t>c</t>
    </r>
    <r>
      <rPr>
        <sz val="12"/>
        <rFont val="宋体"/>
        <charset val="134"/>
      </rPr>
      <t>+V</t>
    </r>
    <r>
      <rPr>
        <vertAlign val="subscript"/>
        <sz val="12"/>
        <rFont val="宋体"/>
        <charset val="134"/>
      </rPr>
      <t>p</t>
    </r>
    <r>
      <rPr>
        <sz val="12"/>
        <rFont val="宋体"/>
        <charset val="134"/>
      </rPr>
      <t>+V</t>
    </r>
    <r>
      <rPr>
        <vertAlign val="subscript"/>
        <sz val="12"/>
        <rFont val="宋体"/>
        <charset val="134"/>
      </rPr>
      <t>sv</t>
    </r>
    <r>
      <rPr>
        <sz val="12"/>
        <rFont val="宋体"/>
        <charset val="134"/>
      </rPr>
      <t>=</t>
    </r>
  </si>
  <si>
    <r>
      <rPr>
        <sz val="11"/>
        <color theme="1"/>
        <rFont val="宋体"/>
        <charset val="134"/>
        <scheme val="minor"/>
      </rPr>
      <t>配箍率</t>
    </r>
    <r>
      <rPr>
        <sz val="11"/>
        <color theme="1"/>
        <rFont val="宋体"/>
        <charset val="134"/>
      </rPr>
      <t>ρ</t>
    </r>
    <r>
      <rPr>
        <vertAlign val="subscript"/>
        <sz val="11"/>
        <color theme="1"/>
        <rFont val="宋体"/>
        <charset val="134"/>
      </rPr>
      <t>sv</t>
    </r>
    <r>
      <rPr>
        <sz val="11"/>
        <color theme="1"/>
        <rFont val="宋体"/>
        <charset val="134"/>
        <scheme val="minor"/>
      </rPr>
      <t>=A</t>
    </r>
    <r>
      <rPr>
        <vertAlign val="subscript"/>
        <sz val="11"/>
        <color theme="1"/>
        <rFont val="宋体"/>
        <charset val="134"/>
        <scheme val="minor"/>
      </rPr>
      <t>sv</t>
    </r>
    <r>
      <rPr>
        <sz val="11"/>
        <color theme="1"/>
        <rFont val="宋体"/>
        <charset val="134"/>
        <scheme val="minor"/>
      </rPr>
      <t>/(bs)=</t>
    </r>
  </si>
  <si>
    <t>HRB335最小配筋率</t>
  </si>
  <si>
    <t>3.5正截面抗裂验算</t>
  </si>
  <si>
    <r>
      <rPr>
        <sz val="11"/>
        <rFont val="宋体"/>
        <charset val="134"/>
      </rPr>
      <t>换算界面对受拉边缘抵抗矩W</t>
    </r>
    <r>
      <rPr>
        <vertAlign val="subscript"/>
        <sz val="11"/>
        <rFont val="宋体"/>
        <charset val="134"/>
      </rPr>
      <t>0</t>
    </r>
    <r>
      <rPr>
        <sz val="11"/>
        <rFont val="宋体"/>
        <charset val="134"/>
      </rPr>
      <t>=I</t>
    </r>
    <r>
      <rPr>
        <vertAlign val="subscript"/>
        <sz val="11"/>
        <rFont val="宋体"/>
        <charset val="134"/>
      </rPr>
      <t>0</t>
    </r>
    <r>
      <rPr>
        <sz val="11"/>
        <rFont val="宋体"/>
        <charset val="134"/>
      </rPr>
      <t>/y</t>
    </r>
    <r>
      <rPr>
        <vertAlign val="subscript"/>
        <sz val="11"/>
        <rFont val="宋体"/>
        <charset val="134"/>
      </rPr>
      <t>02</t>
    </r>
    <r>
      <rPr>
        <sz val="11"/>
        <rFont val="宋体"/>
        <charset val="134"/>
      </rPr>
      <t>=</t>
    </r>
  </si>
  <si>
    <r>
      <rPr>
        <sz val="11"/>
        <rFont val="宋体"/>
        <charset val="134"/>
      </rPr>
      <t>抗裂验算边缘混凝土法向应力σ</t>
    </r>
    <r>
      <rPr>
        <vertAlign val="subscript"/>
        <sz val="11"/>
        <rFont val="宋体"/>
        <charset val="134"/>
      </rPr>
      <t>ck</t>
    </r>
    <r>
      <rPr>
        <sz val="11"/>
        <rFont val="宋体"/>
        <charset val="134"/>
      </rPr>
      <t>=M</t>
    </r>
    <r>
      <rPr>
        <vertAlign val="subscript"/>
        <sz val="11"/>
        <rFont val="宋体"/>
        <charset val="134"/>
      </rPr>
      <t>k</t>
    </r>
    <r>
      <rPr>
        <sz val="11"/>
        <rFont val="宋体"/>
        <charset val="134"/>
      </rPr>
      <t>/W</t>
    </r>
    <r>
      <rPr>
        <vertAlign val="subscript"/>
        <sz val="11"/>
        <rFont val="宋体"/>
        <charset val="134"/>
      </rPr>
      <t>0</t>
    </r>
    <r>
      <rPr>
        <sz val="11"/>
        <rFont val="宋体"/>
        <charset val="134"/>
      </rPr>
      <t>=</t>
    </r>
  </si>
  <si>
    <r>
      <rPr>
        <sz val="10"/>
        <color theme="1"/>
        <rFont val="宋体"/>
        <charset val="134"/>
        <scheme val="minor"/>
      </rPr>
      <t>扣除全部预应力损失后受拉区边缘处的混凝土法向压应力σ</t>
    </r>
    <r>
      <rPr>
        <vertAlign val="subscript"/>
        <sz val="10"/>
        <color theme="1"/>
        <rFont val="宋体"/>
        <charset val="134"/>
        <scheme val="minor"/>
      </rPr>
      <t>pc</t>
    </r>
    <r>
      <rPr>
        <sz val="10"/>
        <color theme="1"/>
        <rFont val="宋体"/>
        <charset val="134"/>
        <scheme val="minor"/>
      </rPr>
      <t>=</t>
    </r>
  </si>
  <si>
    <t xml:space="preserve">                                                                                                                                                                                                                                                                                                                                                                                                                                                                                                                                                                                                                                                                                                                                                                                                                                                                                                                                                                                                                                                                                                                                                                                                                                                                                                                                                                                                                                                                                                                                                                                                                                                                                                                                                                                                                                                                                                                                                                                                                                                                                                                                                                                                                                                                                                                                                                                                                                                                                                                                                                                                                                                                                                                                                                                                                                                                                                                                                                                                                                                                                                                                                                                                                                                                                                                                                                                                                                                                                                                                                                                                                                                                                                                                                                                                                                                                                                                                                                                                                                                                                                                                                                                                                                                                                                                                                                                                                                                                                                                                                                                                                                                                                                                                                                                                                                                                                                                                                                                                                                                                                                                                                                                                                                                                                                                                                                                                                                                                                                                                                                                                                                                                                                                                                                                                                                                                                                                                                                                                                                                                                                                                                                                                                                                                                                                                                                                                                                                                                                                                                                                                                                                                                                                                                                                                                                                                                              </t>
  </si>
  <si>
    <t>修正系数=</t>
  </si>
  <si>
    <r>
      <rPr>
        <sz val="11"/>
        <rFont val="宋体"/>
        <charset val="134"/>
      </rPr>
      <t>受拉区砼塑性影响系数</t>
    </r>
    <r>
      <rPr>
        <sz val="11"/>
        <rFont val="Times New Roman"/>
        <family val="1"/>
      </rPr>
      <t>γ</t>
    </r>
    <r>
      <rPr>
        <sz val="11"/>
        <rFont val="宋体"/>
        <charset val="134"/>
      </rPr>
      <t>=</t>
    </r>
  </si>
  <si>
    <r>
      <rPr>
        <sz val="11"/>
        <rFont val="宋体"/>
        <charset val="134"/>
      </rPr>
      <t>修正受拉区砼塑性影响系数</t>
    </r>
    <r>
      <rPr>
        <sz val="11"/>
        <rFont val="Times New Roman"/>
        <family val="1"/>
      </rPr>
      <t>γ</t>
    </r>
    <r>
      <rPr>
        <sz val="11"/>
        <rFont val="宋体"/>
        <charset val="134"/>
      </rPr>
      <t>=</t>
    </r>
  </si>
  <si>
    <t>二级裂缝要求</t>
  </si>
  <si>
    <r>
      <rPr>
        <sz val="11"/>
        <color theme="1"/>
        <rFont val="宋体"/>
        <charset val="134"/>
        <scheme val="minor"/>
      </rPr>
      <t>混凝土拉应力限制系数</t>
    </r>
    <r>
      <rPr>
        <sz val="11"/>
        <color theme="1"/>
        <rFont val="宋体"/>
        <charset val="134"/>
      </rPr>
      <t>α</t>
    </r>
    <r>
      <rPr>
        <vertAlign val="subscript"/>
        <sz val="11"/>
        <color theme="1"/>
        <rFont val="宋体"/>
        <charset val="134"/>
      </rPr>
      <t>ct</t>
    </r>
    <r>
      <rPr>
        <sz val="11"/>
        <color theme="1"/>
        <rFont val="宋体"/>
        <charset val="134"/>
      </rPr>
      <t>=</t>
    </r>
  </si>
  <si>
    <r>
      <rPr>
        <sz val="11"/>
        <rFont val="宋体"/>
        <charset val="134"/>
      </rPr>
      <t>σ</t>
    </r>
    <r>
      <rPr>
        <vertAlign val="subscript"/>
        <sz val="11"/>
        <rFont val="宋体"/>
        <charset val="134"/>
      </rPr>
      <t>c</t>
    </r>
    <r>
      <rPr>
        <vertAlign val="subscript"/>
        <sz val="11"/>
        <rFont val="宋体"/>
        <charset val="134"/>
      </rPr>
      <t>k1</t>
    </r>
    <r>
      <rPr>
        <sz val="11"/>
        <rFont val="宋体"/>
        <charset val="134"/>
      </rPr>
      <t>-σ</t>
    </r>
    <r>
      <rPr>
        <vertAlign val="subscript"/>
        <sz val="11"/>
        <rFont val="宋体"/>
        <charset val="134"/>
      </rPr>
      <t>pc</t>
    </r>
    <r>
      <rPr>
        <sz val="11"/>
        <rFont val="宋体"/>
        <charset val="134"/>
      </rPr>
      <t>=</t>
    </r>
  </si>
  <si>
    <r>
      <rPr>
        <sz val="11"/>
        <rFont val="宋体"/>
        <charset val="134"/>
      </rPr>
      <t>α</t>
    </r>
    <r>
      <rPr>
        <vertAlign val="subscript"/>
        <sz val="11"/>
        <rFont val="宋体"/>
        <charset val="134"/>
      </rPr>
      <t>ct</t>
    </r>
    <r>
      <rPr>
        <sz val="11"/>
        <rFont val="Times New Roman"/>
        <family val="1"/>
      </rPr>
      <t>γ</t>
    </r>
    <r>
      <rPr>
        <sz val="11"/>
        <rFont val="宋体"/>
        <charset val="134"/>
      </rPr>
      <t>f</t>
    </r>
    <r>
      <rPr>
        <vertAlign val="subscript"/>
        <sz val="11"/>
        <rFont val="宋体"/>
        <charset val="134"/>
      </rPr>
      <t>tk</t>
    </r>
    <r>
      <rPr>
        <sz val="11"/>
        <rFont val="宋体"/>
        <charset val="134"/>
      </rPr>
      <t>=</t>
    </r>
  </si>
  <si>
    <r>
      <rPr>
        <sz val="11"/>
        <rFont val="宋体"/>
        <charset val="134"/>
      </rPr>
      <t>σ</t>
    </r>
    <r>
      <rPr>
        <vertAlign val="subscript"/>
        <sz val="11"/>
        <rFont val="宋体"/>
        <charset val="134"/>
      </rPr>
      <t>c</t>
    </r>
    <r>
      <rPr>
        <vertAlign val="subscript"/>
        <sz val="11"/>
        <rFont val="宋体"/>
        <charset val="134"/>
      </rPr>
      <t>k1</t>
    </r>
    <r>
      <rPr>
        <sz val="11"/>
        <rFont val="宋体"/>
        <charset val="134"/>
      </rPr>
      <t>-σ</t>
    </r>
    <r>
      <rPr>
        <vertAlign val="subscript"/>
        <sz val="11"/>
        <rFont val="宋体"/>
        <charset val="134"/>
      </rPr>
      <t>pc</t>
    </r>
  </si>
  <si>
    <r>
      <rPr>
        <sz val="11"/>
        <rFont val="宋体"/>
        <charset val="134"/>
      </rPr>
      <t>α</t>
    </r>
    <r>
      <rPr>
        <vertAlign val="subscript"/>
        <sz val="11"/>
        <rFont val="宋体"/>
        <charset val="134"/>
      </rPr>
      <t>ct</t>
    </r>
    <r>
      <rPr>
        <sz val="11"/>
        <rFont val="Times New Roman"/>
        <family val="1"/>
      </rPr>
      <t>γ</t>
    </r>
    <r>
      <rPr>
        <sz val="11"/>
        <rFont val="宋体"/>
        <charset val="134"/>
      </rPr>
      <t>f</t>
    </r>
    <r>
      <rPr>
        <vertAlign val="subscript"/>
        <sz val="11"/>
        <rFont val="宋体"/>
        <charset val="134"/>
      </rPr>
      <t>tk</t>
    </r>
  </si>
  <si>
    <t>3.6斜截面抗裂验算</t>
  </si>
  <si>
    <r>
      <rPr>
        <sz val="11"/>
        <rFont val="宋体"/>
        <charset val="134"/>
      </rPr>
      <t>截面位置选在距支座L</t>
    </r>
    <r>
      <rPr>
        <vertAlign val="subscript"/>
        <sz val="11"/>
        <rFont val="宋体"/>
        <charset val="134"/>
      </rPr>
      <t>1</t>
    </r>
    <r>
      <rPr>
        <sz val="11"/>
        <rFont val="宋体"/>
        <charset val="134"/>
      </rPr>
      <t>=</t>
    </r>
  </si>
  <si>
    <t>支座距离</t>
  </si>
  <si>
    <r>
      <rPr>
        <sz val="11"/>
        <rFont val="宋体"/>
        <charset val="134"/>
      </rPr>
      <t>M</t>
    </r>
    <r>
      <rPr>
        <vertAlign val="subscript"/>
        <sz val="11"/>
        <rFont val="宋体"/>
        <charset val="134"/>
      </rPr>
      <t>L1</t>
    </r>
    <r>
      <rPr>
        <sz val="11"/>
        <rFont val="宋体"/>
        <charset val="134"/>
      </rPr>
      <t>=0.5q</t>
    </r>
    <r>
      <rPr>
        <vertAlign val="subscript"/>
        <sz val="11"/>
        <rFont val="宋体"/>
        <charset val="134"/>
      </rPr>
      <t>0s</t>
    </r>
    <r>
      <rPr>
        <sz val="11"/>
        <rFont val="宋体"/>
        <charset val="134"/>
      </rPr>
      <t>L</t>
    </r>
    <r>
      <rPr>
        <vertAlign val="subscript"/>
        <sz val="11"/>
        <rFont val="宋体"/>
        <charset val="134"/>
      </rPr>
      <t>0</t>
    </r>
    <r>
      <rPr>
        <sz val="11"/>
        <rFont val="宋体"/>
        <charset val="134"/>
      </rPr>
      <t>L</t>
    </r>
    <r>
      <rPr>
        <vertAlign val="subscript"/>
        <sz val="11"/>
        <rFont val="宋体"/>
        <charset val="134"/>
      </rPr>
      <t>1</t>
    </r>
    <r>
      <rPr>
        <sz val="11"/>
        <rFont val="宋体"/>
        <charset val="134"/>
      </rPr>
      <t>-q</t>
    </r>
    <r>
      <rPr>
        <vertAlign val="subscript"/>
        <sz val="11"/>
        <rFont val="宋体"/>
        <charset val="134"/>
      </rPr>
      <t>0s</t>
    </r>
    <r>
      <rPr>
        <sz val="11"/>
        <rFont val="宋体"/>
        <charset val="134"/>
      </rPr>
      <t>L</t>
    </r>
    <r>
      <rPr>
        <vertAlign val="subscript"/>
        <sz val="11"/>
        <rFont val="宋体"/>
        <charset val="134"/>
      </rPr>
      <t>1</t>
    </r>
    <r>
      <rPr>
        <vertAlign val="superscript"/>
        <sz val="11"/>
        <rFont val="宋体"/>
        <charset val="134"/>
      </rPr>
      <t>2</t>
    </r>
    <r>
      <rPr>
        <sz val="11"/>
        <rFont val="宋体"/>
        <charset val="134"/>
      </rPr>
      <t>/2=</t>
    </r>
  </si>
  <si>
    <r>
      <rPr>
        <sz val="11"/>
        <rFont val="宋体"/>
        <charset val="134"/>
      </rPr>
      <t>V</t>
    </r>
    <r>
      <rPr>
        <vertAlign val="subscript"/>
        <sz val="11"/>
        <rFont val="宋体"/>
        <charset val="134"/>
      </rPr>
      <t>L1</t>
    </r>
    <r>
      <rPr>
        <sz val="11"/>
        <rFont val="宋体"/>
        <charset val="134"/>
      </rPr>
      <t>=0.5q</t>
    </r>
    <r>
      <rPr>
        <vertAlign val="subscript"/>
        <sz val="11"/>
        <rFont val="宋体"/>
        <charset val="134"/>
      </rPr>
      <t>0s</t>
    </r>
    <r>
      <rPr>
        <sz val="11"/>
        <rFont val="宋体"/>
        <charset val="134"/>
      </rPr>
      <t>L</t>
    </r>
    <r>
      <rPr>
        <vertAlign val="subscript"/>
        <sz val="11"/>
        <rFont val="宋体"/>
        <charset val="134"/>
      </rPr>
      <t>0</t>
    </r>
    <r>
      <rPr>
        <sz val="11"/>
        <rFont val="宋体"/>
        <charset val="134"/>
      </rPr>
      <t>-q</t>
    </r>
    <r>
      <rPr>
        <vertAlign val="subscript"/>
        <sz val="11"/>
        <rFont val="宋体"/>
        <charset val="134"/>
      </rPr>
      <t>0s</t>
    </r>
    <r>
      <rPr>
        <sz val="11"/>
        <rFont val="宋体"/>
        <charset val="134"/>
      </rPr>
      <t>L</t>
    </r>
    <r>
      <rPr>
        <vertAlign val="subscript"/>
        <sz val="11"/>
        <rFont val="宋体"/>
        <charset val="134"/>
      </rPr>
      <t>1</t>
    </r>
    <r>
      <rPr>
        <sz val="11"/>
        <rFont val="宋体"/>
        <charset val="134"/>
      </rPr>
      <t>=</t>
    </r>
  </si>
  <si>
    <t>校核选定截面换算截面重心处</t>
  </si>
  <si>
    <r>
      <rPr>
        <sz val="11"/>
        <rFont val="宋体"/>
        <charset val="134"/>
      </rPr>
      <t>计算纤维以上部分的换算截面积对换算截面重心的面积矩S</t>
    </r>
    <r>
      <rPr>
        <vertAlign val="subscript"/>
        <sz val="11"/>
        <rFont val="宋体"/>
        <charset val="134"/>
      </rPr>
      <t>0</t>
    </r>
    <r>
      <rPr>
        <sz val="11"/>
        <rFont val="宋体"/>
        <charset val="134"/>
      </rPr>
      <t>为：</t>
    </r>
  </si>
  <si>
    <r>
      <rPr>
        <sz val="11"/>
        <rFont val="宋体"/>
        <charset val="134"/>
      </rPr>
      <t>S</t>
    </r>
    <r>
      <rPr>
        <vertAlign val="subscript"/>
        <sz val="11"/>
        <rFont val="宋体"/>
        <charset val="134"/>
      </rPr>
      <t>0</t>
    </r>
    <r>
      <rPr>
        <sz val="11"/>
        <rFont val="宋体"/>
        <charset val="134"/>
      </rPr>
      <t>=b'</t>
    </r>
    <r>
      <rPr>
        <vertAlign val="subscript"/>
        <sz val="11"/>
        <rFont val="宋体"/>
        <charset val="134"/>
      </rPr>
      <t>f</t>
    </r>
    <r>
      <rPr>
        <sz val="11"/>
        <rFont val="宋体"/>
        <charset val="134"/>
      </rPr>
      <t>h'f(y</t>
    </r>
    <r>
      <rPr>
        <vertAlign val="subscript"/>
        <sz val="11"/>
        <rFont val="宋体"/>
        <charset val="134"/>
      </rPr>
      <t>o1</t>
    </r>
    <r>
      <rPr>
        <sz val="11"/>
        <rFont val="宋体"/>
        <charset val="134"/>
      </rPr>
      <t>-h'f/2)+b(y</t>
    </r>
    <r>
      <rPr>
        <vertAlign val="subscript"/>
        <sz val="11"/>
        <rFont val="宋体"/>
        <charset val="134"/>
      </rPr>
      <t>o1</t>
    </r>
    <r>
      <rPr>
        <sz val="11"/>
        <rFont val="宋体"/>
        <charset val="134"/>
      </rPr>
      <t>-h′</t>
    </r>
    <r>
      <rPr>
        <vertAlign val="subscript"/>
        <sz val="11"/>
        <rFont val="宋体"/>
        <charset val="134"/>
      </rPr>
      <t>f</t>
    </r>
    <r>
      <rPr>
        <sz val="11"/>
        <rFont val="宋体"/>
        <charset val="134"/>
      </rPr>
      <t>)</t>
    </r>
    <r>
      <rPr>
        <vertAlign val="superscript"/>
        <sz val="11"/>
        <rFont val="宋体"/>
        <charset val="134"/>
      </rPr>
      <t>2</t>
    </r>
    <r>
      <rPr>
        <sz val="11"/>
        <rFont val="宋体"/>
        <charset val="134"/>
      </rPr>
      <t>/2=</t>
    </r>
  </si>
  <si>
    <r>
      <rPr>
        <sz val="11"/>
        <rFont val="宋体"/>
        <charset val="134"/>
      </rPr>
      <t>τ</t>
    </r>
    <r>
      <rPr>
        <vertAlign val="subscript"/>
        <sz val="11"/>
        <rFont val="宋体"/>
        <charset val="134"/>
      </rPr>
      <t>1</t>
    </r>
    <r>
      <rPr>
        <sz val="11"/>
        <rFont val="宋体"/>
        <charset val="134"/>
      </rPr>
      <t>=（V</t>
    </r>
    <r>
      <rPr>
        <vertAlign val="subscript"/>
        <sz val="11"/>
        <rFont val="宋体"/>
        <charset val="134"/>
      </rPr>
      <t>L1</t>
    </r>
    <r>
      <rPr>
        <sz val="11"/>
        <rFont val="宋体"/>
        <charset val="134"/>
      </rPr>
      <t>-Σσ</t>
    </r>
    <r>
      <rPr>
        <vertAlign val="subscript"/>
        <sz val="11"/>
        <rFont val="宋体"/>
        <charset val="134"/>
      </rPr>
      <t>pe</t>
    </r>
    <r>
      <rPr>
        <sz val="11"/>
        <rFont val="宋体"/>
        <charset val="134"/>
      </rPr>
      <t>A</t>
    </r>
    <r>
      <rPr>
        <vertAlign val="subscript"/>
        <sz val="11"/>
        <rFont val="宋体"/>
        <charset val="134"/>
      </rPr>
      <t>pb</t>
    </r>
    <r>
      <rPr>
        <sz val="11"/>
        <rFont val="宋体"/>
        <charset val="134"/>
      </rPr>
      <t>sinα</t>
    </r>
    <r>
      <rPr>
        <vertAlign val="subscript"/>
        <sz val="11"/>
        <rFont val="宋体"/>
        <charset val="134"/>
      </rPr>
      <t>p</t>
    </r>
    <r>
      <rPr>
        <sz val="11"/>
        <rFont val="宋体"/>
        <charset val="134"/>
      </rPr>
      <t>)S</t>
    </r>
    <r>
      <rPr>
        <vertAlign val="subscript"/>
        <sz val="11"/>
        <rFont val="宋体"/>
        <charset val="134"/>
      </rPr>
      <t>0</t>
    </r>
    <r>
      <rPr>
        <sz val="11"/>
        <rFont val="宋体"/>
        <charset val="134"/>
      </rPr>
      <t>/I</t>
    </r>
    <r>
      <rPr>
        <vertAlign val="subscript"/>
        <sz val="11"/>
        <rFont val="宋体"/>
        <charset val="134"/>
      </rPr>
      <t>0</t>
    </r>
    <r>
      <rPr>
        <sz val="11"/>
        <rFont val="宋体"/>
        <charset val="134"/>
      </rPr>
      <t>b=</t>
    </r>
  </si>
  <si>
    <r>
      <rPr>
        <sz val="11"/>
        <rFont val="宋体"/>
        <charset val="134"/>
      </rPr>
      <t>换算截面重心至计算纤维距离y</t>
    </r>
    <r>
      <rPr>
        <vertAlign val="subscript"/>
        <sz val="11"/>
        <rFont val="宋体"/>
        <charset val="134"/>
      </rPr>
      <t>0</t>
    </r>
    <r>
      <rPr>
        <sz val="11"/>
        <rFont val="宋体"/>
        <charset val="134"/>
      </rPr>
      <t>=y</t>
    </r>
    <r>
      <rPr>
        <vertAlign val="subscript"/>
        <sz val="11"/>
        <rFont val="宋体"/>
        <charset val="134"/>
      </rPr>
      <t>01</t>
    </r>
    <r>
      <rPr>
        <sz val="11"/>
        <rFont val="宋体"/>
        <charset val="134"/>
      </rPr>
      <t>-y</t>
    </r>
    <r>
      <rPr>
        <vertAlign val="subscript"/>
        <sz val="11"/>
        <rFont val="宋体"/>
        <charset val="134"/>
      </rPr>
      <t>01</t>
    </r>
    <r>
      <rPr>
        <sz val="11"/>
        <rFont val="宋体"/>
        <charset val="134"/>
      </rPr>
      <t>=</t>
    </r>
  </si>
  <si>
    <t>DL/T5057-1996P120指明为换算截面至计算纤维处距离，不同于两大院，我遵从的是规范</t>
  </si>
  <si>
    <r>
      <rPr>
        <sz val="11"/>
        <rFont val="宋体"/>
        <charset val="134"/>
      </rPr>
      <t>净截面重心轴至计算纤维距离y</t>
    </r>
    <r>
      <rPr>
        <vertAlign val="subscript"/>
        <sz val="11"/>
        <rFont val="宋体"/>
        <charset val="134"/>
      </rPr>
      <t>n</t>
    </r>
    <r>
      <rPr>
        <sz val="11"/>
        <rFont val="宋体"/>
        <charset val="134"/>
      </rPr>
      <t>=y</t>
    </r>
    <r>
      <rPr>
        <vertAlign val="subscript"/>
        <sz val="11"/>
        <rFont val="宋体"/>
        <charset val="134"/>
      </rPr>
      <t>n1</t>
    </r>
    <r>
      <rPr>
        <sz val="11"/>
        <rFont val="宋体"/>
        <charset val="134"/>
      </rPr>
      <t>-y</t>
    </r>
    <r>
      <rPr>
        <vertAlign val="subscript"/>
        <sz val="11"/>
        <rFont val="宋体"/>
        <charset val="134"/>
      </rPr>
      <t>01</t>
    </r>
    <r>
      <rPr>
        <sz val="11"/>
        <rFont val="宋体"/>
        <charset val="134"/>
      </rPr>
      <t>=</t>
    </r>
  </si>
  <si>
    <r>
      <rPr>
        <sz val="10"/>
        <rFont val="宋体"/>
        <charset val="134"/>
      </rPr>
      <t>计算纤维处的砼法向压应力σ</t>
    </r>
    <r>
      <rPr>
        <vertAlign val="subscript"/>
        <sz val="10"/>
        <rFont val="宋体"/>
        <charset val="134"/>
      </rPr>
      <t>pc</t>
    </r>
    <r>
      <rPr>
        <sz val="10"/>
        <rFont val="宋体"/>
        <charset val="134"/>
      </rPr>
      <t>=N</t>
    </r>
    <r>
      <rPr>
        <vertAlign val="subscript"/>
        <sz val="10"/>
        <rFont val="宋体"/>
        <charset val="134"/>
      </rPr>
      <t>p</t>
    </r>
    <r>
      <rPr>
        <sz val="10"/>
        <rFont val="宋体"/>
        <charset val="134"/>
      </rPr>
      <t>/A</t>
    </r>
    <r>
      <rPr>
        <vertAlign val="subscript"/>
        <sz val="10"/>
        <rFont val="宋体"/>
        <charset val="134"/>
      </rPr>
      <t>n</t>
    </r>
    <r>
      <rPr>
        <u/>
        <sz val="10"/>
        <rFont val="宋体"/>
        <charset val="134"/>
      </rPr>
      <t>+</t>
    </r>
    <r>
      <rPr>
        <sz val="10"/>
        <rFont val="宋体"/>
        <charset val="134"/>
      </rPr>
      <t>N</t>
    </r>
    <r>
      <rPr>
        <vertAlign val="subscript"/>
        <sz val="10"/>
        <rFont val="宋体"/>
        <charset val="134"/>
      </rPr>
      <t>p</t>
    </r>
    <r>
      <rPr>
        <sz val="10"/>
        <rFont val="宋体"/>
        <charset val="134"/>
      </rPr>
      <t>e</t>
    </r>
    <r>
      <rPr>
        <vertAlign val="subscript"/>
        <sz val="10"/>
        <rFont val="宋体"/>
        <charset val="134"/>
      </rPr>
      <t>pn</t>
    </r>
    <r>
      <rPr>
        <sz val="10"/>
        <rFont val="宋体"/>
        <charset val="134"/>
      </rPr>
      <t>y</t>
    </r>
    <r>
      <rPr>
        <vertAlign val="subscript"/>
        <sz val="10"/>
        <rFont val="宋体"/>
        <charset val="134"/>
      </rPr>
      <t>n</t>
    </r>
    <r>
      <rPr>
        <sz val="10"/>
        <rFont val="宋体"/>
        <charset val="134"/>
      </rPr>
      <t>/I</t>
    </r>
    <r>
      <rPr>
        <vertAlign val="subscript"/>
        <sz val="10"/>
        <rFont val="宋体"/>
        <charset val="134"/>
      </rPr>
      <t>n</t>
    </r>
    <r>
      <rPr>
        <sz val="10"/>
        <rFont val="宋体"/>
        <charset val="134"/>
      </rPr>
      <t>=</t>
    </r>
  </si>
  <si>
    <t>压应力，以负值带入</t>
  </si>
  <si>
    <r>
      <rPr>
        <sz val="11"/>
        <rFont val="宋体"/>
        <charset val="134"/>
      </rPr>
      <t>压应力以负值带入,σ</t>
    </r>
    <r>
      <rPr>
        <vertAlign val="subscript"/>
        <sz val="11"/>
        <rFont val="宋体"/>
        <charset val="134"/>
      </rPr>
      <t>x</t>
    </r>
    <r>
      <rPr>
        <sz val="11"/>
        <rFont val="宋体"/>
        <charset val="134"/>
      </rPr>
      <t>=σ</t>
    </r>
    <r>
      <rPr>
        <vertAlign val="subscript"/>
        <sz val="11"/>
        <rFont val="宋体"/>
        <charset val="134"/>
      </rPr>
      <t>pc</t>
    </r>
    <r>
      <rPr>
        <sz val="11"/>
        <rFont val="宋体"/>
        <charset val="134"/>
      </rPr>
      <t>+</t>
    </r>
    <r>
      <rPr>
        <sz val="11"/>
        <rFont val="宋体"/>
        <charset val="134"/>
      </rPr>
      <t>M</t>
    </r>
    <r>
      <rPr>
        <vertAlign val="subscript"/>
        <sz val="11"/>
        <rFont val="宋体"/>
        <charset val="134"/>
      </rPr>
      <t>L1</t>
    </r>
    <r>
      <rPr>
        <sz val="11"/>
        <rFont val="宋体"/>
        <charset val="134"/>
      </rPr>
      <t>y</t>
    </r>
    <r>
      <rPr>
        <vertAlign val="subscript"/>
        <sz val="11"/>
        <rFont val="宋体"/>
        <charset val="134"/>
      </rPr>
      <t>o</t>
    </r>
    <r>
      <rPr>
        <sz val="11"/>
        <rFont val="宋体"/>
        <charset val="134"/>
      </rPr>
      <t>/I</t>
    </r>
    <r>
      <rPr>
        <vertAlign val="subscript"/>
        <sz val="11"/>
        <rFont val="宋体"/>
        <charset val="134"/>
      </rPr>
      <t>0</t>
    </r>
    <r>
      <rPr>
        <sz val="11"/>
        <rFont val="宋体"/>
        <charset val="134"/>
      </rPr>
      <t>=</t>
    </r>
  </si>
  <si>
    <t>辨别位置后带入合适正负值</t>
  </si>
  <si>
    <r>
      <rPr>
        <sz val="11"/>
        <rFont val="宋体"/>
        <charset val="134"/>
      </rPr>
      <t>竖向压应力σ</t>
    </r>
    <r>
      <rPr>
        <vertAlign val="subscript"/>
        <sz val="11"/>
        <rFont val="宋体"/>
        <charset val="134"/>
      </rPr>
      <t>y</t>
    </r>
    <r>
      <rPr>
        <sz val="11"/>
        <rFont val="宋体"/>
        <charset val="134"/>
      </rPr>
      <t>=</t>
    </r>
  </si>
  <si>
    <t>主拉应力</t>
  </si>
  <si>
    <t>主压应力</t>
  </si>
  <si>
    <r>
      <rPr>
        <sz val="11"/>
        <rFont val="宋体"/>
        <charset val="134"/>
      </rPr>
      <t>0.85f</t>
    </r>
    <r>
      <rPr>
        <vertAlign val="subscript"/>
        <sz val="11"/>
        <rFont val="宋体"/>
        <charset val="134"/>
      </rPr>
      <t>tk</t>
    </r>
    <r>
      <rPr>
        <sz val="11"/>
        <rFont val="宋体"/>
        <charset val="134"/>
      </rPr>
      <t>=</t>
    </r>
  </si>
  <si>
    <t>二级控制</t>
  </si>
  <si>
    <r>
      <rPr>
        <sz val="11"/>
        <rFont val="宋体"/>
        <charset val="134"/>
      </rPr>
      <t>0.6f</t>
    </r>
    <r>
      <rPr>
        <vertAlign val="subscript"/>
        <sz val="11"/>
        <rFont val="宋体"/>
        <charset val="134"/>
      </rPr>
      <t>ck</t>
    </r>
    <r>
      <rPr>
        <sz val="11"/>
        <rFont val="宋体"/>
        <charset val="134"/>
      </rPr>
      <t>=</t>
    </r>
  </si>
  <si>
    <t>校核选定截面上翼缘与腹板交接处</t>
  </si>
  <si>
    <r>
      <rPr>
        <sz val="11"/>
        <rFont val="宋体"/>
        <charset val="134"/>
      </rPr>
      <t>S</t>
    </r>
    <r>
      <rPr>
        <vertAlign val="subscript"/>
        <sz val="11"/>
        <rFont val="宋体"/>
        <charset val="134"/>
      </rPr>
      <t>0</t>
    </r>
    <r>
      <rPr>
        <sz val="11"/>
        <rFont val="宋体"/>
        <charset val="134"/>
      </rPr>
      <t>=b'</t>
    </r>
    <r>
      <rPr>
        <vertAlign val="subscript"/>
        <sz val="11"/>
        <rFont val="宋体"/>
        <charset val="134"/>
      </rPr>
      <t>f</t>
    </r>
    <r>
      <rPr>
        <sz val="11"/>
        <rFont val="宋体"/>
        <charset val="134"/>
      </rPr>
      <t>h'f(y</t>
    </r>
    <r>
      <rPr>
        <vertAlign val="subscript"/>
        <sz val="11"/>
        <rFont val="宋体"/>
        <charset val="134"/>
      </rPr>
      <t>o1</t>
    </r>
    <r>
      <rPr>
        <sz val="11"/>
        <rFont val="宋体"/>
        <charset val="134"/>
      </rPr>
      <t>-h'f/2)</t>
    </r>
    <r>
      <rPr>
        <sz val="11"/>
        <rFont val="宋体"/>
        <charset val="134"/>
      </rPr>
      <t>=</t>
    </r>
  </si>
  <si>
    <r>
      <rPr>
        <sz val="11"/>
        <rFont val="宋体"/>
        <charset val="134"/>
      </rPr>
      <t>换算截面重心至计算纤维距离y</t>
    </r>
    <r>
      <rPr>
        <vertAlign val="subscript"/>
        <sz val="11"/>
        <rFont val="宋体"/>
        <charset val="134"/>
      </rPr>
      <t>0</t>
    </r>
    <r>
      <rPr>
        <sz val="11"/>
        <rFont val="宋体"/>
        <charset val="134"/>
      </rPr>
      <t>=y</t>
    </r>
    <r>
      <rPr>
        <vertAlign val="subscript"/>
        <sz val="11"/>
        <rFont val="宋体"/>
        <charset val="134"/>
      </rPr>
      <t>01</t>
    </r>
    <r>
      <rPr>
        <sz val="11"/>
        <rFont val="宋体"/>
        <charset val="134"/>
      </rPr>
      <t>-h'</t>
    </r>
    <r>
      <rPr>
        <vertAlign val="subscript"/>
        <sz val="11"/>
        <rFont val="宋体"/>
        <charset val="134"/>
      </rPr>
      <t>f</t>
    </r>
    <r>
      <rPr>
        <sz val="11"/>
        <rFont val="宋体"/>
        <charset val="134"/>
      </rPr>
      <t>=</t>
    </r>
  </si>
  <si>
    <r>
      <rPr>
        <sz val="11"/>
        <rFont val="宋体"/>
        <charset val="134"/>
      </rPr>
      <t>净截面重心轴至计算纤维距离y</t>
    </r>
    <r>
      <rPr>
        <vertAlign val="subscript"/>
        <sz val="11"/>
        <rFont val="宋体"/>
        <charset val="134"/>
      </rPr>
      <t>n</t>
    </r>
    <r>
      <rPr>
        <sz val="11"/>
        <rFont val="宋体"/>
        <charset val="134"/>
      </rPr>
      <t>=y</t>
    </r>
    <r>
      <rPr>
        <vertAlign val="subscript"/>
        <sz val="11"/>
        <rFont val="宋体"/>
        <charset val="134"/>
      </rPr>
      <t>n1</t>
    </r>
    <r>
      <rPr>
        <sz val="11"/>
        <rFont val="宋体"/>
        <charset val="134"/>
      </rPr>
      <t>-h'</t>
    </r>
    <r>
      <rPr>
        <vertAlign val="subscript"/>
        <sz val="11"/>
        <rFont val="宋体"/>
        <charset val="134"/>
      </rPr>
      <t>f</t>
    </r>
    <r>
      <rPr>
        <sz val="11"/>
        <rFont val="宋体"/>
        <charset val="134"/>
      </rPr>
      <t>=</t>
    </r>
  </si>
  <si>
    <t>拉应力</t>
  </si>
  <si>
    <r>
      <rPr>
        <sz val="11"/>
        <rFont val="宋体"/>
        <charset val="134"/>
      </rPr>
      <t>拉应力以正值带入,σ</t>
    </r>
    <r>
      <rPr>
        <vertAlign val="subscript"/>
        <sz val="11"/>
        <rFont val="宋体"/>
        <charset val="134"/>
      </rPr>
      <t>x</t>
    </r>
    <r>
      <rPr>
        <sz val="11"/>
        <rFont val="宋体"/>
        <charset val="134"/>
      </rPr>
      <t>=σ</t>
    </r>
    <r>
      <rPr>
        <vertAlign val="subscript"/>
        <sz val="11"/>
        <rFont val="宋体"/>
        <charset val="134"/>
      </rPr>
      <t>pc</t>
    </r>
    <r>
      <rPr>
        <sz val="11"/>
        <rFont val="宋体"/>
        <charset val="134"/>
      </rPr>
      <t>+M</t>
    </r>
    <r>
      <rPr>
        <vertAlign val="subscript"/>
        <sz val="11"/>
        <rFont val="宋体"/>
        <charset val="134"/>
      </rPr>
      <t>L1</t>
    </r>
    <r>
      <rPr>
        <sz val="11"/>
        <rFont val="宋体"/>
        <charset val="134"/>
      </rPr>
      <t>y</t>
    </r>
    <r>
      <rPr>
        <vertAlign val="subscript"/>
        <sz val="11"/>
        <rFont val="宋体"/>
        <charset val="134"/>
      </rPr>
      <t>o</t>
    </r>
    <r>
      <rPr>
        <sz val="11"/>
        <rFont val="宋体"/>
        <charset val="134"/>
      </rPr>
      <t>/I</t>
    </r>
    <r>
      <rPr>
        <vertAlign val="subscript"/>
        <sz val="11"/>
        <rFont val="宋体"/>
        <charset val="134"/>
      </rPr>
      <t>0</t>
    </r>
    <r>
      <rPr>
        <sz val="11"/>
        <rFont val="宋体"/>
        <charset val="134"/>
      </rPr>
      <t>=</t>
    </r>
  </si>
  <si>
    <t>3.7挠度验算</t>
  </si>
  <si>
    <r>
      <rPr>
        <sz val="11"/>
        <rFont val="宋体"/>
        <charset val="134"/>
      </rPr>
      <t>荷载效应标准组合作用下预应力混凝土受弯构件的短期钢度B</t>
    </r>
    <r>
      <rPr>
        <vertAlign val="subscript"/>
        <sz val="11"/>
        <rFont val="宋体"/>
        <charset val="134"/>
      </rPr>
      <t>ps</t>
    </r>
    <r>
      <rPr>
        <sz val="11"/>
        <rFont val="宋体"/>
        <charset val="134"/>
      </rPr>
      <t>：</t>
    </r>
  </si>
  <si>
    <r>
      <rPr>
        <sz val="11"/>
        <rFont val="宋体"/>
        <charset val="134"/>
      </rPr>
      <t>B</t>
    </r>
    <r>
      <rPr>
        <vertAlign val="subscript"/>
        <sz val="11"/>
        <rFont val="宋体"/>
        <charset val="134"/>
      </rPr>
      <t>ps</t>
    </r>
    <r>
      <rPr>
        <sz val="11"/>
        <rFont val="宋体"/>
        <charset val="134"/>
      </rPr>
      <t>=</t>
    </r>
    <r>
      <rPr>
        <sz val="11"/>
        <rFont val="宋体"/>
        <charset val="134"/>
      </rPr>
      <t>0.85E</t>
    </r>
    <r>
      <rPr>
        <vertAlign val="subscript"/>
        <sz val="11"/>
        <rFont val="宋体"/>
        <charset val="134"/>
      </rPr>
      <t>c</t>
    </r>
    <r>
      <rPr>
        <sz val="11"/>
        <rFont val="宋体"/>
        <charset val="134"/>
      </rPr>
      <t>I</t>
    </r>
    <r>
      <rPr>
        <vertAlign val="subscript"/>
        <sz val="11"/>
        <rFont val="宋体"/>
        <charset val="134"/>
      </rPr>
      <t>0</t>
    </r>
    <r>
      <rPr>
        <sz val="11"/>
        <rFont val="宋体"/>
        <charset val="134"/>
      </rPr>
      <t>=</t>
    </r>
  </si>
  <si>
    <r>
      <rPr>
        <sz val="11"/>
        <rFont val="宋体"/>
        <charset val="134"/>
      </rPr>
      <t>N</t>
    </r>
    <r>
      <rPr>
        <sz val="11"/>
        <rFont val="宋体"/>
        <charset val="134"/>
      </rPr>
      <t>.</t>
    </r>
    <r>
      <rPr>
        <sz val="11"/>
        <rFont val="宋体"/>
        <charset val="134"/>
      </rPr>
      <t>mm</t>
    </r>
    <r>
      <rPr>
        <vertAlign val="superscript"/>
        <sz val="11"/>
        <rFont val="宋体"/>
        <charset val="134"/>
      </rPr>
      <t>2</t>
    </r>
  </si>
  <si>
    <t>该计算办法不允许裂缝，否则另议</t>
  </si>
  <si>
    <r>
      <rPr>
        <sz val="11"/>
        <rFont val="宋体"/>
        <charset val="134"/>
      </rPr>
      <t>荷载效应标准组合作用下预应力混凝土受弯构件的长期钢度B</t>
    </r>
    <r>
      <rPr>
        <vertAlign val="subscript"/>
        <sz val="11"/>
        <rFont val="宋体"/>
        <charset val="134"/>
      </rPr>
      <t>p</t>
    </r>
    <r>
      <rPr>
        <vertAlign val="subscript"/>
        <sz val="11"/>
        <rFont val="Times New Roman"/>
        <family val="1"/>
      </rPr>
      <t>l</t>
    </r>
    <r>
      <rPr>
        <sz val="11"/>
        <rFont val="宋体"/>
        <charset val="134"/>
      </rPr>
      <t>：</t>
    </r>
  </si>
  <si>
    <r>
      <rPr>
        <sz val="11"/>
        <rFont val="宋体"/>
        <charset val="134"/>
      </rPr>
      <t>B</t>
    </r>
    <r>
      <rPr>
        <vertAlign val="subscript"/>
        <sz val="11"/>
        <rFont val="宋体"/>
        <charset val="134"/>
      </rPr>
      <t>pl</t>
    </r>
    <r>
      <rPr>
        <sz val="11"/>
        <rFont val="宋体"/>
        <charset val="134"/>
      </rPr>
      <t>=0.65B</t>
    </r>
    <r>
      <rPr>
        <vertAlign val="subscript"/>
        <sz val="11"/>
        <rFont val="宋体"/>
        <charset val="134"/>
      </rPr>
      <t>ps</t>
    </r>
    <r>
      <rPr>
        <sz val="11"/>
        <rFont val="宋体"/>
        <charset val="134"/>
      </rPr>
      <t>=</t>
    </r>
  </si>
  <si>
    <t>外荷载作用下产生的挠度</t>
  </si>
  <si>
    <r>
      <rPr>
        <sz val="9"/>
        <color theme="1"/>
        <rFont val="宋体"/>
        <charset val="134"/>
        <scheme val="minor"/>
      </rPr>
      <t>荷载效应标准组合作用下的挠度f</t>
    </r>
    <r>
      <rPr>
        <vertAlign val="subscript"/>
        <sz val="9"/>
        <color theme="1"/>
        <rFont val="宋体"/>
        <charset val="134"/>
        <scheme val="minor"/>
      </rPr>
      <t>1k</t>
    </r>
    <r>
      <rPr>
        <sz val="9"/>
        <color theme="1"/>
        <rFont val="宋体"/>
        <charset val="134"/>
        <scheme val="minor"/>
      </rPr>
      <t>=5M</t>
    </r>
    <r>
      <rPr>
        <vertAlign val="subscript"/>
        <sz val="9"/>
        <color theme="1"/>
        <rFont val="宋体"/>
        <charset val="134"/>
        <scheme val="minor"/>
      </rPr>
      <t>ks</t>
    </r>
    <r>
      <rPr>
        <sz val="9"/>
        <color theme="1"/>
        <rFont val="宋体"/>
        <charset val="134"/>
        <scheme val="minor"/>
      </rPr>
      <t>l</t>
    </r>
    <r>
      <rPr>
        <vertAlign val="subscript"/>
        <sz val="9"/>
        <color theme="1"/>
        <rFont val="宋体"/>
        <charset val="134"/>
        <scheme val="minor"/>
      </rPr>
      <t>0</t>
    </r>
    <r>
      <rPr>
        <vertAlign val="superscript"/>
        <sz val="9"/>
        <color theme="1"/>
        <rFont val="宋体"/>
        <charset val="134"/>
        <scheme val="minor"/>
      </rPr>
      <t>2</t>
    </r>
    <r>
      <rPr>
        <sz val="9"/>
        <color theme="1"/>
        <rFont val="宋体"/>
        <charset val="134"/>
        <scheme val="minor"/>
      </rPr>
      <t>/(48B</t>
    </r>
    <r>
      <rPr>
        <vertAlign val="subscript"/>
        <sz val="9"/>
        <color theme="1"/>
        <rFont val="宋体"/>
        <charset val="134"/>
        <scheme val="minor"/>
      </rPr>
      <t>p1</t>
    </r>
    <r>
      <rPr>
        <sz val="9"/>
        <color theme="1"/>
        <rFont val="宋体"/>
        <charset val="134"/>
        <scheme val="minor"/>
      </rPr>
      <t>)=5q</t>
    </r>
    <r>
      <rPr>
        <vertAlign val="subscript"/>
        <sz val="9"/>
        <color theme="1"/>
        <rFont val="宋体"/>
        <charset val="134"/>
        <scheme val="minor"/>
      </rPr>
      <t>ks</t>
    </r>
    <r>
      <rPr>
        <sz val="9"/>
        <color theme="1"/>
        <rFont val="宋体"/>
        <charset val="134"/>
        <scheme val="minor"/>
      </rPr>
      <t>l</t>
    </r>
    <r>
      <rPr>
        <vertAlign val="subscript"/>
        <sz val="9"/>
        <color theme="1"/>
        <rFont val="宋体"/>
        <charset val="134"/>
        <scheme val="minor"/>
      </rPr>
      <t>0</t>
    </r>
    <r>
      <rPr>
        <vertAlign val="superscript"/>
        <sz val="9"/>
        <color theme="1"/>
        <rFont val="宋体"/>
        <charset val="134"/>
        <scheme val="minor"/>
      </rPr>
      <t>4</t>
    </r>
    <r>
      <rPr>
        <sz val="9"/>
        <color theme="1"/>
        <rFont val="宋体"/>
        <charset val="134"/>
        <scheme val="minor"/>
      </rPr>
      <t>/(384B</t>
    </r>
    <r>
      <rPr>
        <vertAlign val="subscript"/>
        <sz val="9"/>
        <color theme="1"/>
        <rFont val="宋体"/>
        <charset val="134"/>
        <scheme val="minor"/>
      </rPr>
      <t>p1</t>
    </r>
    <r>
      <rPr>
        <sz val="9"/>
        <color theme="1"/>
        <rFont val="宋体"/>
        <charset val="134"/>
        <scheme val="minor"/>
      </rPr>
      <t>)=</t>
    </r>
  </si>
  <si>
    <t>控制--设计工况</t>
  </si>
  <si>
    <r>
      <rPr>
        <sz val="11"/>
        <rFont val="宋体"/>
        <charset val="134"/>
      </rPr>
      <t>预加力产生的反拱值f</t>
    </r>
    <r>
      <rPr>
        <vertAlign val="subscript"/>
        <sz val="11"/>
        <rFont val="宋体"/>
        <charset val="134"/>
      </rPr>
      <t>2</t>
    </r>
    <r>
      <rPr>
        <sz val="11"/>
        <rFont val="宋体"/>
        <charset val="134"/>
      </rPr>
      <t>=</t>
    </r>
    <r>
      <rPr>
        <sz val="11"/>
        <rFont val="宋体"/>
        <charset val="134"/>
      </rPr>
      <t>N</t>
    </r>
    <r>
      <rPr>
        <vertAlign val="subscript"/>
        <sz val="11"/>
        <rFont val="宋体"/>
        <charset val="134"/>
      </rPr>
      <t>P</t>
    </r>
    <r>
      <rPr>
        <sz val="11"/>
        <rFont val="宋体"/>
        <charset val="134"/>
      </rPr>
      <t>e</t>
    </r>
    <r>
      <rPr>
        <vertAlign val="subscript"/>
        <sz val="11"/>
        <rFont val="宋体"/>
        <charset val="134"/>
      </rPr>
      <t>pn</t>
    </r>
    <r>
      <rPr>
        <sz val="11"/>
        <rFont val="宋体"/>
        <charset val="134"/>
      </rPr>
      <t>l</t>
    </r>
    <r>
      <rPr>
        <vertAlign val="subscript"/>
        <sz val="11"/>
        <rFont val="宋体"/>
        <charset val="134"/>
      </rPr>
      <t>0</t>
    </r>
    <r>
      <rPr>
        <vertAlign val="superscript"/>
        <sz val="11"/>
        <rFont val="宋体"/>
        <charset val="134"/>
      </rPr>
      <t>2</t>
    </r>
    <r>
      <rPr>
        <sz val="11"/>
        <rFont val="宋体"/>
        <charset val="134"/>
      </rPr>
      <t>/8E</t>
    </r>
    <r>
      <rPr>
        <vertAlign val="subscript"/>
        <sz val="11"/>
        <rFont val="宋体"/>
        <charset val="134"/>
      </rPr>
      <t>c</t>
    </r>
    <r>
      <rPr>
        <sz val="11"/>
        <rFont val="宋体"/>
        <charset val="134"/>
      </rPr>
      <t>I</t>
    </r>
    <r>
      <rPr>
        <vertAlign val="subscript"/>
        <sz val="11"/>
        <rFont val="宋体"/>
        <charset val="134"/>
      </rPr>
      <t>0</t>
    </r>
    <r>
      <rPr>
        <sz val="11"/>
        <rFont val="宋体"/>
        <charset val="134"/>
      </rPr>
      <t>=</t>
    </r>
  </si>
  <si>
    <r>
      <rPr>
        <sz val="11"/>
        <color theme="1"/>
        <rFont val="宋体"/>
        <charset val="134"/>
        <scheme val="minor"/>
      </rPr>
      <t>外荷载和预应力作用下总挠度</t>
    </r>
    <r>
      <rPr>
        <sz val="11"/>
        <color theme="1"/>
        <rFont val="宋体"/>
        <charset val="134"/>
        <scheme val="minor"/>
      </rPr>
      <t>f=</t>
    </r>
    <r>
      <rPr>
        <sz val="11"/>
        <color theme="1"/>
        <rFont val="宋体"/>
        <charset val="134"/>
        <scheme val="minor"/>
      </rPr>
      <t>f</t>
    </r>
    <r>
      <rPr>
        <vertAlign val="subscript"/>
        <sz val="11"/>
        <color theme="1"/>
        <rFont val="宋体"/>
        <charset val="134"/>
        <scheme val="minor"/>
      </rPr>
      <t>1k</t>
    </r>
    <r>
      <rPr>
        <sz val="11"/>
        <color theme="1"/>
        <rFont val="宋体"/>
        <charset val="134"/>
        <scheme val="minor"/>
      </rPr>
      <t>-2f</t>
    </r>
    <r>
      <rPr>
        <vertAlign val="subscript"/>
        <sz val="11"/>
        <color theme="1"/>
        <rFont val="宋体"/>
        <charset val="134"/>
        <scheme val="minor"/>
      </rPr>
      <t>2</t>
    </r>
    <r>
      <rPr>
        <sz val="11"/>
        <color theme="1"/>
        <rFont val="宋体"/>
        <charset val="134"/>
        <scheme val="minor"/>
      </rPr>
      <t>=</t>
    </r>
  </si>
  <si>
    <r>
      <rPr>
        <sz val="11"/>
        <rFont val="宋体"/>
        <charset val="134"/>
      </rPr>
      <t>[f]=l</t>
    </r>
    <r>
      <rPr>
        <vertAlign val="subscript"/>
        <sz val="11"/>
        <rFont val="宋体"/>
        <charset val="134"/>
      </rPr>
      <t>0</t>
    </r>
    <r>
      <rPr>
        <sz val="11"/>
        <rFont val="宋体"/>
        <charset val="134"/>
      </rPr>
      <t>/600=</t>
    </r>
  </si>
  <si>
    <t>/500或/600均可</t>
  </si>
  <si>
    <t>3.8施工阶段验算</t>
  </si>
  <si>
    <t>第一批预应力损失后预应力筋与非预应力筋合力NpⅠ=</t>
  </si>
  <si>
    <r>
      <rPr>
        <sz val="11"/>
        <color theme="1"/>
        <rFont val="宋体"/>
        <charset val="134"/>
        <scheme val="minor"/>
      </rPr>
      <t>第一批预应力损失后受拉区混凝土法向应力σ</t>
    </r>
    <r>
      <rPr>
        <vertAlign val="subscript"/>
        <sz val="11"/>
        <color theme="1"/>
        <rFont val="宋体"/>
        <charset val="134"/>
        <scheme val="minor"/>
      </rPr>
      <t>pc</t>
    </r>
    <r>
      <rPr>
        <sz val="11"/>
        <color theme="1"/>
        <rFont val="宋体"/>
        <charset val="134"/>
        <scheme val="minor"/>
      </rPr>
      <t>Ⅰ=</t>
    </r>
  </si>
  <si>
    <r>
      <rPr>
        <sz val="11"/>
        <color theme="1"/>
        <rFont val="宋体"/>
        <charset val="134"/>
        <scheme val="minor"/>
      </rPr>
      <t>第一批预应力损失后受压区混凝土法向应力σ’</t>
    </r>
    <r>
      <rPr>
        <vertAlign val="subscript"/>
        <sz val="11"/>
        <color theme="1"/>
        <rFont val="宋体"/>
        <charset val="134"/>
        <scheme val="minor"/>
      </rPr>
      <t>pc</t>
    </r>
    <r>
      <rPr>
        <sz val="11"/>
        <color theme="1"/>
        <rFont val="宋体"/>
        <charset val="134"/>
        <scheme val="minor"/>
      </rPr>
      <t>Ⅰ=</t>
    </r>
  </si>
  <si>
    <t>放张时</t>
  </si>
  <si>
    <r>
      <rPr>
        <sz val="11"/>
        <color theme="1"/>
        <rFont val="宋体"/>
        <charset val="134"/>
        <scheme val="minor"/>
      </rPr>
      <t>施工阶段混凝土边缘压应力σ</t>
    </r>
    <r>
      <rPr>
        <vertAlign val="subscript"/>
        <sz val="11"/>
        <color theme="1"/>
        <rFont val="宋体"/>
        <charset val="134"/>
        <scheme val="minor"/>
      </rPr>
      <t>cc</t>
    </r>
    <r>
      <rPr>
        <sz val="11"/>
        <color theme="1"/>
        <rFont val="宋体"/>
        <charset val="134"/>
        <scheme val="minor"/>
      </rPr>
      <t>=</t>
    </r>
  </si>
  <si>
    <r>
      <rPr>
        <sz val="11"/>
        <color theme="1"/>
        <rFont val="宋体"/>
        <charset val="134"/>
        <scheme val="minor"/>
      </rPr>
      <t>施工阶段混凝土边缘拉应力σ</t>
    </r>
    <r>
      <rPr>
        <vertAlign val="subscript"/>
        <sz val="11"/>
        <color theme="1"/>
        <rFont val="宋体"/>
        <charset val="134"/>
        <scheme val="minor"/>
      </rPr>
      <t>ct</t>
    </r>
    <r>
      <rPr>
        <sz val="11"/>
        <color theme="1"/>
        <rFont val="宋体"/>
        <charset val="134"/>
        <scheme val="minor"/>
      </rPr>
      <t>=</t>
    </r>
  </si>
  <si>
    <r>
      <rPr>
        <sz val="11"/>
        <rFont val="宋体"/>
        <charset val="134"/>
      </rPr>
      <t>f</t>
    </r>
    <r>
      <rPr>
        <vertAlign val="superscript"/>
        <sz val="11"/>
        <rFont val="Times New Roman"/>
        <family val="1"/>
      </rPr>
      <t>'</t>
    </r>
    <r>
      <rPr>
        <vertAlign val="subscript"/>
        <sz val="11"/>
        <rFont val="宋体"/>
        <charset val="134"/>
      </rPr>
      <t>tk</t>
    </r>
    <r>
      <rPr>
        <sz val="11"/>
        <rFont val="宋体"/>
        <charset val="134"/>
      </rPr>
      <t>=</t>
    </r>
  </si>
  <si>
    <r>
      <rPr>
        <sz val="11"/>
        <color theme="1"/>
        <rFont val="宋体"/>
        <charset val="134"/>
        <scheme val="minor"/>
      </rPr>
      <t>A'</t>
    </r>
    <r>
      <rPr>
        <vertAlign val="subscript"/>
        <sz val="11"/>
        <color theme="1"/>
        <rFont val="宋体"/>
        <charset val="134"/>
        <scheme val="minor"/>
      </rPr>
      <t>p</t>
    </r>
    <r>
      <rPr>
        <sz val="11"/>
        <color theme="1"/>
        <rFont val="宋体"/>
        <charset val="134"/>
        <scheme val="minor"/>
      </rPr>
      <t>=0所致</t>
    </r>
  </si>
  <si>
    <r>
      <rPr>
        <sz val="11"/>
        <color theme="1"/>
        <rFont val="宋体"/>
        <charset val="134"/>
        <scheme val="minor"/>
      </rPr>
      <t>不为0时，0.8f'</t>
    </r>
    <r>
      <rPr>
        <vertAlign val="subscript"/>
        <sz val="11"/>
        <color theme="1"/>
        <rFont val="宋体"/>
        <charset val="134"/>
        <scheme val="minor"/>
      </rPr>
      <t>ck</t>
    </r>
    <r>
      <rPr>
        <sz val="11"/>
        <color theme="1"/>
        <rFont val="宋体"/>
        <charset val="134"/>
        <scheme val="minor"/>
      </rPr>
      <t>、f'</t>
    </r>
    <r>
      <rPr>
        <vertAlign val="subscript"/>
        <sz val="11"/>
        <color theme="1"/>
        <rFont val="宋体"/>
        <charset val="134"/>
        <scheme val="minor"/>
      </rPr>
      <t>tk</t>
    </r>
    <r>
      <rPr>
        <sz val="11"/>
        <color theme="1"/>
        <rFont val="宋体"/>
        <charset val="134"/>
        <scheme val="minor"/>
      </rPr>
      <t>控制</t>
    </r>
  </si>
  <si>
    <r>
      <rPr>
        <sz val="11"/>
        <rFont val="Times New Roman"/>
        <family val="1"/>
      </rPr>
      <t>0.8</t>
    </r>
    <r>
      <rPr>
        <sz val="11"/>
        <rFont val="宋体"/>
        <charset val="134"/>
      </rPr>
      <t>f</t>
    </r>
    <r>
      <rPr>
        <vertAlign val="superscript"/>
        <sz val="11"/>
        <rFont val="Times New Roman"/>
        <family val="1"/>
      </rPr>
      <t>'</t>
    </r>
    <r>
      <rPr>
        <vertAlign val="subscript"/>
        <sz val="11"/>
        <rFont val="Times New Roman"/>
        <family val="1"/>
      </rPr>
      <t>c</t>
    </r>
    <r>
      <rPr>
        <vertAlign val="subscript"/>
        <sz val="11"/>
        <rFont val="宋体"/>
        <charset val="134"/>
      </rPr>
      <t>k</t>
    </r>
    <r>
      <rPr>
        <sz val="11"/>
        <rFont val="宋体"/>
        <charset val="134"/>
      </rPr>
      <t>=</t>
    </r>
  </si>
  <si>
    <t>吊装运输及安装时</t>
  </si>
  <si>
    <r>
      <rPr>
        <sz val="11"/>
        <color theme="1"/>
        <rFont val="宋体"/>
        <charset val="134"/>
        <scheme val="minor"/>
      </rPr>
      <t>槽身自重g</t>
    </r>
    <r>
      <rPr>
        <vertAlign val="subscript"/>
        <sz val="11"/>
        <color theme="1"/>
        <rFont val="宋体"/>
        <charset val="134"/>
        <scheme val="minor"/>
      </rPr>
      <t>k</t>
    </r>
    <r>
      <rPr>
        <sz val="11"/>
        <color theme="1"/>
        <rFont val="宋体"/>
        <charset val="134"/>
        <scheme val="minor"/>
      </rPr>
      <t>=</t>
    </r>
  </si>
  <si>
    <t>动力系数=</t>
  </si>
  <si>
    <r>
      <rPr>
        <sz val="11"/>
        <color theme="1"/>
        <rFont val="宋体"/>
        <charset val="134"/>
        <scheme val="minor"/>
      </rPr>
      <t>吊点位置l=0.1l</t>
    </r>
    <r>
      <rPr>
        <vertAlign val="subscript"/>
        <sz val="11"/>
        <color theme="1"/>
        <rFont val="宋体"/>
        <charset val="134"/>
        <scheme val="minor"/>
      </rPr>
      <t>q</t>
    </r>
    <r>
      <rPr>
        <sz val="11"/>
        <color theme="1"/>
        <rFont val="宋体"/>
        <charset val="134"/>
        <scheme val="minor"/>
      </rPr>
      <t>=</t>
    </r>
  </si>
  <si>
    <r>
      <rPr>
        <sz val="11"/>
        <color theme="1"/>
        <rFont val="宋体"/>
        <charset val="134"/>
        <scheme val="minor"/>
      </rPr>
      <t>吊点处构件自重标准值在计算截面产生弯矩M</t>
    </r>
    <r>
      <rPr>
        <vertAlign val="subscript"/>
        <sz val="11"/>
        <color theme="1"/>
        <rFont val="宋体"/>
        <charset val="134"/>
        <scheme val="minor"/>
      </rPr>
      <t>k</t>
    </r>
    <r>
      <rPr>
        <sz val="11"/>
        <color theme="1"/>
        <rFont val="宋体"/>
        <charset val="134"/>
        <scheme val="minor"/>
      </rPr>
      <t>=</t>
    </r>
  </si>
  <si>
    <r>
      <rPr>
        <sz val="11"/>
        <color theme="1"/>
        <rFont val="宋体"/>
        <charset val="134"/>
        <scheme val="minor"/>
      </rPr>
      <t>N</t>
    </r>
    <r>
      <rPr>
        <vertAlign val="subscript"/>
        <sz val="11"/>
        <color theme="1"/>
        <rFont val="宋体"/>
        <charset val="134"/>
        <scheme val="minor"/>
      </rPr>
      <t>k</t>
    </r>
    <r>
      <rPr>
        <sz val="11"/>
        <color theme="1"/>
        <rFont val="宋体"/>
        <charset val="134"/>
        <scheme val="minor"/>
      </rPr>
      <t>=</t>
    </r>
  </si>
  <si>
    <t>3.9纵向钢绞线锚固端砼局部受压承载力计算</t>
  </si>
  <si>
    <t>承载力安全系数:K=</t>
  </si>
  <si>
    <t>暂时不拟定锚固端尺寸</t>
  </si>
  <si>
    <t>横向</t>
  </si>
  <si>
    <t>单束张拉控制吨位F=</t>
  </si>
  <si>
    <t>局部受压尺寸：</t>
  </si>
  <si>
    <r>
      <rPr>
        <sz val="11"/>
        <rFont val="宋体"/>
        <charset val="134"/>
      </rPr>
      <t>长L</t>
    </r>
    <r>
      <rPr>
        <vertAlign val="subscript"/>
        <sz val="11"/>
        <rFont val="宋体"/>
        <charset val="134"/>
      </rPr>
      <t>局</t>
    </r>
    <r>
      <rPr>
        <sz val="11"/>
        <rFont val="宋体"/>
        <charset val="134"/>
      </rPr>
      <t>=</t>
    </r>
  </si>
  <si>
    <r>
      <rPr>
        <sz val="11"/>
        <rFont val="宋体"/>
        <charset val="134"/>
      </rPr>
      <t>宽b</t>
    </r>
    <r>
      <rPr>
        <vertAlign val="subscript"/>
        <sz val="11"/>
        <rFont val="宋体"/>
        <charset val="134"/>
      </rPr>
      <t>局</t>
    </r>
    <r>
      <rPr>
        <sz val="11"/>
        <rFont val="宋体"/>
        <charset val="134"/>
      </rPr>
      <t>=</t>
    </r>
  </si>
  <si>
    <r>
      <rPr>
        <sz val="11"/>
        <rFont val="宋体"/>
        <charset val="134"/>
      </rPr>
      <t>砼局部受压面积A</t>
    </r>
    <r>
      <rPr>
        <vertAlign val="subscript"/>
        <sz val="11"/>
        <rFont val="宋体"/>
        <charset val="134"/>
      </rPr>
      <t>L</t>
    </r>
    <r>
      <rPr>
        <sz val="11"/>
        <rFont val="宋体"/>
        <charset val="134"/>
      </rPr>
      <t>=</t>
    </r>
    <r>
      <rPr>
        <sz val="11"/>
        <rFont val="宋体"/>
        <charset val="134"/>
      </rPr>
      <t>L</t>
    </r>
    <r>
      <rPr>
        <vertAlign val="subscript"/>
        <sz val="11"/>
        <rFont val="宋体"/>
        <charset val="134"/>
      </rPr>
      <t>局</t>
    </r>
    <r>
      <rPr>
        <sz val="11"/>
        <rFont val="宋体"/>
        <charset val="134"/>
      </rPr>
      <t>b</t>
    </r>
    <r>
      <rPr>
        <vertAlign val="subscript"/>
        <sz val="11"/>
        <rFont val="宋体"/>
        <charset val="134"/>
      </rPr>
      <t>局</t>
    </r>
    <r>
      <rPr>
        <sz val="11"/>
        <rFont val="宋体"/>
        <charset val="134"/>
      </rPr>
      <t>=</t>
    </r>
  </si>
  <si>
    <r>
      <rPr>
        <sz val="11"/>
        <rFont val="宋体"/>
        <charset val="134"/>
      </rPr>
      <t>局部受压时计算底面积A</t>
    </r>
    <r>
      <rPr>
        <vertAlign val="subscript"/>
        <sz val="11"/>
        <rFont val="宋体"/>
        <charset val="134"/>
      </rPr>
      <t>b</t>
    </r>
    <r>
      <rPr>
        <sz val="11"/>
        <rFont val="宋体"/>
        <charset val="134"/>
      </rPr>
      <t>=(L</t>
    </r>
    <r>
      <rPr>
        <vertAlign val="subscript"/>
        <sz val="11"/>
        <rFont val="宋体"/>
        <charset val="134"/>
      </rPr>
      <t>局</t>
    </r>
    <r>
      <rPr>
        <sz val="11"/>
        <rFont val="宋体"/>
        <charset val="134"/>
      </rPr>
      <t>+2b</t>
    </r>
    <r>
      <rPr>
        <vertAlign val="subscript"/>
        <sz val="11"/>
        <rFont val="宋体"/>
        <charset val="134"/>
      </rPr>
      <t>局</t>
    </r>
    <r>
      <rPr>
        <sz val="11"/>
        <rFont val="宋体"/>
        <charset val="134"/>
      </rPr>
      <t>)*3b</t>
    </r>
    <r>
      <rPr>
        <vertAlign val="subscript"/>
        <sz val="11"/>
        <rFont val="宋体"/>
        <charset val="134"/>
      </rPr>
      <t>局</t>
    </r>
    <r>
      <rPr>
        <sz val="11"/>
        <rFont val="宋体"/>
        <charset val="134"/>
      </rPr>
      <t>=</t>
    </r>
  </si>
  <si>
    <t>方格网式配筋</t>
  </si>
  <si>
    <r>
      <rPr>
        <sz val="11"/>
        <rFont val="宋体"/>
        <charset val="134"/>
      </rPr>
      <t>砼局部受压时强度提高系数β</t>
    </r>
    <r>
      <rPr>
        <vertAlign val="subscript"/>
        <sz val="11"/>
        <rFont val="宋体"/>
        <charset val="134"/>
      </rPr>
      <t>L</t>
    </r>
    <r>
      <rPr>
        <sz val="11"/>
        <rFont val="宋体"/>
        <charset val="134"/>
      </rPr>
      <t>=(A</t>
    </r>
    <r>
      <rPr>
        <vertAlign val="subscript"/>
        <sz val="11"/>
        <rFont val="宋体"/>
        <charset val="134"/>
      </rPr>
      <t>b</t>
    </r>
    <r>
      <rPr>
        <sz val="11"/>
        <rFont val="宋体"/>
        <charset val="134"/>
      </rPr>
      <t>/A</t>
    </r>
    <r>
      <rPr>
        <vertAlign val="subscript"/>
        <sz val="11"/>
        <rFont val="宋体"/>
        <charset val="134"/>
      </rPr>
      <t>L</t>
    </r>
    <r>
      <rPr>
        <sz val="11"/>
        <rFont val="宋体"/>
        <charset val="134"/>
      </rPr>
      <t>)</t>
    </r>
    <r>
      <rPr>
        <vertAlign val="superscript"/>
        <sz val="11"/>
        <rFont val="宋体"/>
        <charset val="134"/>
      </rPr>
      <t>0.5</t>
    </r>
    <r>
      <rPr>
        <sz val="11"/>
        <rFont val="宋体"/>
        <charset val="134"/>
      </rPr>
      <t>=</t>
    </r>
  </si>
  <si>
    <t>C40砼轴心抗压强度设计值fc=</t>
  </si>
  <si>
    <r>
      <rPr>
        <sz val="11"/>
        <rFont val="宋体"/>
        <charset val="134"/>
      </rPr>
      <t>螺旋式间接钢筋强度设计值f</t>
    </r>
    <r>
      <rPr>
        <vertAlign val="subscript"/>
        <sz val="11"/>
        <rFont val="宋体"/>
        <charset val="134"/>
      </rPr>
      <t>y</t>
    </r>
    <r>
      <rPr>
        <sz val="11"/>
        <rFont val="宋体"/>
        <charset val="134"/>
      </rPr>
      <t>=</t>
    </r>
  </si>
  <si>
    <t>采用HPB235，一级</t>
  </si>
  <si>
    <t>螺旋式间接钢筋直径Φ=</t>
  </si>
  <si>
    <r>
      <rPr>
        <sz val="11"/>
        <rFont val="宋体"/>
        <charset val="134"/>
      </rPr>
      <t>螺旋式间接钢筋面积A</t>
    </r>
    <r>
      <rPr>
        <vertAlign val="subscript"/>
        <sz val="11"/>
        <rFont val="宋体"/>
        <charset val="134"/>
      </rPr>
      <t>ss1</t>
    </r>
    <r>
      <rPr>
        <sz val="11"/>
        <rFont val="宋体"/>
        <charset val="134"/>
      </rPr>
      <t>=πφ</t>
    </r>
    <r>
      <rPr>
        <vertAlign val="superscript"/>
        <sz val="11"/>
        <rFont val="宋体"/>
        <charset val="134"/>
      </rPr>
      <t>2</t>
    </r>
    <r>
      <rPr>
        <sz val="11"/>
        <rFont val="宋体"/>
        <charset val="134"/>
      </rPr>
      <t>/4=</t>
    </r>
  </si>
  <si>
    <r>
      <rPr>
        <sz val="11"/>
        <rFont val="宋体"/>
        <charset val="134"/>
      </rPr>
      <t>螺旋式间接钢筋范围内砼直径d</t>
    </r>
    <r>
      <rPr>
        <vertAlign val="subscript"/>
        <sz val="11"/>
        <rFont val="宋体"/>
        <charset val="134"/>
      </rPr>
      <t>cor</t>
    </r>
    <r>
      <rPr>
        <sz val="11"/>
        <rFont val="宋体"/>
        <charset val="134"/>
      </rPr>
      <t>=</t>
    </r>
  </si>
  <si>
    <r>
      <rPr>
        <sz val="11"/>
        <rFont val="宋体"/>
        <charset val="134"/>
      </rPr>
      <t>混凝土核心面积A</t>
    </r>
    <r>
      <rPr>
        <vertAlign val="subscript"/>
        <sz val="11"/>
        <rFont val="宋体"/>
        <charset val="134"/>
      </rPr>
      <t>cor</t>
    </r>
    <r>
      <rPr>
        <sz val="11"/>
        <rFont val="宋体"/>
        <charset val="134"/>
      </rPr>
      <t>=</t>
    </r>
  </si>
  <si>
    <t>螺旋式间接钢筋的间距s=</t>
  </si>
  <si>
    <r>
      <rPr>
        <sz val="11"/>
        <rFont val="宋体"/>
        <charset val="134"/>
      </rPr>
      <t>体积配筋率ρ</t>
    </r>
    <r>
      <rPr>
        <vertAlign val="subscript"/>
        <sz val="11"/>
        <rFont val="宋体"/>
        <charset val="134"/>
      </rPr>
      <t>v</t>
    </r>
    <r>
      <rPr>
        <sz val="11"/>
        <rFont val="宋体"/>
        <charset val="134"/>
      </rPr>
      <t>=4A</t>
    </r>
    <r>
      <rPr>
        <vertAlign val="subscript"/>
        <sz val="11"/>
        <rFont val="宋体"/>
        <charset val="134"/>
      </rPr>
      <t>ss1</t>
    </r>
    <r>
      <rPr>
        <sz val="11"/>
        <rFont val="宋体"/>
        <charset val="134"/>
      </rPr>
      <t>/d</t>
    </r>
    <r>
      <rPr>
        <vertAlign val="subscript"/>
        <sz val="11"/>
        <rFont val="宋体"/>
        <charset val="134"/>
      </rPr>
      <t>cor</t>
    </r>
    <r>
      <rPr>
        <sz val="11"/>
        <rFont val="宋体"/>
        <charset val="134"/>
      </rPr>
      <t>s=</t>
    </r>
  </si>
  <si>
    <t>应&gt;0.5%</t>
  </si>
  <si>
    <r>
      <rPr>
        <sz val="11"/>
        <rFont val="宋体"/>
        <charset val="134"/>
      </rPr>
      <t>配置间接钢筋的砼局部受压承载力提高系数β</t>
    </r>
    <r>
      <rPr>
        <vertAlign val="subscript"/>
        <sz val="11"/>
        <rFont val="宋体"/>
        <charset val="134"/>
      </rPr>
      <t>cor</t>
    </r>
    <r>
      <rPr>
        <sz val="11"/>
        <rFont val="宋体"/>
        <charset val="134"/>
      </rPr>
      <t>：</t>
    </r>
  </si>
  <si>
    <r>
      <rPr>
        <sz val="11"/>
        <rFont val="宋体"/>
        <charset val="134"/>
      </rPr>
      <t>β</t>
    </r>
    <r>
      <rPr>
        <vertAlign val="subscript"/>
        <sz val="11"/>
        <rFont val="宋体"/>
        <charset val="134"/>
      </rPr>
      <t>cor</t>
    </r>
    <r>
      <rPr>
        <sz val="11"/>
        <rFont val="宋体"/>
        <charset val="134"/>
      </rPr>
      <t>=(A</t>
    </r>
    <r>
      <rPr>
        <vertAlign val="subscript"/>
        <sz val="11"/>
        <rFont val="宋体"/>
        <charset val="134"/>
      </rPr>
      <t>cor</t>
    </r>
    <r>
      <rPr>
        <sz val="11"/>
        <rFont val="宋体"/>
        <charset val="134"/>
      </rPr>
      <t>/A</t>
    </r>
    <r>
      <rPr>
        <vertAlign val="subscript"/>
        <sz val="11"/>
        <rFont val="宋体"/>
        <charset val="134"/>
      </rPr>
      <t>L</t>
    </r>
    <r>
      <rPr>
        <sz val="11"/>
        <rFont val="宋体"/>
        <charset val="134"/>
      </rPr>
      <t>)</t>
    </r>
    <r>
      <rPr>
        <vertAlign val="superscript"/>
        <sz val="11"/>
        <rFont val="宋体"/>
        <charset val="134"/>
      </rPr>
      <t>0.5</t>
    </r>
    <r>
      <rPr>
        <sz val="11"/>
        <rFont val="宋体"/>
        <charset val="134"/>
      </rPr>
      <t>=</t>
    </r>
  </si>
  <si>
    <r>
      <rPr>
        <sz val="11"/>
        <rFont val="宋体"/>
        <charset val="134"/>
      </rPr>
      <t>(β</t>
    </r>
    <r>
      <rPr>
        <vertAlign val="subscript"/>
        <sz val="11"/>
        <rFont val="宋体"/>
        <charset val="134"/>
      </rPr>
      <t>L</t>
    </r>
    <r>
      <rPr>
        <sz val="11"/>
        <rFont val="宋体"/>
        <charset val="134"/>
      </rPr>
      <t>f</t>
    </r>
    <r>
      <rPr>
        <vertAlign val="subscript"/>
        <sz val="11"/>
        <rFont val="宋体"/>
        <charset val="134"/>
      </rPr>
      <t>c</t>
    </r>
    <r>
      <rPr>
        <sz val="11"/>
        <rFont val="宋体"/>
        <charset val="134"/>
      </rPr>
      <t>+2ρ</t>
    </r>
    <r>
      <rPr>
        <vertAlign val="subscript"/>
        <sz val="11"/>
        <rFont val="宋体"/>
        <charset val="134"/>
      </rPr>
      <t>v</t>
    </r>
    <r>
      <rPr>
        <sz val="11"/>
        <rFont val="宋体"/>
        <charset val="134"/>
      </rPr>
      <t>β</t>
    </r>
    <r>
      <rPr>
        <vertAlign val="subscript"/>
        <sz val="11"/>
        <rFont val="宋体"/>
        <charset val="134"/>
      </rPr>
      <t>cor</t>
    </r>
    <r>
      <rPr>
        <sz val="11"/>
        <rFont val="宋体"/>
        <charset val="134"/>
      </rPr>
      <t>f</t>
    </r>
    <r>
      <rPr>
        <vertAlign val="subscript"/>
        <sz val="11"/>
        <rFont val="宋体"/>
        <charset val="134"/>
      </rPr>
      <t>y</t>
    </r>
    <r>
      <rPr>
        <sz val="11"/>
        <rFont val="宋体"/>
        <charset val="134"/>
      </rPr>
      <t>)A</t>
    </r>
    <r>
      <rPr>
        <vertAlign val="subscript"/>
        <sz val="11"/>
        <rFont val="宋体"/>
        <charset val="134"/>
      </rPr>
      <t>L</t>
    </r>
    <r>
      <rPr>
        <sz val="11"/>
        <rFont val="宋体"/>
        <charset val="134"/>
      </rPr>
      <t>=</t>
    </r>
  </si>
  <si>
    <r>
      <rPr>
        <sz val="11"/>
        <rFont val="宋体"/>
        <charset val="134"/>
      </rPr>
      <t>1.5β</t>
    </r>
    <r>
      <rPr>
        <vertAlign val="subscript"/>
        <sz val="11"/>
        <rFont val="宋体"/>
        <charset val="134"/>
      </rPr>
      <t>L</t>
    </r>
    <r>
      <rPr>
        <sz val="11"/>
        <rFont val="宋体"/>
        <charset val="134"/>
      </rPr>
      <t>f</t>
    </r>
    <r>
      <rPr>
        <vertAlign val="subscript"/>
        <sz val="11"/>
        <rFont val="宋体"/>
        <charset val="134"/>
      </rPr>
      <t>c</t>
    </r>
    <r>
      <rPr>
        <sz val="11"/>
        <rFont val="宋体"/>
        <charset val="134"/>
      </rPr>
      <t>A</t>
    </r>
    <r>
      <rPr>
        <vertAlign val="subscript"/>
        <sz val="11"/>
        <rFont val="宋体"/>
        <charset val="134"/>
      </rPr>
      <t>L</t>
    </r>
    <r>
      <rPr>
        <sz val="11"/>
        <rFont val="宋体"/>
        <charset val="134"/>
      </rPr>
      <t>=</t>
    </r>
  </si>
  <si>
    <t>表1  拟定槽壳结构尺寸</t>
  </si>
  <si>
    <r>
      <rPr>
        <sz val="10"/>
        <color theme="1"/>
        <rFont val="宋体"/>
        <charset val="134"/>
      </rPr>
      <t>槽壳内半径</t>
    </r>
    <r>
      <rPr>
        <sz val="10"/>
        <color theme="1"/>
        <rFont val="Times New Roman"/>
        <family val="1"/>
      </rPr>
      <t>R0=</t>
    </r>
  </si>
  <si>
    <r>
      <rPr>
        <sz val="10"/>
        <color theme="1"/>
        <rFont val="宋体"/>
        <charset val="134"/>
      </rPr>
      <t>备注</t>
    </r>
  </si>
  <si>
    <r>
      <rPr>
        <sz val="10"/>
        <color theme="1"/>
        <rFont val="宋体"/>
        <charset val="134"/>
      </rPr>
      <t>跨度</t>
    </r>
    <r>
      <rPr>
        <sz val="10"/>
        <color theme="1"/>
        <rFont val="Times New Roman"/>
        <family val="1"/>
      </rPr>
      <t>L=</t>
    </r>
  </si>
  <si>
    <r>
      <rPr>
        <sz val="10"/>
        <color theme="1"/>
        <rFont val="宋体"/>
        <charset val="134"/>
      </rPr>
      <t>跨宽比（</t>
    </r>
    <r>
      <rPr>
        <sz val="10"/>
        <color theme="1"/>
        <rFont val="Times New Roman"/>
        <family val="1"/>
      </rPr>
      <t>L//2R0</t>
    </r>
    <r>
      <rPr>
        <sz val="10"/>
        <color theme="1"/>
        <rFont val="宋体"/>
        <charset val="134"/>
      </rPr>
      <t>）</t>
    </r>
    <r>
      <rPr>
        <sz val="10"/>
        <color theme="1"/>
        <rFont val="Times New Roman"/>
        <family val="1"/>
      </rPr>
      <t>=</t>
    </r>
  </si>
  <si>
    <r>
      <rPr>
        <sz val="10"/>
        <color theme="1"/>
        <rFont val="宋体"/>
        <charset val="134"/>
      </rPr>
      <t>跨高比（</t>
    </r>
    <r>
      <rPr>
        <sz val="10"/>
        <color theme="1"/>
        <rFont val="Times New Roman"/>
        <family val="1"/>
      </rPr>
      <t>L//H</t>
    </r>
    <r>
      <rPr>
        <sz val="10"/>
        <color theme="1"/>
        <rFont val="宋体"/>
        <charset val="134"/>
      </rPr>
      <t>）</t>
    </r>
    <r>
      <rPr>
        <sz val="10"/>
        <color theme="1"/>
        <rFont val="Times New Roman"/>
        <family val="1"/>
      </rPr>
      <t>=</t>
    </r>
  </si>
  <si>
    <r>
      <rPr>
        <sz val="10"/>
        <color theme="1"/>
        <rFont val="宋体"/>
        <charset val="134"/>
      </rPr>
      <t>经验范围值</t>
    </r>
    <r>
      <rPr>
        <sz val="10"/>
        <color theme="1"/>
        <rFont val="Times New Roman"/>
        <family val="1"/>
      </rPr>
      <t>(m)</t>
    </r>
  </si>
  <si>
    <r>
      <rPr>
        <sz val="10"/>
        <color theme="1"/>
        <rFont val="宋体"/>
        <charset val="134"/>
      </rPr>
      <t>设计值</t>
    </r>
    <r>
      <rPr>
        <sz val="10"/>
        <color theme="1"/>
        <rFont val="Times New Roman"/>
        <family val="1"/>
      </rPr>
      <t>(m)</t>
    </r>
  </si>
  <si>
    <r>
      <rPr>
        <sz val="10"/>
        <color theme="1"/>
        <rFont val="宋体"/>
        <charset val="134"/>
      </rPr>
      <t>壁厚</t>
    </r>
    <r>
      <rPr>
        <sz val="10"/>
        <color theme="1"/>
        <rFont val="Times New Roman"/>
        <family val="1"/>
      </rPr>
      <t xml:space="preserve"> t</t>
    </r>
  </si>
  <si>
    <r>
      <rPr>
        <sz val="10"/>
        <color theme="1"/>
        <rFont val="Times New Roman"/>
        <family val="1"/>
      </rPr>
      <t>(1/10</t>
    </r>
    <r>
      <rPr>
        <sz val="10"/>
        <color theme="1"/>
        <rFont val="宋体"/>
        <charset val="134"/>
      </rPr>
      <t>～</t>
    </r>
    <r>
      <rPr>
        <sz val="10"/>
        <color theme="1"/>
        <rFont val="Times New Roman"/>
        <family val="1"/>
      </rPr>
      <t>1/15)R0</t>
    </r>
  </si>
  <si>
    <r>
      <rPr>
        <sz val="10"/>
        <color theme="1"/>
        <rFont val="宋体"/>
        <charset val="134"/>
      </rPr>
      <t>顶梁宽</t>
    </r>
    <r>
      <rPr>
        <sz val="10"/>
        <color theme="1"/>
        <rFont val="Times New Roman"/>
        <family val="1"/>
      </rPr>
      <t xml:space="preserve"> a</t>
    </r>
  </si>
  <si>
    <r>
      <rPr>
        <sz val="10"/>
        <color theme="1"/>
        <rFont val="Times New Roman"/>
        <family val="1"/>
      </rPr>
      <t>(1.5</t>
    </r>
    <r>
      <rPr>
        <sz val="10"/>
        <color theme="1"/>
        <rFont val="宋体"/>
        <charset val="134"/>
      </rPr>
      <t>～</t>
    </r>
    <r>
      <rPr>
        <sz val="10"/>
        <color theme="1"/>
        <rFont val="Times New Roman"/>
        <family val="1"/>
      </rPr>
      <t>2.5)t</t>
    </r>
  </si>
  <si>
    <r>
      <rPr>
        <sz val="10"/>
        <color theme="1"/>
        <rFont val="宋体"/>
        <charset val="134"/>
      </rPr>
      <t>顶梁高</t>
    </r>
    <r>
      <rPr>
        <sz val="10"/>
        <color theme="1"/>
        <rFont val="Times New Roman"/>
        <family val="1"/>
      </rPr>
      <t xml:space="preserve"> b</t>
    </r>
  </si>
  <si>
    <r>
      <rPr>
        <sz val="10"/>
        <color theme="1"/>
        <rFont val="Times New Roman"/>
        <family val="1"/>
      </rPr>
      <t>(1</t>
    </r>
    <r>
      <rPr>
        <sz val="10"/>
        <color theme="1"/>
        <rFont val="宋体"/>
        <charset val="134"/>
      </rPr>
      <t>～</t>
    </r>
    <r>
      <rPr>
        <sz val="10"/>
        <color theme="1"/>
        <rFont val="Times New Roman"/>
        <family val="1"/>
      </rPr>
      <t>2)t</t>
    </r>
  </si>
  <si>
    <r>
      <rPr>
        <sz val="10"/>
        <color theme="1"/>
        <rFont val="宋体"/>
        <charset val="134"/>
      </rPr>
      <t>顶梁斜高</t>
    </r>
    <r>
      <rPr>
        <sz val="10"/>
        <color theme="1"/>
        <rFont val="Times New Roman"/>
        <family val="1"/>
      </rPr>
      <t>c</t>
    </r>
  </si>
  <si>
    <r>
      <rPr>
        <sz val="10"/>
        <color theme="1"/>
        <rFont val="宋体"/>
        <charset val="134"/>
      </rPr>
      <t>槽底弧段加厚宽</t>
    </r>
    <r>
      <rPr>
        <sz val="10"/>
        <color theme="1"/>
        <rFont val="Times New Roman"/>
        <family val="1"/>
      </rPr>
      <t xml:space="preserve"> d0</t>
    </r>
  </si>
  <si>
    <r>
      <rPr>
        <sz val="10"/>
        <color theme="1"/>
        <rFont val="Times New Roman"/>
        <family val="1"/>
      </rPr>
      <t>(0.5</t>
    </r>
    <r>
      <rPr>
        <sz val="10"/>
        <color theme="1"/>
        <rFont val="宋体"/>
        <charset val="134"/>
      </rPr>
      <t>～</t>
    </r>
    <r>
      <rPr>
        <sz val="10"/>
        <color theme="1"/>
        <rFont val="Times New Roman"/>
        <family val="1"/>
      </rPr>
      <t>0.6)R0</t>
    </r>
  </si>
  <si>
    <r>
      <rPr>
        <sz val="10"/>
        <color theme="1"/>
        <rFont val="宋体"/>
        <charset val="134"/>
      </rPr>
      <t>槽底弧段加厚高</t>
    </r>
    <r>
      <rPr>
        <sz val="10"/>
        <color theme="1"/>
        <rFont val="Times New Roman"/>
        <family val="1"/>
      </rPr>
      <t xml:space="preserve"> t0</t>
    </r>
  </si>
  <si>
    <r>
      <rPr>
        <sz val="10"/>
        <color theme="1"/>
        <rFont val="Times New Roman"/>
        <family val="1"/>
      </rPr>
      <t>(1</t>
    </r>
    <r>
      <rPr>
        <sz val="10"/>
        <color theme="1"/>
        <rFont val="宋体"/>
        <charset val="134"/>
      </rPr>
      <t>～</t>
    </r>
    <r>
      <rPr>
        <sz val="10"/>
        <color theme="1"/>
        <rFont val="Times New Roman"/>
        <family val="1"/>
      </rPr>
      <t>1.5)t</t>
    </r>
  </si>
  <si>
    <r>
      <rPr>
        <sz val="10"/>
        <color theme="1"/>
        <rFont val="宋体"/>
        <charset val="134"/>
      </rPr>
      <t>直段高</t>
    </r>
    <r>
      <rPr>
        <sz val="10"/>
        <color theme="1"/>
        <rFont val="Times New Roman"/>
        <family val="1"/>
      </rPr>
      <t xml:space="preserve"> f</t>
    </r>
  </si>
  <si>
    <r>
      <rPr>
        <sz val="10"/>
        <color theme="1"/>
        <rFont val="Times New Roman"/>
        <family val="1"/>
      </rPr>
      <t>(0.4</t>
    </r>
    <r>
      <rPr>
        <sz val="10"/>
        <color theme="1"/>
        <rFont val="宋体"/>
        <charset val="134"/>
      </rPr>
      <t>～</t>
    </r>
    <r>
      <rPr>
        <sz val="10"/>
        <color theme="1"/>
        <rFont val="Times New Roman"/>
        <family val="1"/>
      </rPr>
      <t>0.6)R0</t>
    </r>
  </si>
  <si>
    <r>
      <rPr>
        <sz val="10"/>
        <color theme="1"/>
        <rFont val="宋体"/>
        <charset val="134"/>
      </rPr>
      <t>加厚区斜边水平投影</t>
    </r>
    <r>
      <rPr>
        <sz val="10"/>
        <color theme="1"/>
        <rFont val="Times New Roman"/>
        <family val="1"/>
      </rPr>
      <t xml:space="preserve"> S</t>
    </r>
    <r>
      <rPr>
        <vertAlign val="subscript"/>
        <sz val="10"/>
        <rFont val="Times New Roman"/>
        <family val="1"/>
      </rPr>
      <t>0</t>
    </r>
  </si>
  <si>
    <r>
      <rPr>
        <b/>
        <sz val="10"/>
        <color rgb="FFFF0000"/>
        <rFont val="宋体"/>
        <charset val="134"/>
      </rPr>
      <t>图上量取</t>
    </r>
  </si>
  <si>
    <r>
      <rPr>
        <sz val="10"/>
        <color theme="1"/>
        <rFont val="宋体"/>
        <charset val="134"/>
      </rPr>
      <t>槽身高</t>
    </r>
  </si>
  <si>
    <r>
      <rPr>
        <sz val="10"/>
        <color theme="1"/>
        <rFont val="宋体"/>
        <charset val="134"/>
      </rPr>
      <t>人行道板厚度</t>
    </r>
    <r>
      <rPr>
        <sz val="10"/>
        <color theme="1"/>
        <rFont val="Times New Roman"/>
        <family val="1"/>
      </rPr>
      <t>=</t>
    </r>
  </si>
  <si>
    <r>
      <rPr>
        <sz val="10"/>
        <rFont val="宋体"/>
        <charset val="134"/>
      </rPr>
      <t>渡槽高</t>
    </r>
    <r>
      <rPr>
        <sz val="10"/>
        <rFont val="Times New Roman"/>
        <family val="1"/>
      </rPr>
      <t>h=</t>
    </r>
  </si>
  <si>
    <r>
      <rPr>
        <sz val="10"/>
        <color theme="1"/>
        <rFont val="宋体"/>
        <charset val="134"/>
      </rPr>
      <t>内挑人行道板宽度</t>
    </r>
    <r>
      <rPr>
        <sz val="10"/>
        <color theme="1"/>
        <rFont val="Times New Roman"/>
        <family val="1"/>
      </rPr>
      <t>=</t>
    </r>
  </si>
  <si>
    <r>
      <rPr>
        <sz val="10"/>
        <color theme="1"/>
        <rFont val="宋体"/>
        <charset val="134"/>
      </rPr>
      <t>拉杆宽</t>
    </r>
    <r>
      <rPr>
        <sz val="10"/>
        <color theme="1"/>
        <rFont val="Times New Roman"/>
        <family val="1"/>
      </rPr>
      <t>=</t>
    </r>
  </si>
  <si>
    <r>
      <rPr>
        <sz val="10"/>
        <color theme="1"/>
        <rFont val="宋体"/>
        <charset val="134"/>
      </rPr>
      <t>拉杆高</t>
    </r>
    <r>
      <rPr>
        <sz val="10"/>
        <color theme="1"/>
        <rFont val="Times New Roman"/>
        <family val="1"/>
      </rPr>
      <t>=</t>
    </r>
  </si>
  <si>
    <t>水位信息</t>
  </si>
  <si>
    <r>
      <rPr>
        <sz val="10"/>
        <color theme="1"/>
        <rFont val="宋体"/>
        <charset val="134"/>
      </rPr>
      <t>拉杆长</t>
    </r>
    <r>
      <rPr>
        <sz val="10"/>
        <color theme="1"/>
        <rFont val="Times New Roman"/>
        <family val="1"/>
      </rPr>
      <t>=</t>
    </r>
  </si>
  <si>
    <r>
      <rPr>
        <sz val="10"/>
        <rFont val="宋体"/>
        <charset val="134"/>
      </rPr>
      <t>加大水深</t>
    </r>
  </si>
  <si>
    <r>
      <rPr>
        <sz val="10"/>
        <color theme="1"/>
        <rFont val="宋体"/>
        <charset val="134"/>
      </rPr>
      <t>拉杆间距</t>
    </r>
    <r>
      <rPr>
        <sz val="10"/>
        <color theme="1"/>
        <rFont val="Times New Roman"/>
        <family val="1"/>
      </rPr>
      <t>=</t>
    </r>
  </si>
  <si>
    <r>
      <rPr>
        <sz val="10"/>
        <rFont val="宋体"/>
        <charset val="134"/>
      </rPr>
      <t>满槽水深</t>
    </r>
  </si>
  <si>
    <t>表2 槽壳截面几何特性计算</t>
  </si>
  <si>
    <t>槽壳分块Ai,各分块重心至槽顶距离yi，各分块重心至槽壳重心轴距离y,各分块对自身轴惯性距Ii（见示意图）</t>
  </si>
  <si>
    <r>
      <rPr>
        <sz val="10"/>
        <rFont val="宋体"/>
        <charset val="134"/>
      </rPr>
      <t>分块序号</t>
    </r>
  </si>
  <si>
    <r>
      <rPr>
        <sz val="10"/>
        <rFont val="Times New Roman"/>
        <family val="1"/>
      </rPr>
      <t>Ai(m</t>
    </r>
    <r>
      <rPr>
        <vertAlign val="superscript"/>
        <sz val="10"/>
        <rFont val="Times New Roman"/>
        <family val="1"/>
      </rPr>
      <t>2</t>
    </r>
    <r>
      <rPr>
        <sz val="10"/>
        <rFont val="Times New Roman"/>
        <family val="1"/>
      </rPr>
      <t>)</t>
    </r>
  </si>
  <si>
    <r>
      <rPr>
        <sz val="10"/>
        <rFont val="Times New Roman"/>
        <family val="1"/>
      </rPr>
      <t>Aiy</t>
    </r>
    <r>
      <rPr>
        <vertAlign val="superscript"/>
        <sz val="10"/>
        <rFont val="Times New Roman"/>
        <family val="1"/>
      </rPr>
      <t>2</t>
    </r>
  </si>
  <si>
    <r>
      <rPr>
        <sz val="10"/>
        <rFont val="宋体"/>
        <charset val="134"/>
      </rPr>
      <t>∑</t>
    </r>
  </si>
  <si>
    <r>
      <rPr>
        <sz val="11"/>
        <color theme="1"/>
        <rFont val="宋体"/>
        <charset val="134"/>
        <scheme val="minor"/>
      </rPr>
      <t>C</t>
    </r>
    <r>
      <rPr>
        <sz val="11"/>
        <color theme="1"/>
        <rFont val="宋体"/>
        <charset val="134"/>
        <scheme val="minor"/>
      </rPr>
      <t>AD查询值</t>
    </r>
  </si>
  <si>
    <t>误差</t>
  </si>
  <si>
    <r>
      <rPr>
        <sz val="10"/>
        <rFont val="宋体"/>
        <charset val="134"/>
      </rPr>
      <t>混凝土截面面积</t>
    </r>
    <r>
      <rPr>
        <sz val="10"/>
        <rFont val="Times New Roman"/>
        <family val="1"/>
      </rPr>
      <t>A</t>
    </r>
    <r>
      <rPr>
        <vertAlign val="subscript"/>
        <sz val="10"/>
        <rFont val="Times New Roman"/>
        <family val="1"/>
      </rPr>
      <t>c</t>
    </r>
    <r>
      <rPr>
        <sz val="10"/>
        <rFont val="Times New Roman"/>
        <family val="1"/>
      </rPr>
      <t>=</t>
    </r>
  </si>
  <si>
    <r>
      <rPr>
        <sz val="10"/>
        <rFont val="Times New Roman"/>
        <family val="1"/>
      </rPr>
      <t>m</t>
    </r>
    <r>
      <rPr>
        <vertAlign val="superscript"/>
        <sz val="10"/>
        <rFont val="Times New Roman"/>
        <family val="1"/>
      </rPr>
      <t>2</t>
    </r>
  </si>
  <si>
    <r>
      <rPr>
        <sz val="10"/>
        <rFont val="宋体"/>
        <charset val="134"/>
      </rPr>
      <t>混凝土截面重心至槽顶边缘距离</t>
    </r>
    <r>
      <rPr>
        <sz val="10"/>
        <rFont val="Times New Roman"/>
        <family val="1"/>
      </rPr>
      <t>y</t>
    </r>
    <r>
      <rPr>
        <vertAlign val="subscript"/>
        <sz val="10"/>
        <rFont val="Times New Roman"/>
        <family val="1"/>
      </rPr>
      <t>1</t>
    </r>
    <r>
      <rPr>
        <sz val="10"/>
        <rFont val="Times New Roman"/>
        <family val="1"/>
      </rPr>
      <t>=</t>
    </r>
  </si>
  <si>
    <r>
      <rPr>
        <sz val="10"/>
        <rFont val="宋体"/>
        <charset val="134"/>
      </rPr>
      <t>混凝土截面重心至槽底边缘距离</t>
    </r>
    <r>
      <rPr>
        <sz val="10"/>
        <rFont val="Times New Roman"/>
        <family val="1"/>
      </rPr>
      <t>y</t>
    </r>
    <r>
      <rPr>
        <vertAlign val="subscript"/>
        <sz val="10"/>
        <rFont val="Times New Roman"/>
        <family val="1"/>
      </rPr>
      <t>2</t>
    </r>
    <r>
      <rPr>
        <sz val="10"/>
        <rFont val="Times New Roman"/>
        <family val="1"/>
      </rPr>
      <t>=</t>
    </r>
  </si>
  <si>
    <r>
      <rPr>
        <sz val="10"/>
        <rFont val="宋体"/>
        <charset val="134"/>
      </rPr>
      <t>截面的惯性矩</t>
    </r>
    <r>
      <rPr>
        <sz val="10"/>
        <rFont val="Times New Roman"/>
        <family val="1"/>
      </rPr>
      <t>I</t>
    </r>
    <r>
      <rPr>
        <vertAlign val="subscript"/>
        <sz val="10"/>
        <rFont val="Times New Roman"/>
        <family val="1"/>
      </rPr>
      <t>c</t>
    </r>
    <r>
      <rPr>
        <sz val="10"/>
        <rFont val="Times New Roman"/>
        <family val="1"/>
      </rPr>
      <t>=</t>
    </r>
    <r>
      <rPr>
        <sz val="10"/>
        <rFont val="宋体"/>
        <charset val="134"/>
      </rPr>
      <t>∑</t>
    </r>
    <r>
      <rPr>
        <sz val="10"/>
        <rFont val="Times New Roman"/>
        <family val="1"/>
      </rPr>
      <t>Ii+</t>
    </r>
    <r>
      <rPr>
        <sz val="10"/>
        <rFont val="宋体"/>
        <charset val="134"/>
      </rPr>
      <t>∑</t>
    </r>
    <r>
      <rPr>
        <sz val="10"/>
        <rFont val="Times New Roman"/>
        <family val="1"/>
      </rPr>
      <t>Aiy</t>
    </r>
    <r>
      <rPr>
        <vertAlign val="superscript"/>
        <sz val="10"/>
        <rFont val="Times New Roman"/>
        <family val="1"/>
      </rPr>
      <t>2</t>
    </r>
    <r>
      <rPr>
        <sz val="10"/>
        <rFont val="Times New Roman"/>
        <family val="1"/>
      </rPr>
      <t>=</t>
    </r>
  </si>
  <si>
    <r>
      <rPr>
        <sz val="10"/>
        <rFont val="Times New Roman"/>
        <family val="1"/>
      </rPr>
      <t>m</t>
    </r>
    <r>
      <rPr>
        <vertAlign val="superscript"/>
        <sz val="10"/>
        <rFont val="Times New Roman"/>
        <family val="1"/>
      </rPr>
      <t>4</t>
    </r>
  </si>
  <si>
    <r>
      <rPr>
        <sz val="10"/>
        <color theme="1"/>
        <rFont val="宋体"/>
        <charset val="134"/>
      </rPr>
      <t>壳槽平均半径</t>
    </r>
    <r>
      <rPr>
        <sz val="10"/>
        <color theme="1"/>
        <rFont val="Times New Roman"/>
        <family val="1"/>
      </rPr>
      <t>R=</t>
    </r>
  </si>
  <si>
    <r>
      <rPr>
        <sz val="10"/>
        <color theme="1"/>
        <rFont val="宋体"/>
        <charset val="134"/>
      </rPr>
      <t>截面重心至圆心的高度</t>
    </r>
    <r>
      <rPr>
        <sz val="10"/>
        <color theme="1"/>
        <rFont val="Times New Roman"/>
        <family val="1"/>
      </rPr>
      <t>K=</t>
    </r>
  </si>
  <si>
    <t>cosθ=K/R=</t>
  </si>
  <si>
    <r>
      <rPr>
        <sz val="10"/>
        <rFont val="宋体"/>
        <charset val="134"/>
      </rPr>
      <t>m</t>
    </r>
    <r>
      <rPr>
        <vertAlign val="superscript"/>
        <sz val="10"/>
        <rFont val="宋体"/>
        <charset val="134"/>
      </rPr>
      <t>3</t>
    </r>
  </si>
  <si>
    <r>
      <rPr>
        <sz val="12"/>
        <rFont val="黑体"/>
        <charset val="134"/>
      </rPr>
      <t>表3</t>
    </r>
    <r>
      <rPr>
        <sz val="12"/>
        <rFont val="黑体"/>
        <charset val="134"/>
      </rPr>
      <t xml:space="preserve">  </t>
    </r>
    <r>
      <rPr>
        <sz val="12"/>
        <rFont val="黑体"/>
        <charset val="134"/>
      </rPr>
      <t>材料常数表</t>
    </r>
  </si>
  <si>
    <r>
      <rPr>
        <sz val="11"/>
        <rFont val="宋体"/>
        <charset val="134"/>
      </rPr>
      <t>混凝土参数</t>
    </r>
  </si>
  <si>
    <t>MPa</t>
  </si>
  <si>
    <r>
      <rPr>
        <sz val="11"/>
        <color theme="1"/>
        <rFont val="宋体"/>
        <charset val="134"/>
      </rPr>
      <t>备注</t>
    </r>
  </si>
  <si>
    <r>
      <rPr>
        <sz val="11"/>
        <rFont val="Times New Roman"/>
        <family val="1"/>
      </rPr>
      <t>C40</t>
    </r>
    <r>
      <rPr>
        <sz val="11"/>
        <rFont val="宋体"/>
        <charset val="134"/>
      </rPr>
      <t>砼弹模</t>
    </r>
    <r>
      <rPr>
        <sz val="11"/>
        <rFont val="Times New Roman"/>
        <family val="1"/>
      </rPr>
      <t>Ec=</t>
    </r>
  </si>
  <si>
    <r>
      <rPr>
        <sz val="11"/>
        <color theme="1"/>
        <rFont val="宋体"/>
        <charset val="134"/>
      </rPr>
      <t>张拉时砼参数</t>
    </r>
  </si>
  <si>
    <r>
      <rPr>
        <sz val="11"/>
        <rFont val="宋体"/>
        <charset val="134"/>
      </rPr>
      <t>施工实际混凝土轴心抗压强度</t>
    </r>
    <r>
      <rPr>
        <sz val="11"/>
        <rFont val="Times New Roman"/>
        <family val="1"/>
      </rPr>
      <t>f'</t>
    </r>
    <r>
      <rPr>
        <vertAlign val="subscript"/>
        <sz val="11"/>
        <rFont val="Times New Roman"/>
        <family val="1"/>
      </rPr>
      <t>ck</t>
    </r>
    <r>
      <rPr>
        <sz val="11"/>
        <rFont val="Times New Roman"/>
        <family val="1"/>
      </rPr>
      <t>=</t>
    </r>
  </si>
  <si>
    <r>
      <rPr>
        <sz val="9"/>
        <rFont val="宋体"/>
        <charset val="134"/>
      </rPr>
      <t>施工时采用</t>
    </r>
    <r>
      <rPr>
        <sz val="9"/>
        <rFont val="Times New Roman"/>
        <family val="1"/>
      </rPr>
      <t>0.75</t>
    </r>
    <r>
      <rPr>
        <sz val="9"/>
        <rFont val="宋体"/>
        <charset val="134"/>
      </rPr>
      <t>倍混凝土强度等级，见</t>
    </r>
    <r>
      <rPr>
        <sz val="9"/>
        <rFont val="Times New Roman"/>
        <family val="1"/>
      </rPr>
      <t>SL191-2008,8.1.3</t>
    </r>
  </si>
  <si>
    <r>
      <rPr>
        <sz val="11"/>
        <rFont val="宋体"/>
        <charset val="134"/>
      </rPr>
      <t>施工实际混凝土轴心抗拉强度</t>
    </r>
    <r>
      <rPr>
        <sz val="11"/>
        <rFont val="Times New Roman"/>
        <family val="1"/>
      </rPr>
      <t>f'</t>
    </r>
    <r>
      <rPr>
        <vertAlign val="subscript"/>
        <sz val="11"/>
        <rFont val="Times New Roman"/>
        <family val="1"/>
      </rPr>
      <t>tk</t>
    </r>
    <r>
      <rPr>
        <sz val="11"/>
        <rFont val="Times New Roman"/>
        <family val="1"/>
      </rPr>
      <t>=</t>
    </r>
  </si>
  <si>
    <r>
      <rPr>
        <sz val="11"/>
        <rFont val="宋体"/>
        <charset val="134"/>
      </rPr>
      <t>施加预应力时混凝土立方体抗压强度</t>
    </r>
    <r>
      <rPr>
        <sz val="11"/>
        <rFont val="Times New Roman"/>
        <family val="1"/>
      </rPr>
      <t>f'</t>
    </r>
    <r>
      <rPr>
        <vertAlign val="subscript"/>
        <sz val="11"/>
        <rFont val="Times New Roman"/>
        <family val="1"/>
      </rPr>
      <t>cu</t>
    </r>
    <r>
      <rPr>
        <sz val="11"/>
        <rFont val="Times New Roman"/>
        <family val="1"/>
      </rPr>
      <t>=</t>
    </r>
  </si>
  <si>
    <r>
      <rPr>
        <sz val="11"/>
        <rFont val="宋体"/>
        <charset val="134"/>
      </rPr>
      <t>钢筋参数</t>
    </r>
  </si>
  <si>
    <r>
      <rPr>
        <sz val="11"/>
        <rFont val="宋体"/>
        <charset val="134"/>
      </rPr>
      <t>钢绞线参数</t>
    </r>
  </si>
  <si>
    <r>
      <rPr>
        <sz val="11"/>
        <rFont val="宋体"/>
        <charset val="134"/>
      </rPr>
      <t>抗压强度设计值</t>
    </r>
    <r>
      <rPr>
        <sz val="11"/>
        <rFont val="Times New Roman"/>
        <family val="1"/>
      </rPr>
      <t>f</t>
    </r>
    <r>
      <rPr>
        <vertAlign val="superscript"/>
        <sz val="11"/>
        <rFont val="宋体"/>
        <charset val="134"/>
      </rPr>
      <t>′</t>
    </r>
    <r>
      <rPr>
        <vertAlign val="subscript"/>
        <sz val="11"/>
        <rFont val="Times New Roman"/>
        <family val="1"/>
      </rPr>
      <t>py</t>
    </r>
    <r>
      <rPr>
        <sz val="11"/>
        <rFont val="Times New Roman"/>
        <family val="1"/>
      </rPr>
      <t>=</t>
    </r>
  </si>
  <si>
    <t>表4 荷载计算表</t>
  </si>
  <si>
    <r>
      <rPr>
        <sz val="10"/>
        <rFont val="Times New Roman"/>
        <family val="1"/>
      </rPr>
      <t>4.1 .1</t>
    </r>
    <r>
      <rPr>
        <sz val="10"/>
        <rFont val="宋体"/>
        <charset val="134"/>
      </rPr>
      <t>槽壳自重：</t>
    </r>
  </si>
  <si>
    <r>
      <rPr>
        <sz val="10"/>
        <rFont val="宋体"/>
        <charset val="134"/>
      </rPr>
      <t>荷载分项系数</t>
    </r>
    <r>
      <rPr>
        <sz val="10"/>
        <rFont val="Times New Roman"/>
        <family val="1"/>
      </rPr>
      <t>=</t>
    </r>
  </si>
  <si>
    <r>
      <rPr>
        <sz val="10"/>
        <rFont val="宋体"/>
        <charset val="134"/>
      </rPr>
      <t>钢筋砼容重：</t>
    </r>
    <r>
      <rPr>
        <sz val="10"/>
        <rFont val="Times New Roman"/>
        <family val="1"/>
      </rPr>
      <t>γ</t>
    </r>
    <r>
      <rPr>
        <vertAlign val="subscript"/>
        <sz val="10"/>
        <rFont val="Times New Roman"/>
        <family val="1"/>
      </rPr>
      <t>1</t>
    </r>
    <r>
      <rPr>
        <sz val="10"/>
        <rFont val="Times New Roman"/>
        <family val="1"/>
      </rPr>
      <t>=</t>
    </r>
  </si>
  <si>
    <r>
      <rPr>
        <sz val="10"/>
        <rFont val="Times New Roman"/>
        <family val="1"/>
      </rPr>
      <t>KN/m</t>
    </r>
    <r>
      <rPr>
        <vertAlign val="superscript"/>
        <sz val="10"/>
        <rFont val="Times New Roman"/>
        <family val="1"/>
      </rPr>
      <t>3</t>
    </r>
  </si>
  <si>
    <r>
      <rPr>
        <sz val="10"/>
        <rFont val="宋体"/>
        <charset val="134"/>
      </rPr>
      <t>标准值：</t>
    </r>
    <r>
      <rPr>
        <sz val="10"/>
        <rFont val="Times New Roman"/>
        <family val="1"/>
      </rPr>
      <t>q</t>
    </r>
    <r>
      <rPr>
        <vertAlign val="subscript"/>
        <sz val="10"/>
        <rFont val="Times New Roman"/>
        <family val="1"/>
      </rPr>
      <t>01</t>
    </r>
    <r>
      <rPr>
        <sz val="10"/>
        <rFont val="Times New Roman"/>
        <family val="1"/>
      </rPr>
      <t>=S</t>
    </r>
    <r>
      <rPr>
        <vertAlign val="subscript"/>
        <sz val="10"/>
        <rFont val="Times New Roman"/>
        <family val="1"/>
      </rPr>
      <t>1</t>
    </r>
    <r>
      <rPr>
        <sz val="10"/>
        <rFont val="Times New Roman"/>
        <family val="1"/>
      </rPr>
      <t>γ</t>
    </r>
    <r>
      <rPr>
        <vertAlign val="subscript"/>
        <sz val="10"/>
        <rFont val="Times New Roman"/>
        <family val="1"/>
      </rPr>
      <t>1</t>
    </r>
    <r>
      <rPr>
        <sz val="10"/>
        <rFont val="Times New Roman"/>
        <family val="1"/>
      </rPr>
      <t>=</t>
    </r>
  </si>
  <si>
    <r>
      <rPr>
        <sz val="10"/>
        <rFont val="宋体"/>
        <charset val="134"/>
      </rPr>
      <t>设计值：</t>
    </r>
    <r>
      <rPr>
        <sz val="10"/>
        <rFont val="Times New Roman"/>
        <family val="1"/>
      </rPr>
      <t>q</t>
    </r>
    <r>
      <rPr>
        <vertAlign val="subscript"/>
        <sz val="10"/>
        <rFont val="Times New Roman"/>
        <family val="1"/>
      </rPr>
      <t>1</t>
    </r>
    <r>
      <rPr>
        <sz val="10"/>
        <rFont val="Times New Roman"/>
        <family val="1"/>
      </rPr>
      <t>=</t>
    </r>
  </si>
  <si>
    <r>
      <rPr>
        <sz val="10"/>
        <rFont val="Times New Roman"/>
        <family val="1"/>
      </rPr>
      <t>4.1 .2</t>
    </r>
    <r>
      <rPr>
        <sz val="10"/>
        <rFont val="宋体"/>
        <charset val="134"/>
      </rPr>
      <t>加腋自重：</t>
    </r>
  </si>
  <si>
    <t>加腋体积：V=</t>
  </si>
  <si>
    <r>
      <rPr>
        <sz val="10"/>
        <rFont val="Times New Roman"/>
        <family val="1"/>
      </rPr>
      <t xml:space="preserve">4.2 </t>
    </r>
    <r>
      <rPr>
        <sz val="10"/>
        <rFont val="宋体"/>
        <charset val="134"/>
      </rPr>
      <t>拉杆自重：</t>
    </r>
  </si>
  <si>
    <r>
      <rPr>
        <sz val="10"/>
        <rFont val="宋体"/>
        <charset val="134"/>
      </rPr>
      <t>钢筋砼容重：</t>
    </r>
    <r>
      <rPr>
        <sz val="10"/>
        <rFont val="Times New Roman"/>
        <family val="1"/>
      </rPr>
      <t>γ</t>
    </r>
    <r>
      <rPr>
        <vertAlign val="subscript"/>
        <sz val="10"/>
        <rFont val="Times New Roman"/>
        <family val="1"/>
      </rPr>
      <t>2</t>
    </r>
    <r>
      <rPr>
        <sz val="10"/>
        <rFont val="Times New Roman"/>
        <family val="1"/>
      </rPr>
      <t>=</t>
    </r>
  </si>
  <si>
    <r>
      <rPr>
        <sz val="10"/>
        <rFont val="宋体"/>
        <charset val="134"/>
      </rPr>
      <t>标准值：</t>
    </r>
    <r>
      <rPr>
        <sz val="10"/>
        <rFont val="Times New Roman"/>
        <family val="1"/>
      </rPr>
      <t>q</t>
    </r>
    <r>
      <rPr>
        <vertAlign val="subscript"/>
        <sz val="10"/>
        <rFont val="Times New Roman"/>
        <family val="1"/>
      </rPr>
      <t>02</t>
    </r>
    <r>
      <rPr>
        <sz val="10"/>
        <rFont val="Times New Roman"/>
        <family val="1"/>
      </rPr>
      <t>=</t>
    </r>
  </si>
  <si>
    <r>
      <rPr>
        <sz val="10"/>
        <rFont val="宋体"/>
        <charset val="134"/>
      </rPr>
      <t>设计值：</t>
    </r>
    <r>
      <rPr>
        <sz val="10"/>
        <rFont val="Times New Roman"/>
        <family val="1"/>
      </rPr>
      <t>q</t>
    </r>
    <r>
      <rPr>
        <vertAlign val="subscript"/>
        <sz val="10"/>
        <rFont val="Times New Roman"/>
        <family val="1"/>
      </rPr>
      <t>2</t>
    </r>
    <r>
      <rPr>
        <sz val="10"/>
        <rFont val="Times New Roman"/>
        <family val="1"/>
      </rPr>
      <t>=</t>
    </r>
  </si>
  <si>
    <r>
      <rPr>
        <sz val="10"/>
        <rFont val="Times New Roman"/>
        <family val="1"/>
      </rPr>
      <t xml:space="preserve">4.3 </t>
    </r>
    <r>
      <rPr>
        <sz val="10"/>
        <rFont val="宋体"/>
        <charset val="134"/>
      </rPr>
      <t>人群荷载：</t>
    </r>
  </si>
  <si>
    <r>
      <rPr>
        <sz val="10"/>
        <rFont val="宋体"/>
        <charset val="134"/>
      </rPr>
      <t>人群荷载：</t>
    </r>
    <r>
      <rPr>
        <sz val="10"/>
        <rFont val="Times New Roman"/>
        <family val="1"/>
      </rPr>
      <t>q</t>
    </r>
    <r>
      <rPr>
        <vertAlign val="subscript"/>
        <sz val="10"/>
        <rFont val="宋体"/>
        <charset val="134"/>
      </rPr>
      <t>人</t>
    </r>
    <r>
      <rPr>
        <sz val="10"/>
        <rFont val="Times New Roman"/>
        <family val="1"/>
      </rPr>
      <t>=</t>
    </r>
  </si>
  <si>
    <r>
      <rPr>
        <sz val="10"/>
        <rFont val="Times New Roman"/>
        <family val="1"/>
      </rPr>
      <t>KN/m</t>
    </r>
    <r>
      <rPr>
        <vertAlign val="superscript"/>
        <sz val="10"/>
        <rFont val="Times New Roman"/>
        <family val="1"/>
      </rPr>
      <t>2</t>
    </r>
  </si>
  <si>
    <r>
      <rPr>
        <sz val="10"/>
        <rFont val="宋体"/>
        <charset val="134"/>
      </rPr>
      <t>标准值：</t>
    </r>
    <r>
      <rPr>
        <sz val="10"/>
        <rFont val="Times New Roman"/>
        <family val="1"/>
      </rPr>
      <t>q</t>
    </r>
    <r>
      <rPr>
        <vertAlign val="subscript"/>
        <sz val="10"/>
        <rFont val="Times New Roman"/>
        <family val="1"/>
      </rPr>
      <t>03</t>
    </r>
    <r>
      <rPr>
        <sz val="10"/>
        <rFont val="Times New Roman"/>
        <family val="1"/>
      </rPr>
      <t>=</t>
    </r>
  </si>
  <si>
    <r>
      <rPr>
        <sz val="10"/>
        <rFont val="宋体"/>
        <charset val="134"/>
      </rPr>
      <t>设计值：</t>
    </r>
    <r>
      <rPr>
        <sz val="10"/>
        <rFont val="Times New Roman"/>
        <family val="1"/>
      </rPr>
      <t>q</t>
    </r>
    <r>
      <rPr>
        <vertAlign val="subscript"/>
        <sz val="10"/>
        <rFont val="Times New Roman"/>
        <family val="1"/>
      </rPr>
      <t>3</t>
    </r>
    <r>
      <rPr>
        <sz val="10"/>
        <rFont val="Times New Roman"/>
        <family val="1"/>
      </rPr>
      <t>=</t>
    </r>
  </si>
  <si>
    <r>
      <rPr>
        <sz val="10"/>
        <rFont val="Times New Roman"/>
        <family val="1"/>
      </rPr>
      <t xml:space="preserve">4.4  </t>
    </r>
    <r>
      <rPr>
        <sz val="10"/>
        <rFont val="宋体"/>
        <charset val="134"/>
      </rPr>
      <t>水荷载</t>
    </r>
    <r>
      <rPr>
        <sz val="10"/>
        <rFont val="Times New Roman"/>
        <family val="1"/>
      </rPr>
      <t xml:space="preserve"> </t>
    </r>
  </si>
  <si>
    <t>（0）半槽流量</t>
  </si>
  <si>
    <r>
      <rPr>
        <sz val="10"/>
        <rFont val="宋体"/>
        <charset val="134"/>
      </rPr>
      <t>水容重</t>
    </r>
    <r>
      <rPr>
        <sz val="10"/>
        <rFont val="Times New Roman"/>
        <family val="1"/>
      </rPr>
      <t>=</t>
    </r>
  </si>
  <si>
    <r>
      <rPr>
        <sz val="10"/>
        <rFont val="宋体"/>
        <charset val="134"/>
      </rPr>
      <t>半槽水深</t>
    </r>
    <r>
      <rPr>
        <sz val="10"/>
        <rFont val="Times New Roman"/>
        <family val="1"/>
      </rPr>
      <t>hs=</t>
    </r>
  </si>
  <si>
    <r>
      <rPr>
        <sz val="10"/>
        <color theme="1"/>
        <rFont val="宋体"/>
        <charset val="134"/>
      </rPr>
      <t>圆心以上水深</t>
    </r>
    <r>
      <rPr>
        <sz val="10"/>
        <color theme="1"/>
        <rFont val="Times New Roman"/>
        <family val="1"/>
      </rPr>
      <t>=</t>
    </r>
  </si>
  <si>
    <r>
      <rPr>
        <sz val="10"/>
        <rFont val="宋体"/>
        <charset val="134"/>
      </rPr>
      <t>过水断面：</t>
    </r>
    <r>
      <rPr>
        <sz val="10"/>
        <rFont val="Times New Roman"/>
        <family val="1"/>
      </rPr>
      <t>S</t>
    </r>
    <r>
      <rPr>
        <vertAlign val="subscript"/>
        <sz val="10"/>
        <rFont val="Times New Roman"/>
        <family val="1"/>
      </rPr>
      <t>2</t>
    </r>
    <r>
      <rPr>
        <sz val="10"/>
        <rFont val="Times New Roman"/>
        <family val="1"/>
      </rPr>
      <t>=</t>
    </r>
  </si>
  <si>
    <r>
      <rPr>
        <sz val="10"/>
        <color theme="1"/>
        <rFont val="Times New Roman"/>
        <family val="1"/>
      </rPr>
      <t>m</t>
    </r>
    <r>
      <rPr>
        <vertAlign val="superscript"/>
        <sz val="10"/>
        <color theme="1"/>
        <rFont val="Times New Roman"/>
        <family val="1"/>
      </rPr>
      <t>2</t>
    </r>
  </si>
  <si>
    <r>
      <rPr>
        <sz val="10"/>
        <rFont val="宋体"/>
        <charset val="134"/>
      </rPr>
      <t>标准值：</t>
    </r>
    <r>
      <rPr>
        <sz val="10"/>
        <rFont val="Times New Roman"/>
        <family val="1"/>
      </rPr>
      <t>q</t>
    </r>
    <r>
      <rPr>
        <vertAlign val="subscript"/>
        <sz val="10"/>
        <rFont val="Times New Roman"/>
        <family val="1"/>
      </rPr>
      <t>04</t>
    </r>
    <r>
      <rPr>
        <sz val="10"/>
        <rFont val="Times New Roman"/>
        <family val="1"/>
      </rPr>
      <t>=S2γ</t>
    </r>
    <r>
      <rPr>
        <vertAlign val="subscript"/>
        <sz val="10"/>
        <rFont val="Times New Roman"/>
        <family val="1"/>
      </rPr>
      <t>2</t>
    </r>
    <r>
      <rPr>
        <sz val="10"/>
        <rFont val="Times New Roman"/>
        <family val="1"/>
      </rPr>
      <t>=</t>
    </r>
  </si>
  <si>
    <r>
      <rPr>
        <sz val="10"/>
        <rFont val="宋体"/>
        <charset val="134"/>
      </rPr>
      <t>（</t>
    </r>
    <r>
      <rPr>
        <sz val="10"/>
        <rFont val="Times New Roman"/>
        <family val="1"/>
      </rPr>
      <t>1</t>
    </r>
    <r>
      <rPr>
        <sz val="10"/>
        <rFont val="宋体"/>
        <charset val="134"/>
      </rPr>
      <t>）设计流量</t>
    </r>
  </si>
  <si>
    <r>
      <rPr>
        <sz val="10"/>
        <rFont val="宋体"/>
        <charset val="134"/>
      </rPr>
      <t>设计水深</t>
    </r>
    <r>
      <rPr>
        <sz val="10"/>
        <rFont val="Times New Roman"/>
        <family val="1"/>
      </rPr>
      <t>hs=</t>
    </r>
  </si>
  <si>
    <r>
      <rPr>
        <sz val="10"/>
        <rFont val="宋体"/>
        <charset val="134"/>
      </rPr>
      <t>（</t>
    </r>
    <r>
      <rPr>
        <sz val="10"/>
        <rFont val="Times New Roman"/>
        <family val="1"/>
      </rPr>
      <t>2</t>
    </r>
    <r>
      <rPr>
        <sz val="10"/>
        <rFont val="宋体"/>
        <charset val="134"/>
      </rPr>
      <t>）加大流量</t>
    </r>
  </si>
  <si>
    <r>
      <rPr>
        <sz val="10"/>
        <rFont val="宋体"/>
        <charset val="134"/>
      </rPr>
      <t>标准值：</t>
    </r>
    <r>
      <rPr>
        <sz val="10"/>
        <rFont val="Times New Roman"/>
        <family val="1"/>
      </rPr>
      <t>q</t>
    </r>
    <r>
      <rPr>
        <vertAlign val="subscript"/>
        <sz val="10"/>
        <rFont val="Times New Roman"/>
        <family val="1"/>
      </rPr>
      <t>05</t>
    </r>
    <r>
      <rPr>
        <sz val="10"/>
        <rFont val="Times New Roman"/>
        <family val="1"/>
      </rPr>
      <t>=S2γ</t>
    </r>
    <r>
      <rPr>
        <vertAlign val="subscript"/>
        <sz val="10"/>
        <rFont val="Times New Roman"/>
        <family val="1"/>
      </rPr>
      <t>2</t>
    </r>
    <r>
      <rPr>
        <sz val="10"/>
        <rFont val="Times New Roman"/>
        <family val="1"/>
      </rPr>
      <t>=</t>
    </r>
  </si>
  <si>
    <t>（3）满槽流量</t>
  </si>
  <si>
    <r>
      <rPr>
        <sz val="10"/>
        <rFont val="宋体"/>
        <charset val="134"/>
      </rPr>
      <t>满槽水深</t>
    </r>
    <r>
      <rPr>
        <sz val="10"/>
        <rFont val="Times New Roman"/>
        <family val="1"/>
      </rPr>
      <t>hm=</t>
    </r>
  </si>
  <si>
    <r>
      <rPr>
        <sz val="10"/>
        <rFont val="宋体"/>
        <charset val="134"/>
      </rPr>
      <t>过水断面：</t>
    </r>
    <r>
      <rPr>
        <sz val="10"/>
        <rFont val="Times New Roman"/>
        <family val="1"/>
      </rPr>
      <t>S</t>
    </r>
    <r>
      <rPr>
        <vertAlign val="subscript"/>
        <sz val="10"/>
        <rFont val="Times New Roman"/>
        <family val="1"/>
      </rPr>
      <t>3</t>
    </r>
    <r>
      <rPr>
        <sz val="10"/>
        <rFont val="Times New Roman"/>
        <family val="1"/>
      </rPr>
      <t>=</t>
    </r>
  </si>
  <si>
    <r>
      <rPr>
        <sz val="10"/>
        <rFont val="宋体"/>
        <charset val="134"/>
      </rPr>
      <t>标准值：</t>
    </r>
    <r>
      <rPr>
        <sz val="10"/>
        <rFont val="Times New Roman"/>
        <family val="1"/>
      </rPr>
      <t>q</t>
    </r>
    <r>
      <rPr>
        <vertAlign val="subscript"/>
        <sz val="10"/>
        <rFont val="Times New Roman"/>
        <family val="1"/>
      </rPr>
      <t>05</t>
    </r>
    <r>
      <rPr>
        <sz val="10"/>
        <rFont val="Times New Roman"/>
        <family val="1"/>
      </rPr>
      <t>=S3γ</t>
    </r>
    <r>
      <rPr>
        <vertAlign val="subscript"/>
        <sz val="10"/>
        <rFont val="Times New Roman"/>
        <family val="1"/>
      </rPr>
      <t>2</t>
    </r>
    <r>
      <rPr>
        <sz val="10"/>
        <rFont val="Times New Roman"/>
        <family val="1"/>
      </rPr>
      <t>=</t>
    </r>
  </si>
  <si>
    <r>
      <rPr>
        <sz val="10"/>
        <rFont val="宋体"/>
        <charset val="134"/>
      </rPr>
      <t>设计值：</t>
    </r>
    <r>
      <rPr>
        <sz val="10"/>
        <rFont val="Times New Roman"/>
        <family val="1"/>
      </rPr>
      <t>q</t>
    </r>
    <r>
      <rPr>
        <vertAlign val="subscript"/>
        <sz val="10"/>
        <rFont val="Times New Roman"/>
        <family val="1"/>
      </rPr>
      <t>5</t>
    </r>
    <r>
      <rPr>
        <sz val="10"/>
        <rFont val="Times New Roman"/>
        <family val="1"/>
      </rPr>
      <t>=</t>
    </r>
  </si>
  <si>
    <r>
      <rPr>
        <sz val="10"/>
        <rFont val="Times New Roman"/>
        <family val="1"/>
      </rPr>
      <t xml:space="preserve">4.5 </t>
    </r>
    <r>
      <rPr>
        <sz val="10"/>
        <rFont val="宋体"/>
        <charset val="134"/>
      </rPr>
      <t>栏杆自重：</t>
    </r>
  </si>
  <si>
    <r>
      <rPr>
        <sz val="11"/>
        <rFont val="宋体"/>
        <charset val="134"/>
      </rPr>
      <t>栏杆个数</t>
    </r>
    <r>
      <rPr>
        <sz val="11"/>
        <rFont val="Times New Roman"/>
        <family val="1"/>
      </rPr>
      <t>N=</t>
    </r>
  </si>
  <si>
    <r>
      <rPr>
        <sz val="10"/>
        <rFont val="宋体"/>
        <charset val="134"/>
      </rPr>
      <t>标准值：</t>
    </r>
    <r>
      <rPr>
        <sz val="10"/>
        <rFont val="Times New Roman"/>
        <family val="1"/>
      </rPr>
      <t>q</t>
    </r>
    <r>
      <rPr>
        <vertAlign val="subscript"/>
        <sz val="10"/>
        <rFont val="Times New Roman"/>
        <family val="1"/>
      </rPr>
      <t>06</t>
    </r>
    <r>
      <rPr>
        <sz val="10"/>
        <rFont val="Times New Roman"/>
        <family val="1"/>
      </rPr>
      <t>=</t>
    </r>
  </si>
  <si>
    <r>
      <rPr>
        <sz val="10"/>
        <rFont val="宋体"/>
        <charset val="134"/>
      </rPr>
      <t>设计值：</t>
    </r>
    <r>
      <rPr>
        <sz val="10"/>
        <rFont val="Times New Roman"/>
        <family val="1"/>
      </rPr>
      <t>q</t>
    </r>
    <r>
      <rPr>
        <vertAlign val="subscript"/>
        <sz val="10"/>
        <rFont val="Times New Roman"/>
        <family val="1"/>
      </rPr>
      <t>6</t>
    </r>
    <r>
      <rPr>
        <sz val="10"/>
        <rFont val="Times New Roman"/>
        <family val="1"/>
      </rPr>
      <t>=</t>
    </r>
  </si>
  <si>
    <r>
      <rPr>
        <sz val="10"/>
        <rFont val="宋体"/>
        <charset val="134"/>
      </rPr>
      <t>！</t>
    </r>
    <r>
      <rPr>
        <sz val="10"/>
        <rFont val="Times New Roman"/>
        <family val="1"/>
      </rPr>
      <t xml:space="preserve">4.6  </t>
    </r>
    <r>
      <rPr>
        <sz val="10"/>
        <rFont val="宋体"/>
        <charset val="134"/>
      </rPr>
      <t>顶板铺装层</t>
    </r>
    <r>
      <rPr>
        <sz val="10"/>
        <rFont val="Times New Roman"/>
        <family val="1"/>
      </rPr>
      <t>(</t>
    </r>
    <r>
      <rPr>
        <sz val="10"/>
        <rFont val="宋体"/>
        <charset val="134"/>
      </rPr>
      <t>暂不考虑</t>
    </r>
    <r>
      <rPr>
        <sz val="10"/>
        <rFont val="Times New Roman"/>
        <family val="1"/>
      </rPr>
      <t>)</t>
    </r>
  </si>
  <si>
    <r>
      <rPr>
        <sz val="11"/>
        <rFont val="Times New Roman"/>
        <family val="1"/>
      </rPr>
      <t xml:space="preserve">  </t>
    </r>
    <r>
      <rPr>
        <sz val="10"/>
        <rFont val="宋体"/>
        <charset val="134"/>
      </rPr>
      <t>铺装容重：</t>
    </r>
    <r>
      <rPr>
        <sz val="10"/>
        <rFont val="Times New Roman"/>
        <family val="1"/>
      </rPr>
      <t>γ</t>
    </r>
    <r>
      <rPr>
        <vertAlign val="subscript"/>
        <sz val="10"/>
        <rFont val="Times New Roman"/>
        <family val="1"/>
      </rPr>
      <t>7</t>
    </r>
    <r>
      <rPr>
        <sz val="10"/>
        <rFont val="Times New Roman"/>
        <family val="1"/>
      </rPr>
      <t>=</t>
    </r>
  </si>
  <si>
    <r>
      <rPr>
        <sz val="10"/>
        <rFont val="宋体"/>
        <charset val="134"/>
      </rPr>
      <t>分布宽度：</t>
    </r>
    <r>
      <rPr>
        <sz val="10"/>
        <rFont val="Times New Roman"/>
        <family val="1"/>
      </rPr>
      <t>B</t>
    </r>
    <r>
      <rPr>
        <vertAlign val="subscript"/>
        <sz val="10"/>
        <rFont val="宋体"/>
        <charset val="134"/>
      </rPr>
      <t>顶</t>
    </r>
    <r>
      <rPr>
        <sz val="10"/>
        <rFont val="Times New Roman"/>
        <family val="1"/>
      </rPr>
      <t>=</t>
    </r>
  </si>
  <si>
    <r>
      <rPr>
        <sz val="10"/>
        <rFont val="宋体"/>
        <charset val="134"/>
      </rPr>
      <t>厚度</t>
    </r>
    <r>
      <rPr>
        <sz val="10"/>
        <rFont val="Times New Roman"/>
        <family val="1"/>
      </rPr>
      <t>δ=</t>
    </r>
  </si>
  <si>
    <r>
      <rPr>
        <sz val="10"/>
        <rFont val="宋体"/>
        <charset val="134"/>
      </rPr>
      <t>标准值：</t>
    </r>
    <r>
      <rPr>
        <sz val="10"/>
        <rFont val="Times New Roman"/>
        <family val="1"/>
      </rPr>
      <t>q</t>
    </r>
    <r>
      <rPr>
        <vertAlign val="subscript"/>
        <sz val="10"/>
        <rFont val="Times New Roman"/>
        <family val="1"/>
      </rPr>
      <t>07</t>
    </r>
    <r>
      <rPr>
        <sz val="10"/>
        <rFont val="Times New Roman"/>
        <family val="1"/>
      </rPr>
      <t>=B</t>
    </r>
    <r>
      <rPr>
        <vertAlign val="subscript"/>
        <sz val="10"/>
        <rFont val="宋体"/>
        <charset val="134"/>
      </rPr>
      <t>顶</t>
    </r>
    <r>
      <rPr>
        <sz val="10"/>
        <rFont val="Times New Roman"/>
        <family val="1"/>
      </rPr>
      <t>γ</t>
    </r>
    <r>
      <rPr>
        <vertAlign val="subscript"/>
        <sz val="10"/>
        <rFont val="Times New Roman"/>
        <family val="1"/>
      </rPr>
      <t>6</t>
    </r>
    <r>
      <rPr>
        <sz val="10"/>
        <rFont val="Times New Roman"/>
        <family val="1"/>
      </rPr>
      <t>=</t>
    </r>
  </si>
  <si>
    <r>
      <rPr>
        <sz val="10"/>
        <rFont val="宋体"/>
        <charset val="134"/>
      </rPr>
      <t>设计值：</t>
    </r>
    <r>
      <rPr>
        <sz val="10"/>
        <rFont val="Times New Roman"/>
        <family val="1"/>
      </rPr>
      <t>q</t>
    </r>
    <r>
      <rPr>
        <vertAlign val="subscript"/>
        <sz val="10"/>
        <rFont val="Times New Roman"/>
        <family val="1"/>
      </rPr>
      <t>7</t>
    </r>
    <r>
      <rPr>
        <sz val="10"/>
        <rFont val="Times New Roman"/>
        <family val="1"/>
      </rPr>
      <t>=</t>
    </r>
  </si>
  <si>
    <t>水工建筑物级别</t>
  </si>
  <si>
    <r>
      <rPr>
        <sz val="10"/>
        <rFont val="宋体"/>
        <charset val="134"/>
      </rPr>
      <t>安全系数</t>
    </r>
  </si>
  <si>
    <r>
      <rPr>
        <sz val="10"/>
        <rFont val="宋体"/>
        <charset val="134"/>
      </rPr>
      <t>承载力安全系数</t>
    </r>
    <r>
      <rPr>
        <sz val="10"/>
        <rFont val="Times New Roman"/>
        <family val="1"/>
      </rPr>
      <t>:K</t>
    </r>
    <r>
      <rPr>
        <vertAlign val="subscript"/>
        <sz val="10"/>
        <rFont val="宋体"/>
        <charset val="134"/>
      </rPr>
      <t>基</t>
    </r>
    <r>
      <rPr>
        <sz val="10"/>
        <rFont val="Times New Roman"/>
        <family val="1"/>
      </rPr>
      <t>=</t>
    </r>
  </si>
  <si>
    <r>
      <rPr>
        <sz val="10"/>
        <color rgb="FFFF0000"/>
        <rFont val="宋体"/>
        <charset val="134"/>
      </rPr>
      <t>规范要求</t>
    </r>
    <r>
      <rPr>
        <sz val="10"/>
        <color rgb="FFFF0000"/>
        <rFont val="Times New Roman"/>
        <family val="1"/>
      </rPr>
      <t>1.2</t>
    </r>
    <r>
      <rPr>
        <sz val="10"/>
        <color rgb="FFFF0000"/>
        <rFont val="宋体"/>
        <charset val="134"/>
      </rPr>
      <t>，计算表有提高</t>
    </r>
  </si>
  <si>
    <r>
      <rPr>
        <sz val="10"/>
        <rFont val="宋体"/>
        <charset val="134"/>
      </rPr>
      <t>承载力安全系数</t>
    </r>
    <r>
      <rPr>
        <sz val="10"/>
        <rFont val="Times New Roman"/>
        <family val="1"/>
      </rPr>
      <t>:K</t>
    </r>
    <r>
      <rPr>
        <vertAlign val="subscript"/>
        <sz val="10"/>
        <rFont val="宋体"/>
        <charset val="134"/>
      </rPr>
      <t>偶</t>
    </r>
    <r>
      <rPr>
        <sz val="10"/>
        <rFont val="Times New Roman"/>
        <family val="1"/>
      </rPr>
      <t>=</t>
    </r>
  </si>
  <si>
    <r>
      <rPr>
        <sz val="10"/>
        <color rgb="FFFF0000"/>
        <rFont val="宋体"/>
        <charset val="134"/>
      </rPr>
      <t>规范要求</t>
    </r>
    <r>
      <rPr>
        <sz val="10"/>
        <color rgb="FFFF0000"/>
        <rFont val="Times New Roman"/>
        <family val="1"/>
      </rPr>
      <t>1.0</t>
    </r>
    <r>
      <rPr>
        <sz val="10"/>
        <color rgb="FFFF0000"/>
        <rFont val="宋体"/>
        <charset val="134"/>
      </rPr>
      <t>，计算表有提高</t>
    </r>
  </si>
  <si>
    <t>半槽工况</t>
  </si>
  <si>
    <r>
      <rPr>
        <sz val="10"/>
        <rFont val="宋体"/>
        <charset val="134"/>
      </rPr>
      <t>均布荷载标准值</t>
    </r>
    <r>
      <rPr>
        <sz val="10"/>
        <rFont val="Times New Roman"/>
        <family val="1"/>
      </rPr>
      <t>q</t>
    </r>
    <r>
      <rPr>
        <vertAlign val="subscript"/>
        <sz val="10"/>
        <rFont val="Times New Roman"/>
        <family val="1"/>
      </rPr>
      <t>0s</t>
    </r>
    <r>
      <rPr>
        <sz val="10"/>
        <rFont val="Times New Roman"/>
        <family val="1"/>
      </rPr>
      <t>=</t>
    </r>
  </si>
  <si>
    <r>
      <rPr>
        <sz val="10"/>
        <rFont val="宋体"/>
        <charset val="134"/>
      </rPr>
      <t>均布荷载设计值</t>
    </r>
    <r>
      <rPr>
        <sz val="10"/>
        <rFont val="Times New Roman"/>
        <family val="1"/>
      </rPr>
      <t>qs=</t>
    </r>
  </si>
  <si>
    <r>
      <rPr>
        <sz val="10"/>
        <color theme="1"/>
        <rFont val="宋体"/>
        <charset val="134"/>
      </rPr>
      <t>设计工况</t>
    </r>
  </si>
  <si>
    <t>加大工况</t>
  </si>
  <si>
    <r>
      <rPr>
        <sz val="10"/>
        <rFont val="宋体"/>
        <charset val="134"/>
      </rPr>
      <t>均布荷载标准值</t>
    </r>
    <r>
      <rPr>
        <sz val="10"/>
        <rFont val="Times New Roman"/>
        <family val="1"/>
      </rPr>
      <t>q</t>
    </r>
    <r>
      <rPr>
        <vertAlign val="subscript"/>
        <sz val="10"/>
        <rFont val="Times New Roman"/>
        <family val="1"/>
      </rPr>
      <t>0j</t>
    </r>
    <r>
      <rPr>
        <sz val="10"/>
        <rFont val="Times New Roman"/>
        <family val="1"/>
      </rPr>
      <t>=</t>
    </r>
  </si>
  <si>
    <r>
      <rPr>
        <sz val="10"/>
        <rFont val="宋体"/>
        <charset val="134"/>
      </rPr>
      <t>均布荷载设计值</t>
    </r>
    <r>
      <rPr>
        <sz val="10"/>
        <rFont val="Times New Roman"/>
        <family val="1"/>
      </rPr>
      <t>qj=</t>
    </r>
  </si>
  <si>
    <r>
      <rPr>
        <sz val="10"/>
        <rFont val="宋体"/>
        <charset val="134"/>
      </rPr>
      <t>满槽工况</t>
    </r>
  </si>
  <si>
    <r>
      <rPr>
        <sz val="10"/>
        <rFont val="宋体"/>
        <charset val="134"/>
      </rPr>
      <t>均布荷载标准值</t>
    </r>
    <r>
      <rPr>
        <sz val="10"/>
        <rFont val="Times New Roman"/>
        <family val="1"/>
      </rPr>
      <t>q</t>
    </r>
    <r>
      <rPr>
        <vertAlign val="subscript"/>
        <sz val="10"/>
        <rFont val="Times New Roman"/>
        <family val="1"/>
      </rPr>
      <t>0m</t>
    </r>
    <r>
      <rPr>
        <sz val="10"/>
        <rFont val="Times New Roman"/>
        <family val="1"/>
      </rPr>
      <t>=</t>
    </r>
  </si>
  <si>
    <r>
      <rPr>
        <sz val="10"/>
        <rFont val="宋体"/>
        <charset val="134"/>
      </rPr>
      <t>均布荷载设计值</t>
    </r>
    <r>
      <rPr>
        <sz val="10"/>
        <rFont val="Times New Roman"/>
        <family val="1"/>
      </rPr>
      <t>qm=</t>
    </r>
  </si>
  <si>
    <r>
      <rPr>
        <sz val="10"/>
        <color rgb="FFFF0000"/>
        <rFont val="宋体"/>
        <charset val="134"/>
      </rPr>
      <t>判别式：</t>
    </r>
  </si>
  <si>
    <r>
      <rPr>
        <sz val="10"/>
        <rFont val="宋体"/>
        <charset val="134"/>
        <scheme val="minor"/>
      </rPr>
      <t>K</t>
    </r>
    <r>
      <rPr>
        <vertAlign val="subscript"/>
        <sz val="10"/>
        <rFont val="宋体"/>
        <charset val="134"/>
        <scheme val="minor"/>
      </rPr>
      <t>基</t>
    </r>
    <r>
      <rPr>
        <sz val="10"/>
        <rFont val="宋体"/>
        <charset val="134"/>
        <scheme val="minor"/>
      </rPr>
      <t>q</t>
    </r>
    <r>
      <rPr>
        <vertAlign val="subscript"/>
        <sz val="10"/>
        <rFont val="宋体"/>
        <charset val="134"/>
        <scheme val="minor"/>
      </rPr>
      <t>b</t>
    </r>
    <r>
      <rPr>
        <sz val="10"/>
        <rFont val="宋体"/>
        <charset val="134"/>
        <scheme val="minor"/>
      </rPr>
      <t>=</t>
    </r>
  </si>
  <si>
    <r>
      <rPr>
        <sz val="10"/>
        <rFont val="宋体"/>
        <charset val="134"/>
        <scheme val="minor"/>
      </rPr>
      <t>K</t>
    </r>
    <r>
      <rPr>
        <vertAlign val="subscript"/>
        <sz val="10"/>
        <rFont val="宋体"/>
        <charset val="134"/>
        <scheme val="minor"/>
      </rPr>
      <t>基</t>
    </r>
    <r>
      <rPr>
        <sz val="10"/>
        <rFont val="宋体"/>
        <charset val="134"/>
        <scheme val="minor"/>
      </rPr>
      <t>q</t>
    </r>
    <r>
      <rPr>
        <vertAlign val="subscript"/>
        <sz val="10"/>
        <rFont val="宋体"/>
        <charset val="134"/>
        <scheme val="minor"/>
      </rPr>
      <t>s</t>
    </r>
    <r>
      <rPr>
        <sz val="10"/>
        <rFont val="宋体"/>
        <charset val="134"/>
        <scheme val="minor"/>
      </rPr>
      <t>=</t>
    </r>
  </si>
  <si>
    <r>
      <rPr>
        <sz val="10"/>
        <rFont val="宋体"/>
        <charset val="134"/>
        <scheme val="minor"/>
      </rPr>
      <t>K</t>
    </r>
    <r>
      <rPr>
        <vertAlign val="subscript"/>
        <sz val="10"/>
        <rFont val="宋体"/>
        <charset val="134"/>
        <scheme val="minor"/>
      </rPr>
      <t>基</t>
    </r>
    <r>
      <rPr>
        <sz val="10"/>
        <rFont val="宋体"/>
        <charset val="134"/>
        <scheme val="minor"/>
      </rPr>
      <t>q</t>
    </r>
    <r>
      <rPr>
        <vertAlign val="subscript"/>
        <sz val="10"/>
        <rFont val="宋体"/>
        <charset val="134"/>
        <scheme val="minor"/>
      </rPr>
      <t>j</t>
    </r>
    <r>
      <rPr>
        <sz val="10"/>
        <rFont val="宋体"/>
        <charset val="134"/>
        <scheme val="minor"/>
      </rPr>
      <t>=</t>
    </r>
  </si>
  <si>
    <r>
      <rPr>
        <sz val="10"/>
        <rFont val="宋体"/>
        <charset val="134"/>
        <scheme val="minor"/>
      </rPr>
      <t>K</t>
    </r>
    <r>
      <rPr>
        <vertAlign val="subscript"/>
        <sz val="10"/>
        <rFont val="宋体"/>
        <charset val="134"/>
        <scheme val="minor"/>
      </rPr>
      <t>偶</t>
    </r>
    <r>
      <rPr>
        <sz val="10"/>
        <rFont val="宋体"/>
        <charset val="134"/>
        <scheme val="minor"/>
      </rPr>
      <t>q</t>
    </r>
    <r>
      <rPr>
        <vertAlign val="subscript"/>
        <sz val="10"/>
        <rFont val="宋体"/>
        <charset val="134"/>
        <scheme val="minor"/>
      </rPr>
      <t>m</t>
    </r>
    <r>
      <rPr>
        <sz val="10"/>
        <rFont val="宋体"/>
        <charset val="134"/>
        <scheme val="minor"/>
      </rPr>
      <t>=</t>
    </r>
  </si>
  <si>
    <t>最大值</t>
  </si>
  <si>
    <r>
      <rPr>
        <sz val="10"/>
        <rFont val="宋体"/>
        <charset val="134"/>
      </rPr>
      <t>支座宽度：</t>
    </r>
  </si>
  <si>
    <r>
      <rPr>
        <sz val="10"/>
        <rFont val="宋体"/>
        <charset val="134"/>
      </rPr>
      <t>计算弯矩跨度</t>
    </r>
    <r>
      <rPr>
        <sz val="10"/>
        <rFont val="Times New Roman"/>
        <family val="1"/>
      </rPr>
      <t>l</t>
    </r>
    <r>
      <rPr>
        <vertAlign val="subscript"/>
        <sz val="10"/>
        <rFont val="Times New Roman"/>
        <family val="1"/>
      </rPr>
      <t>0</t>
    </r>
    <r>
      <rPr>
        <sz val="10"/>
        <rFont val="Times New Roman"/>
        <family val="1"/>
      </rPr>
      <t>=</t>
    </r>
  </si>
  <si>
    <r>
      <rPr>
        <sz val="10"/>
        <rFont val="宋体"/>
        <charset val="134"/>
      </rPr>
      <t>计算剪力跨度</t>
    </r>
    <r>
      <rPr>
        <sz val="10"/>
        <rFont val="Times New Roman"/>
        <family val="1"/>
      </rPr>
      <t>l</t>
    </r>
    <r>
      <rPr>
        <vertAlign val="subscript"/>
        <sz val="10"/>
        <rFont val="Times New Roman"/>
        <family val="1"/>
      </rPr>
      <t>n</t>
    </r>
    <r>
      <rPr>
        <sz val="10"/>
        <rFont val="Times New Roman"/>
        <family val="1"/>
      </rPr>
      <t>=</t>
    </r>
  </si>
  <si>
    <r>
      <rPr>
        <sz val="10"/>
        <rFont val="宋体"/>
        <charset val="134"/>
      </rPr>
      <t>跨中弯矩标准值</t>
    </r>
    <r>
      <rPr>
        <sz val="10"/>
        <rFont val="Times New Roman"/>
        <family val="1"/>
      </rPr>
      <t>M</t>
    </r>
    <r>
      <rPr>
        <vertAlign val="subscript"/>
        <sz val="10"/>
        <rFont val="Times New Roman"/>
        <family val="1"/>
      </rPr>
      <t>ks</t>
    </r>
    <r>
      <rPr>
        <sz val="10"/>
        <rFont val="Times New Roman"/>
        <family val="1"/>
      </rPr>
      <t>=q</t>
    </r>
    <r>
      <rPr>
        <vertAlign val="subscript"/>
        <sz val="10"/>
        <rFont val="Times New Roman"/>
        <family val="1"/>
      </rPr>
      <t>0s</t>
    </r>
    <r>
      <rPr>
        <sz val="10"/>
        <rFont val="Times New Roman"/>
        <family val="1"/>
      </rPr>
      <t>l</t>
    </r>
    <r>
      <rPr>
        <vertAlign val="subscript"/>
        <sz val="10"/>
        <rFont val="Times New Roman"/>
        <family val="1"/>
      </rPr>
      <t>0</t>
    </r>
    <r>
      <rPr>
        <vertAlign val="superscript"/>
        <sz val="10"/>
        <rFont val="Times New Roman"/>
        <family val="1"/>
      </rPr>
      <t>2</t>
    </r>
    <r>
      <rPr>
        <sz val="10"/>
        <rFont val="Times New Roman"/>
        <family val="1"/>
      </rPr>
      <t>/8=</t>
    </r>
  </si>
  <si>
    <r>
      <rPr>
        <sz val="10"/>
        <rFont val="宋体"/>
        <charset val="134"/>
      </rPr>
      <t>最大剪力标准值</t>
    </r>
    <r>
      <rPr>
        <sz val="10"/>
        <rFont val="Times New Roman"/>
        <family val="1"/>
      </rPr>
      <t>V</t>
    </r>
    <r>
      <rPr>
        <vertAlign val="subscript"/>
        <sz val="10"/>
        <rFont val="Times New Roman"/>
        <family val="1"/>
      </rPr>
      <t>ks</t>
    </r>
    <r>
      <rPr>
        <sz val="10"/>
        <rFont val="Times New Roman"/>
        <family val="1"/>
      </rPr>
      <t>=q</t>
    </r>
    <r>
      <rPr>
        <vertAlign val="subscript"/>
        <sz val="10"/>
        <rFont val="Times New Roman"/>
        <family val="1"/>
      </rPr>
      <t>0s</t>
    </r>
    <r>
      <rPr>
        <sz val="10"/>
        <rFont val="Times New Roman"/>
        <family val="1"/>
      </rPr>
      <t>l</t>
    </r>
    <r>
      <rPr>
        <vertAlign val="subscript"/>
        <sz val="10"/>
        <rFont val="Times New Roman"/>
        <family val="1"/>
      </rPr>
      <t>n</t>
    </r>
    <r>
      <rPr>
        <sz val="10"/>
        <rFont val="Times New Roman"/>
        <family val="1"/>
      </rPr>
      <t>/2=</t>
    </r>
  </si>
  <si>
    <r>
      <rPr>
        <sz val="10"/>
        <rFont val="宋体"/>
        <charset val="134"/>
      </rPr>
      <t>跨中弯矩设计值</t>
    </r>
    <r>
      <rPr>
        <sz val="10"/>
        <rFont val="Times New Roman"/>
        <family val="1"/>
      </rPr>
      <t>M</t>
    </r>
    <r>
      <rPr>
        <vertAlign val="subscript"/>
        <sz val="10"/>
        <rFont val="Times New Roman"/>
        <family val="1"/>
      </rPr>
      <t>s</t>
    </r>
    <r>
      <rPr>
        <sz val="10"/>
        <rFont val="Times New Roman"/>
        <family val="1"/>
      </rPr>
      <t>=q</t>
    </r>
    <r>
      <rPr>
        <vertAlign val="subscript"/>
        <sz val="10"/>
        <rFont val="Times New Roman"/>
        <family val="1"/>
      </rPr>
      <t>s</t>
    </r>
    <r>
      <rPr>
        <sz val="10"/>
        <rFont val="Times New Roman"/>
        <family val="1"/>
      </rPr>
      <t>l</t>
    </r>
    <r>
      <rPr>
        <vertAlign val="subscript"/>
        <sz val="10"/>
        <rFont val="Times New Roman"/>
        <family val="1"/>
      </rPr>
      <t>0</t>
    </r>
    <r>
      <rPr>
        <vertAlign val="superscript"/>
        <sz val="10"/>
        <rFont val="Times New Roman"/>
        <family val="1"/>
      </rPr>
      <t>2</t>
    </r>
    <r>
      <rPr>
        <sz val="10"/>
        <rFont val="Times New Roman"/>
        <family val="1"/>
      </rPr>
      <t>/8=</t>
    </r>
  </si>
  <si>
    <r>
      <rPr>
        <sz val="10"/>
        <rFont val="宋体"/>
        <charset val="134"/>
      </rPr>
      <t>最大剪力设计值</t>
    </r>
    <r>
      <rPr>
        <sz val="10"/>
        <rFont val="Times New Roman"/>
        <family val="1"/>
      </rPr>
      <t>V</t>
    </r>
    <r>
      <rPr>
        <vertAlign val="subscript"/>
        <sz val="10"/>
        <rFont val="Times New Roman"/>
        <family val="1"/>
      </rPr>
      <t>s</t>
    </r>
    <r>
      <rPr>
        <sz val="10"/>
        <rFont val="Times New Roman"/>
        <family val="1"/>
      </rPr>
      <t>=q</t>
    </r>
    <r>
      <rPr>
        <vertAlign val="subscript"/>
        <sz val="10"/>
        <rFont val="Times New Roman"/>
        <family val="1"/>
      </rPr>
      <t>s</t>
    </r>
    <r>
      <rPr>
        <sz val="10"/>
        <rFont val="Times New Roman"/>
        <family val="1"/>
      </rPr>
      <t>l</t>
    </r>
    <r>
      <rPr>
        <vertAlign val="subscript"/>
        <sz val="10"/>
        <rFont val="Times New Roman"/>
        <family val="1"/>
      </rPr>
      <t>n</t>
    </r>
    <r>
      <rPr>
        <sz val="10"/>
        <rFont val="Times New Roman"/>
        <family val="1"/>
      </rPr>
      <t>/2=</t>
    </r>
  </si>
  <si>
    <r>
      <rPr>
        <sz val="12"/>
        <rFont val="黑体"/>
        <charset val="134"/>
      </rPr>
      <t>表5</t>
    </r>
    <r>
      <rPr>
        <sz val="12"/>
        <rFont val="黑体"/>
        <charset val="134"/>
      </rPr>
      <t xml:space="preserve">  截面参数计算</t>
    </r>
  </si>
  <si>
    <r>
      <rPr>
        <sz val="10"/>
        <rFont val="宋体"/>
        <charset val="134"/>
      </rPr>
      <t>查《水工混凝土结构设计规范》（</t>
    </r>
    <r>
      <rPr>
        <sz val="10"/>
        <rFont val="Times New Roman"/>
        <family val="1"/>
      </rPr>
      <t>SL191-2008</t>
    </r>
    <r>
      <rPr>
        <sz val="10"/>
        <rFont val="宋体"/>
        <charset val="134"/>
      </rPr>
      <t>）</t>
    </r>
  </si>
  <si>
    <r>
      <rPr>
        <sz val="10"/>
        <rFont val="宋体"/>
        <charset val="134"/>
      </rPr>
      <t>受拉区钢绞线选型</t>
    </r>
  </si>
  <si>
    <r>
      <rPr>
        <sz val="10"/>
        <rFont val="宋体"/>
        <charset val="134"/>
      </rPr>
      <t>钢绞线型号：</t>
    </r>
  </si>
  <si>
    <t>1×7-15.20-1860</t>
  </si>
  <si>
    <r>
      <rPr>
        <sz val="10"/>
        <rFont val="宋体"/>
        <charset val="134"/>
        <scheme val="minor"/>
      </rPr>
      <t>φ</t>
    </r>
    <r>
      <rPr>
        <vertAlign val="superscript"/>
        <sz val="10"/>
        <rFont val="Times New Roman"/>
        <family val="1"/>
      </rPr>
      <t>s</t>
    </r>
    <r>
      <rPr>
        <sz val="10"/>
        <rFont val="Times New Roman"/>
        <family val="1"/>
      </rPr>
      <t>1×7</t>
    </r>
  </si>
  <si>
    <r>
      <rPr>
        <sz val="10"/>
        <rFont val="宋体"/>
        <charset val="134"/>
      </rPr>
      <t>单根钢绞线面积</t>
    </r>
    <r>
      <rPr>
        <sz val="10"/>
        <rFont val="Times New Roman"/>
        <family val="1"/>
      </rPr>
      <t>S</t>
    </r>
    <r>
      <rPr>
        <vertAlign val="subscript"/>
        <sz val="10"/>
        <rFont val="Times New Roman"/>
        <family val="1"/>
      </rPr>
      <t>n</t>
    </r>
    <r>
      <rPr>
        <sz val="10"/>
        <rFont val="Times New Roman"/>
        <family val="1"/>
      </rPr>
      <t>=</t>
    </r>
  </si>
  <si>
    <r>
      <rPr>
        <sz val="10"/>
        <rFont val="Times New Roman"/>
        <family val="1"/>
      </rPr>
      <t>mm</t>
    </r>
    <r>
      <rPr>
        <vertAlign val="superscript"/>
        <sz val="10"/>
        <rFont val="Times New Roman"/>
        <family val="1"/>
      </rPr>
      <t>2</t>
    </r>
  </si>
  <si>
    <r>
      <rPr>
        <sz val="10"/>
        <rFont val="宋体"/>
        <charset val="134"/>
      </rPr>
      <t>单束钢绞线根数</t>
    </r>
    <r>
      <rPr>
        <sz val="10"/>
        <rFont val="Times New Roman"/>
        <family val="1"/>
      </rPr>
      <t>n=</t>
    </r>
  </si>
  <si>
    <r>
      <rPr>
        <sz val="10"/>
        <rFont val="宋体"/>
        <charset val="134"/>
      </rPr>
      <t>根</t>
    </r>
  </si>
  <si>
    <r>
      <rPr>
        <sz val="10"/>
        <rFont val="宋体"/>
        <charset val="134"/>
      </rPr>
      <t>单束钢绞线面积</t>
    </r>
    <r>
      <rPr>
        <sz val="10"/>
        <rFont val="Times New Roman"/>
        <family val="1"/>
      </rPr>
      <t>S=nS</t>
    </r>
    <r>
      <rPr>
        <vertAlign val="subscript"/>
        <sz val="10"/>
        <rFont val="Times New Roman"/>
        <family val="1"/>
      </rPr>
      <t>n</t>
    </r>
    <r>
      <rPr>
        <sz val="10"/>
        <rFont val="Times New Roman"/>
        <family val="1"/>
      </rPr>
      <t>=</t>
    </r>
  </si>
  <si>
    <r>
      <rPr>
        <sz val="10"/>
        <rFont val="宋体"/>
        <charset val="134"/>
      </rPr>
      <t>纵向预应力钢筋束数量</t>
    </r>
    <r>
      <rPr>
        <sz val="10"/>
        <rFont val="Times New Roman"/>
        <family val="1"/>
      </rPr>
      <t xml:space="preserve"> N=</t>
    </r>
  </si>
  <si>
    <r>
      <rPr>
        <sz val="10"/>
        <rFont val="宋体"/>
        <charset val="134"/>
      </rPr>
      <t>束</t>
    </r>
  </si>
  <si>
    <r>
      <rPr>
        <sz val="10"/>
        <rFont val="宋体"/>
        <charset val="134"/>
      </rPr>
      <t>预应力钢筋面积</t>
    </r>
    <r>
      <rPr>
        <sz val="10"/>
        <rFont val="Times New Roman"/>
        <family val="1"/>
      </rPr>
      <t>A</t>
    </r>
    <r>
      <rPr>
        <vertAlign val="subscript"/>
        <sz val="10"/>
        <rFont val="Times New Roman"/>
        <family val="1"/>
      </rPr>
      <t>P</t>
    </r>
    <r>
      <rPr>
        <sz val="10"/>
        <rFont val="Times New Roman"/>
        <family val="1"/>
      </rPr>
      <t>=SN=</t>
    </r>
  </si>
  <si>
    <t>预应力损失：</t>
  </si>
  <si>
    <t>钢绞线配筋率：</t>
  </si>
  <si>
    <t>正截面承载力：</t>
  </si>
  <si>
    <r>
      <rPr>
        <sz val="10"/>
        <rFont val="宋体"/>
        <charset val="134"/>
      </rPr>
      <t>受压区钢绞线选型</t>
    </r>
  </si>
  <si>
    <t>斜截面抗剪：</t>
  </si>
  <si>
    <r>
      <rPr>
        <sz val="10"/>
        <rFont val="宋体"/>
        <charset val="134"/>
      </rPr>
      <t>单根钢绞线面积</t>
    </r>
    <r>
      <rPr>
        <sz val="10"/>
        <rFont val="Times New Roman"/>
        <family val="1"/>
      </rPr>
      <t>S'</t>
    </r>
    <r>
      <rPr>
        <vertAlign val="subscript"/>
        <sz val="10"/>
        <rFont val="Times New Roman"/>
        <family val="1"/>
      </rPr>
      <t>n</t>
    </r>
    <r>
      <rPr>
        <sz val="10"/>
        <rFont val="Times New Roman"/>
        <family val="1"/>
      </rPr>
      <t>=</t>
    </r>
  </si>
  <si>
    <t>正截面抗裂：</t>
  </si>
  <si>
    <r>
      <rPr>
        <sz val="10"/>
        <rFont val="宋体"/>
        <charset val="134"/>
      </rPr>
      <t>单束钢绞线根数</t>
    </r>
    <r>
      <rPr>
        <sz val="10"/>
        <rFont val="Times New Roman"/>
        <family val="1"/>
      </rPr>
      <t>n'=</t>
    </r>
  </si>
  <si>
    <t>斜截面抗裂：</t>
  </si>
  <si>
    <r>
      <rPr>
        <sz val="10"/>
        <rFont val="宋体"/>
        <charset val="134"/>
      </rPr>
      <t>单束钢绞线面积</t>
    </r>
    <r>
      <rPr>
        <sz val="10"/>
        <rFont val="Times New Roman"/>
        <family val="1"/>
      </rPr>
      <t>S'=n'S'</t>
    </r>
    <r>
      <rPr>
        <vertAlign val="subscript"/>
        <sz val="10"/>
        <rFont val="Times New Roman"/>
        <family val="1"/>
      </rPr>
      <t>n</t>
    </r>
    <r>
      <rPr>
        <sz val="10"/>
        <rFont val="Times New Roman"/>
        <family val="1"/>
      </rPr>
      <t>=</t>
    </r>
  </si>
  <si>
    <t>施工阶段</t>
  </si>
  <si>
    <r>
      <rPr>
        <sz val="10"/>
        <rFont val="宋体"/>
        <charset val="134"/>
      </rPr>
      <t>预应力钢筋面积</t>
    </r>
    <r>
      <rPr>
        <sz val="10"/>
        <rFont val="Times New Roman"/>
        <family val="1"/>
      </rPr>
      <t>A'</t>
    </r>
    <r>
      <rPr>
        <vertAlign val="subscript"/>
        <sz val="10"/>
        <rFont val="Times New Roman"/>
        <family val="1"/>
      </rPr>
      <t>P</t>
    </r>
    <r>
      <rPr>
        <sz val="10"/>
        <rFont val="Times New Roman"/>
        <family val="1"/>
      </rPr>
      <t>=S'N'=</t>
    </r>
  </si>
  <si>
    <t>受拉区普通钢筋：
（HRB400）</t>
  </si>
  <si>
    <r>
      <rPr>
        <sz val="10"/>
        <rFont val="宋体"/>
        <charset val="134"/>
      </rPr>
      <t>钢筋直径</t>
    </r>
    <r>
      <rPr>
        <sz val="10"/>
        <rFont val="Times New Roman"/>
        <family val="1"/>
      </rPr>
      <t>d</t>
    </r>
  </si>
  <si>
    <r>
      <rPr>
        <sz val="10"/>
        <rFont val="宋体"/>
        <charset val="134"/>
      </rPr>
      <t>单根钢筋面积</t>
    </r>
    <r>
      <rPr>
        <sz val="10"/>
        <rFont val="Times New Roman"/>
        <family val="1"/>
      </rPr>
      <t>S</t>
    </r>
    <r>
      <rPr>
        <vertAlign val="subscript"/>
        <sz val="10"/>
        <rFont val="Times New Roman"/>
        <family val="1"/>
      </rPr>
      <t>1</t>
    </r>
    <r>
      <rPr>
        <sz val="10"/>
        <rFont val="Times New Roman"/>
        <family val="1"/>
      </rPr>
      <t>=</t>
    </r>
  </si>
  <si>
    <r>
      <rPr>
        <sz val="10"/>
        <rFont val="Times New Roman"/>
        <family val="1"/>
      </rPr>
      <t>n</t>
    </r>
    <r>
      <rPr>
        <vertAlign val="subscript"/>
        <sz val="10"/>
        <rFont val="Times New Roman"/>
        <family val="1"/>
      </rPr>
      <t>1</t>
    </r>
    <r>
      <rPr>
        <sz val="10"/>
        <rFont val="Times New Roman"/>
        <family val="1"/>
      </rPr>
      <t>=</t>
    </r>
  </si>
  <si>
    <r>
      <rPr>
        <sz val="10"/>
        <rFont val="宋体"/>
        <charset val="134"/>
      </rPr>
      <t>普通钢筋面积</t>
    </r>
    <r>
      <rPr>
        <sz val="10"/>
        <rFont val="Times New Roman"/>
        <family val="1"/>
      </rPr>
      <t>A</t>
    </r>
    <r>
      <rPr>
        <vertAlign val="subscript"/>
        <sz val="10"/>
        <rFont val="Times New Roman"/>
        <family val="1"/>
      </rPr>
      <t>s</t>
    </r>
    <r>
      <rPr>
        <sz val="10"/>
        <rFont val="Times New Roman"/>
        <family val="1"/>
      </rPr>
      <t>=n</t>
    </r>
    <r>
      <rPr>
        <vertAlign val="subscript"/>
        <sz val="10"/>
        <rFont val="Times New Roman"/>
        <family val="1"/>
      </rPr>
      <t>1</t>
    </r>
    <r>
      <rPr>
        <sz val="10"/>
        <rFont val="Times New Roman"/>
        <family val="1"/>
      </rPr>
      <t>S</t>
    </r>
    <r>
      <rPr>
        <vertAlign val="subscript"/>
        <sz val="10"/>
        <rFont val="Times New Roman"/>
        <family val="1"/>
      </rPr>
      <t>1</t>
    </r>
    <r>
      <rPr>
        <sz val="10"/>
        <rFont val="Times New Roman"/>
        <family val="1"/>
      </rPr>
      <t>=</t>
    </r>
  </si>
  <si>
    <t>!</t>
  </si>
  <si>
    <t>受压区普通钢筋：
（HRB400）</t>
  </si>
  <si>
    <r>
      <rPr>
        <sz val="10"/>
        <rFont val="宋体"/>
        <charset val="134"/>
      </rPr>
      <t>单根钢筋面积</t>
    </r>
    <r>
      <rPr>
        <sz val="10"/>
        <rFont val="Times New Roman"/>
        <family val="1"/>
      </rPr>
      <t>S'</t>
    </r>
    <r>
      <rPr>
        <vertAlign val="subscript"/>
        <sz val="10"/>
        <rFont val="宋体"/>
        <charset val="134"/>
      </rPr>
      <t>1</t>
    </r>
    <r>
      <rPr>
        <sz val="10"/>
        <rFont val="宋体"/>
        <charset val="134"/>
      </rPr>
      <t>=</t>
    </r>
  </si>
  <si>
    <r>
      <rPr>
        <sz val="10"/>
        <rFont val="宋体"/>
        <charset val="134"/>
      </rPr>
      <t>mm</t>
    </r>
    <r>
      <rPr>
        <vertAlign val="superscript"/>
        <sz val="10"/>
        <rFont val="宋体"/>
        <charset val="134"/>
      </rPr>
      <t>2</t>
    </r>
  </si>
  <si>
    <r>
      <rPr>
        <sz val="10"/>
        <rFont val="宋体"/>
        <charset val="134"/>
      </rPr>
      <t>n</t>
    </r>
    <r>
      <rPr>
        <sz val="10"/>
        <rFont val="Times New Roman"/>
        <family val="1"/>
      </rPr>
      <t>'</t>
    </r>
    <r>
      <rPr>
        <vertAlign val="subscript"/>
        <sz val="10"/>
        <rFont val="宋体"/>
        <charset val="134"/>
      </rPr>
      <t>1</t>
    </r>
    <r>
      <rPr>
        <sz val="10"/>
        <rFont val="宋体"/>
        <charset val="134"/>
      </rPr>
      <t>=</t>
    </r>
  </si>
  <si>
    <r>
      <rPr>
        <sz val="10"/>
        <rFont val="宋体"/>
        <charset val="134"/>
      </rPr>
      <t>普通钢筋面积A</t>
    </r>
    <r>
      <rPr>
        <vertAlign val="superscript"/>
        <sz val="10"/>
        <rFont val="宋体"/>
        <charset val="134"/>
      </rPr>
      <t>'</t>
    </r>
    <r>
      <rPr>
        <vertAlign val="subscript"/>
        <sz val="10"/>
        <rFont val="宋体"/>
        <charset val="134"/>
      </rPr>
      <t>s</t>
    </r>
    <r>
      <rPr>
        <sz val="10"/>
        <rFont val="宋体"/>
        <charset val="134"/>
      </rPr>
      <t>=n</t>
    </r>
    <r>
      <rPr>
        <sz val="10"/>
        <rFont val="Times New Roman"/>
        <family val="1"/>
      </rPr>
      <t>'</t>
    </r>
    <r>
      <rPr>
        <vertAlign val="subscript"/>
        <sz val="10"/>
        <rFont val="宋体"/>
        <charset val="134"/>
      </rPr>
      <t>1</t>
    </r>
    <r>
      <rPr>
        <sz val="10"/>
        <rFont val="宋体"/>
        <charset val="134"/>
      </rPr>
      <t>S</t>
    </r>
    <r>
      <rPr>
        <sz val="10"/>
        <rFont val="Times New Roman"/>
        <family val="1"/>
      </rPr>
      <t>'</t>
    </r>
    <r>
      <rPr>
        <vertAlign val="subscript"/>
        <sz val="10"/>
        <rFont val="宋体"/>
        <charset val="134"/>
      </rPr>
      <t>1</t>
    </r>
    <r>
      <rPr>
        <sz val="10"/>
        <rFont val="宋体"/>
        <charset val="134"/>
      </rPr>
      <t>=</t>
    </r>
  </si>
  <si>
    <r>
      <rPr>
        <sz val="10"/>
        <rFont val="宋体"/>
        <charset val="134"/>
      </rPr>
      <t>简化</t>
    </r>
    <r>
      <rPr>
        <sz val="10"/>
        <rFont val="Times New Roman"/>
        <family val="1"/>
      </rPr>
      <t>T</t>
    </r>
    <r>
      <rPr>
        <sz val="10"/>
        <rFont val="宋体"/>
        <charset val="134"/>
      </rPr>
      <t>型梁尺寸</t>
    </r>
  </si>
  <si>
    <r>
      <rPr>
        <sz val="10"/>
        <rFont val="宋体"/>
        <charset val="134"/>
      </rPr>
      <t>上翼缘宽度</t>
    </r>
    <r>
      <rPr>
        <sz val="10"/>
        <rFont val="Times New Roman"/>
        <family val="1"/>
      </rPr>
      <t>bf</t>
    </r>
    <r>
      <rPr>
        <vertAlign val="superscript"/>
        <sz val="10"/>
        <rFont val="宋体"/>
        <charset val="134"/>
      </rPr>
      <t>′</t>
    </r>
    <r>
      <rPr>
        <sz val="10"/>
        <rFont val="Times New Roman"/>
        <family val="1"/>
      </rPr>
      <t>=2(a+t)=</t>
    </r>
  </si>
  <si>
    <r>
      <rPr>
        <sz val="10"/>
        <rFont val="宋体"/>
        <charset val="134"/>
      </rPr>
      <t>上翼缘高度</t>
    </r>
    <r>
      <rPr>
        <sz val="10"/>
        <rFont val="Times New Roman"/>
        <family val="1"/>
      </rPr>
      <t>hf'=0.5(b+b+c)=</t>
    </r>
  </si>
  <si>
    <r>
      <rPr>
        <sz val="10"/>
        <rFont val="宋体"/>
        <charset val="134"/>
      </rPr>
      <t>腹板宽度</t>
    </r>
    <r>
      <rPr>
        <sz val="10"/>
        <rFont val="Times New Roman"/>
        <family val="1"/>
      </rPr>
      <t>b=2t=</t>
    </r>
  </si>
  <si>
    <t>钢绞线及截面换算</t>
  </si>
  <si>
    <r>
      <rPr>
        <sz val="10"/>
        <rFont val="宋体"/>
        <charset val="134"/>
      </rPr>
      <t>单根钢绞线</t>
    </r>
    <r>
      <rPr>
        <sz val="10"/>
        <color rgb="FFFF0000"/>
        <rFont val="宋体"/>
        <charset val="134"/>
      </rPr>
      <t>公称</t>
    </r>
    <r>
      <rPr>
        <sz val="10"/>
        <rFont val="宋体"/>
        <charset val="134"/>
      </rPr>
      <t>直径d=</t>
    </r>
  </si>
  <si>
    <r>
      <rPr>
        <sz val="10"/>
        <rFont val="宋体"/>
        <charset val="134"/>
      </rPr>
      <t>中间数据</t>
    </r>
  </si>
  <si>
    <r>
      <rPr>
        <sz val="10"/>
        <rFont val="宋体"/>
        <charset val="134"/>
      </rPr>
      <t>受拉区单束钢绞线</t>
    </r>
    <r>
      <rPr>
        <sz val="10"/>
        <color rgb="FFFF0000"/>
        <rFont val="宋体"/>
        <charset val="134"/>
      </rPr>
      <t>公称</t>
    </r>
    <r>
      <rPr>
        <sz val="10"/>
        <rFont val="宋体"/>
        <charset val="134"/>
      </rPr>
      <t>直径d</t>
    </r>
    <r>
      <rPr>
        <vertAlign val="subscript"/>
        <sz val="10"/>
        <rFont val="宋体"/>
        <charset val="134"/>
      </rPr>
      <t>l</t>
    </r>
    <r>
      <rPr>
        <sz val="10"/>
        <rFont val="宋体"/>
        <charset val="134"/>
      </rPr>
      <t>=</t>
    </r>
  </si>
  <si>
    <r>
      <rPr>
        <sz val="10"/>
        <rFont val="宋体"/>
        <charset val="134"/>
      </rPr>
      <t>受拉区单</t>
    </r>
    <r>
      <rPr>
        <sz val="10"/>
        <color rgb="FFFF0000"/>
        <rFont val="宋体"/>
        <charset val="134"/>
      </rPr>
      <t>束</t>
    </r>
    <r>
      <rPr>
        <sz val="10"/>
        <rFont val="宋体"/>
        <charset val="134"/>
      </rPr>
      <t>孔道d</t>
    </r>
    <r>
      <rPr>
        <vertAlign val="subscript"/>
        <sz val="10"/>
        <rFont val="宋体"/>
        <charset val="134"/>
      </rPr>
      <t>孔l</t>
    </r>
    <r>
      <rPr>
        <sz val="10"/>
        <rFont val="宋体"/>
        <charset val="134"/>
      </rPr>
      <t>=</t>
    </r>
  </si>
  <si>
    <r>
      <rPr>
        <sz val="10"/>
        <rFont val="宋体"/>
        <charset val="134"/>
      </rPr>
      <t>A</t>
    </r>
    <r>
      <rPr>
        <vertAlign val="subscript"/>
        <sz val="10"/>
        <rFont val="宋体"/>
        <charset val="134"/>
      </rPr>
      <t>k</t>
    </r>
    <r>
      <rPr>
        <sz val="10"/>
        <rFont val="宋体"/>
        <charset val="134"/>
      </rPr>
      <t>=N(πd</t>
    </r>
    <r>
      <rPr>
        <vertAlign val="superscript"/>
        <sz val="10"/>
        <rFont val="宋体"/>
        <charset val="134"/>
      </rPr>
      <t>2</t>
    </r>
    <r>
      <rPr>
        <vertAlign val="subscript"/>
        <sz val="10"/>
        <rFont val="宋体"/>
        <charset val="134"/>
      </rPr>
      <t>孔</t>
    </r>
    <r>
      <rPr>
        <sz val="10"/>
        <rFont val="宋体"/>
        <charset val="134"/>
      </rPr>
      <t>/4)=</t>
    </r>
  </si>
  <si>
    <r>
      <rPr>
        <sz val="10"/>
        <rFont val="宋体"/>
        <charset val="134"/>
      </rPr>
      <t>受压区单</t>
    </r>
    <r>
      <rPr>
        <sz val="10"/>
        <color rgb="FFFF0000"/>
        <rFont val="宋体"/>
        <charset val="134"/>
      </rPr>
      <t>束</t>
    </r>
    <r>
      <rPr>
        <sz val="10"/>
        <rFont val="宋体"/>
        <charset val="134"/>
      </rPr>
      <t>钢绞线公称直径d</t>
    </r>
    <r>
      <rPr>
        <vertAlign val="subscript"/>
        <sz val="10"/>
        <rFont val="宋体"/>
        <charset val="134"/>
      </rPr>
      <t>y</t>
    </r>
    <r>
      <rPr>
        <sz val="10"/>
        <rFont val="宋体"/>
        <charset val="134"/>
      </rPr>
      <t>=</t>
    </r>
  </si>
  <si>
    <r>
      <rPr>
        <sz val="10"/>
        <rFont val="宋体"/>
        <charset val="134"/>
      </rPr>
      <t>受压区单</t>
    </r>
    <r>
      <rPr>
        <sz val="10"/>
        <color rgb="FFFF0000"/>
        <rFont val="宋体"/>
        <charset val="134"/>
      </rPr>
      <t>束</t>
    </r>
    <r>
      <rPr>
        <sz val="10"/>
        <rFont val="宋体"/>
        <charset val="134"/>
      </rPr>
      <t>孔道d</t>
    </r>
    <r>
      <rPr>
        <vertAlign val="subscript"/>
        <sz val="10"/>
        <rFont val="宋体"/>
        <charset val="134"/>
      </rPr>
      <t>孔y</t>
    </r>
    <r>
      <rPr>
        <sz val="10"/>
        <rFont val="宋体"/>
        <charset val="134"/>
      </rPr>
      <t>=</t>
    </r>
  </si>
  <si>
    <r>
      <rPr>
        <sz val="10"/>
        <rFont val="宋体"/>
        <charset val="134"/>
      </rPr>
      <t>A</t>
    </r>
    <r>
      <rPr>
        <vertAlign val="superscript"/>
        <sz val="10"/>
        <rFont val="宋体"/>
        <charset val="134"/>
      </rPr>
      <t>'</t>
    </r>
    <r>
      <rPr>
        <vertAlign val="subscript"/>
        <sz val="10"/>
        <rFont val="宋体"/>
        <charset val="134"/>
      </rPr>
      <t>k</t>
    </r>
    <r>
      <rPr>
        <sz val="10"/>
        <rFont val="宋体"/>
        <charset val="134"/>
      </rPr>
      <t>=N</t>
    </r>
    <r>
      <rPr>
        <vertAlign val="superscript"/>
        <sz val="10"/>
        <rFont val="宋体"/>
        <charset val="134"/>
      </rPr>
      <t>'</t>
    </r>
    <r>
      <rPr>
        <sz val="10"/>
        <rFont val="宋体"/>
        <charset val="134"/>
      </rPr>
      <t>(πd</t>
    </r>
    <r>
      <rPr>
        <vertAlign val="superscript"/>
        <sz val="10"/>
        <rFont val="宋体"/>
        <charset val="134"/>
      </rPr>
      <t>2</t>
    </r>
    <r>
      <rPr>
        <vertAlign val="subscript"/>
        <sz val="10"/>
        <rFont val="宋体"/>
        <charset val="134"/>
      </rPr>
      <t>孔</t>
    </r>
    <r>
      <rPr>
        <sz val="10"/>
        <rFont val="宋体"/>
        <charset val="134"/>
      </rPr>
      <t>/4)=</t>
    </r>
  </si>
  <si>
    <r>
      <rPr>
        <sz val="10"/>
        <rFont val="宋体"/>
        <charset val="134"/>
      </rPr>
      <t>A</t>
    </r>
    <r>
      <rPr>
        <vertAlign val="subscript"/>
        <sz val="10"/>
        <rFont val="宋体"/>
        <charset val="134"/>
      </rPr>
      <t>m</t>
    </r>
    <r>
      <rPr>
        <sz val="10"/>
        <rFont val="宋体"/>
        <charset val="134"/>
      </rPr>
      <t>=A</t>
    </r>
    <r>
      <rPr>
        <vertAlign val="subscript"/>
        <sz val="10"/>
        <rFont val="宋体"/>
        <charset val="134"/>
      </rPr>
      <t>k</t>
    </r>
    <r>
      <rPr>
        <sz val="10"/>
        <rFont val="宋体"/>
        <charset val="134"/>
      </rPr>
      <t>+A</t>
    </r>
    <r>
      <rPr>
        <vertAlign val="superscript"/>
        <sz val="10"/>
        <rFont val="宋体"/>
        <charset val="134"/>
      </rPr>
      <t>'</t>
    </r>
    <r>
      <rPr>
        <vertAlign val="subscript"/>
        <sz val="10"/>
        <rFont val="宋体"/>
        <charset val="134"/>
      </rPr>
      <t>k</t>
    </r>
    <r>
      <rPr>
        <sz val="10"/>
        <rFont val="宋体"/>
        <charset val="134"/>
      </rPr>
      <t>=</t>
    </r>
  </si>
  <si>
    <r>
      <rPr>
        <sz val="10"/>
        <rFont val="宋体"/>
        <charset val="134"/>
      </rPr>
      <t>预应力钢筋α</t>
    </r>
    <r>
      <rPr>
        <vertAlign val="subscript"/>
        <sz val="10"/>
        <rFont val="宋体"/>
        <charset val="134"/>
      </rPr>
      <t>P</t>
    </r>
    <r>
      <rPr>
        <sz val="10"/>
        <rFont val="宋体"/>
        <charset val="134"/>
      </rPr>
      <t>=E</t>
    </r>
    <r>
      <rPr>
        <vertAlign val="subscript"/>
        <sz val="10"/>
        <rFont val="宋体"/>
        <charset val="134"/>
      </rPr>
      <t>p</t>
    </r>
    <r>
      <rPr>
        <sz val="10"/>
        <rFont val="宋体"/>
        <charset val="134"/>
      </rPr>
      <t>/E</t>
    </r>
    <r>
      <rPr>
        <vertAlign val="subscript"/>
        <sz val="10"/>
        <rFont val="宋体"/>
        <charset val="134"/>
      </rPr>
      <t>c</t>
    </r>
    <r>
      <rPr>
        <sz val="10"/>
        <rFont val="宋体"/>
        <charset val="134"/>
      </rPr>
      <t>=</t>
    </r>
  </si>
  <si>
    <r>
      <rPr>
        <sz val="10"/>
        <rFont val="宋体"/>
        <charset val="134"/>
      </rPr>
      <t>普通钢筋α</t>
    </r>
    <r>
      <rPr>
        <vertAlign val="subscript"/>
        <sz val="10"/>
        <rFont val="宋体"/>
        <charset val="134"/>
      </rPr>
      <t>E</t>
    </r>
    <r>
      <rPr>
        <sz val="10"/>
        <rFont val="宋体"/>
        <charset val="134"/>
      </rPr>
      <t>=E</t>
    </r>
    <r>
      <rPr>
        <vertAlign val="subscript"/>
        <sz val="10"/>
        <rFont val="宋体"/>
        <charset val="134"/>
      </rPr>
      <t>s</t>
    </r>
    <r>
      <rPr>
        <sz val="10"/>
        <rFont val="宋体"/>
        <charset val="134"/>
      </rPr>
      <t>/E</t>
    </r>
    <r>
      <rPr>
        <vertAlign val="subscript"/>
        <sz val="10"/>
        <rFont val="宋体"/>
        <charset val="134"/>
      </rPr>
      <t>c</t>
    </r>
    <r>
      <rPr>
        <sz val="10"/>
        <rFont val="宋体"/>
        <charset val="134"/>
      </rPr>
      <t>=</t>
    </r>
  </si>
  <si>
    <r>
      <rPr>
        <sz val="10"/>
        <rFont val="宋体"/>
        <charset val="134"/>
      </rPr>
      <t>α</t>
    </r>
    <r>
      <rPr>
        <vertAlign val="subscript"/>
        <sz val="10"/>
        <rFont val="宋体"/>
        <charset val="134"/>
      </rPr>
      <t>E</t>
    </r>
    <r>
      <rPr>
        <sz val="10"/>
        <rFont val="宋体"/>
        <charset val="134"/>
      </rPr>
      <t>(A</t>
    </r>
    <r>
      <rPr>
        <vertAlign val="subscript"/>
        <sz val="10"/>
        <rFont val="宋体"/>
        <charset val="134"/>
      </rPr>
      <t>s</t>
    </r>
    <r>
      <rPr>
        <sz val="10"/>
        <rFont val="宋体"/>
        <charset val="134"/>
      </rPr>
      <t>+A</t>
    </r>
    <r>
      <rPr>
        <vertAlign val="superscript"/>
        <sz val="10"/>
        <rFont val="宋体"/>
        <charset val="134"/>
      </rPr>
      <t>′</t>
    </r>
    <r>
      <rPr>
        <vertAlign val="subscript"/>
        <sz val="10"/>
        <rFont val="宋体"/>
        <charset val="134"/>
      </rPr>
      <t>s</t>
    </r>
    <r>
      <rPr>
        <sz val="10"/>
        <rFont val="宋体"/>
        <charset val="134"/>
      </rPr>
      <t>)=</t>
    </r>
  </si>
  <si>
    <r>
      <rPr>
        <sz val="10"/>
        <rFont val="宋体"/>
        <charset val="134"/>
      </rPr>
      <t>净截面面积A</t>
    </r>
    <r>
      <rPr>
        <vertAlign val="subscript"/>
        <sz val="10"/>
        <rFont val="宋体"/>
        <charset val="134"/>
      </rPr>
      <t>n</t>
    </r>
    <r>
      <rPr>
        <sz val="10"/>
        <rFont val="宋体"/>
        <charset val="134"/>
      </rPr>
      <t>=A</t>
    </r>
    <r>
      <rPr>
        <vertAlign val="subscript"/>
        <sz val="10"/>
        <rFont val="宋体"/>
        <charset val="134"/>
      </rPr>
      <t>c</t>
    </r>
    <r>
      <rPr>
        <sz val="10"/>
        <rFont val="宋体"/>
        <charset val="134"/>
      </rPr>
      <t>-A</t>
    </r>
    <r>
      <rPr>
        <vertAlign val="subscript"/>
        <sz val="10"/>
        <rFont val="宋体"/>
        <charset val="134"/>
      </rPr>
      <t>m</t>
    </r>
    <r>
      <rPr>
        <sz val="10"/>
        <rFont val="宋体"/>
        <charset val="134"/>
      </rPr>
      <t>+α</t>
    </r>
    <r>
      <rPr>
        <vertAlign val="subscript"/>
        <sz val="10"/>
        <rFont val="宋体"/>
        <charset val="134"/>
      </rPr>
      <t>E</t>
    </r>
    <r>
      <rPr>
        <sz val="10"/>
        <rFont val="宋体"/>
        <charset val="134"/>
      </rPr>
      <t>(A</t>
    </r>
    <r>
      <rPr>
        <vertAlign val="subscript"/>
        <sz val="10"/>
        <rFont val="宋体"/>
        <charset val="134"/>
      </rPr>
      <t>s</t>
    </r>
    <r>
      <rPr>
        <sz val="10"/>
        <rFont val="宋体"/>
        <charset val="134"/>
      </rPr>
      <t>+A′s)=</t>
    </r>
  </si>
  <si>
    <r>
      <rPr>
        <sz val="10"/>
        <rFont val="宋体"/>
        <charset val="134"/>
      </rPr>
      <t>保护层厚度</t>
    </r>
    <r>
      <rPr>
        <sz val="10"/>
        <rFont val="Times New Roman"/>
        <family val="1"/>
      </rPr>
      <t>c=</t>
    </r>
  </si>
  <si>
    <r>
      <rPr>
        <b/>
        <sz val="10"/>
        <color rgb="FFFF0000"/>
        <rFont val="宋体"/>
        <charset val="134"/>
      </rPr>
      <t>普通</t>
    </r>
    <r>
      <rPr>
        <sz val="10"/>
        <rFont val="宋体"/>
        <charset val="134"/>
      </rPr>
      <t>受拉钢筋合力点至受拉边缘的距离</t>
    </r>
    <r>
      <rPr>
        <sz val="10"/>
        <rFont val="Times New Roman"/>
        <family val="1"/>
      </rPr>
      <t>a</t>
    </r>
    <r>
      <rPr>
        <vertAlign val="subscript"/>
        <sz val="10"/>
        <rFont val="Times New Roman"/>
        <family val="1"/>
      </rPr>
      <t>s</t>
    </r>
    <r>
      <rPr>
        <sz val="10"/>
        <rFont val="Times New Roman"/>
        <family val="1"/>
      </rPr>
      <t>=</t>
    </r>
  </si>
  <si>
    <t>初步估算值</t>
  </si>
  <si>
    <r>
      <rPr>
        <b/>
        <sz val="10"/>
        <color rgb="FFFF0000"/>
        <rFont val="宋体"/>
        <charset val="134"/>
      </rPr>
      <t>普通</t>
    </r>
    <r>
      <rPr>
        <sz val="10"/>
        <rFont val="宋体"/>
        <charset val="134"/>
      </rPr>
      <t>受压钢筋合力点至受压边缘的距离</t>
    </r>
    <r>
      <rPr>
        <sz val="10"/>
        <rFont val="Times New Roman"/>
        <family val="1"/>
      </rPr>
      <t>a'</t>
    </r>
    <r>
      <rPr>
        <vertAlign val="subscript"/>
        <sz val="10"/>
        <rFont val="Times New Roman"/>
        <family val="1"/>
      </rPr>
      <t>s</t>
    </r>
    <r>
      <rPr>
        <sz val="10"/>
        <rFont val="Times New Roman"/>
        <family val="1"/>
      </rPr>
      <t>=</t>
    </r>
  </si>
  <si>
    <r>
      <rPr>
        <sz val="10"/>
        <rFont val="宋体"/>
        <charset val="134"/>
      </rPr>
      <t>受压区全部纵向钢筋合力点至受压边缘的距离</t>
    </r>
    <r>
      <rPr>
        <sz val="10"/>
        <rFont val="Times New Roman"/>
        <family val="1"/>
      </rPr>
      <t>a'=</t>
    </r>
  </si>
  <si>
    <r>
      <rPr>
        <b/>
        <sz val="10"/>
        <color rgb="FFFF0000"/>
        <rFont val="宋体"/>
        <charset val="134"/>
      </rPr>
      <t>受压区</t>
    </r>
    <r>
      <rPr>
        <sz val="10"/>
        <rFont val="宋体"/>
        <charset val="134"/>
      </rPr>
      <t>纵向</t>
    </r>
    <r>
      <rPr>
        <b/>
        <sz val="10"/>
        <color rgb="FF0000FF"/>
        <rFont val="宋体"/>
        <charset val="134"/>
      </rPr>
      <t>预应力</t>
    </r>
    <r>
      <rPr>
        <sz val="10"/>
        <rFont val="宋体"/>
        <charset val="134"/>
      </rPr>
      <t>钢筋合力点至受压边缘的距离</t>
    </r>
    <r>
      <rPr>
        <sz val="10"/>
        <rFont val="Times New Roman"/>
        <family val="1"/>
      </rPr>
      <t>a'</t>
    </r>
    <r>
      <rPr>
        <vertAlign val="subscript"/>
        <sz val="10"/>
        <rFont val="Times New Roman"/>
        <family val="1"/>
      </rPr>
      <t>p</t>
    </r>
    <r>
      <rPr>
        <sz val="10"/>
        <rFont val="Times New Roman"/>
        <family val="1"/>
      </rPr>
      <t>=</t>
    </r>
  </si>
  <si>
    <r>
      <rPr>
        <b/>
        <sz val="10"/>
        <color rgb="FFFF0000"/>
        <rFont val="宋体"/>
        <charset val="134"/>
      </rPr>
      <t>受拉区</t>
    </r>
    <r>
      <rPr>
        <sz val="10"/>
        <rFont val="宋体"/>
        <charset val="134"/>
      </rPr>
      <t>纵向</t>
    </r>
    <r>
      <rPr>
        <b/>
        <sz val="10"/>
        <color rgb="FF0000FF"/>
        <rFont val="宋体"/>
        <charset val="134"/>
      </rPr>
      <t>预应力</t>
    </r>
    <r>
      <rPr>
        <sz val="10"/>
        <rFont val="宋体"/>
        <charset val="134"/>
      </rPr>
      <t>钢筋合力点至受拉边缘的距离</t>
    </r>
    <r>
      <rPr>
        <sz val="10"/>
        <rFont val="Times New Roman"/>
        <family val="1"/>
      </rPr>
      <t>a</t>
    </r>
    <r>
      <rPr>
        <vertAlign val="subscript"/>
        <sz val="10"/>
        <rFont val="Times New Roman"/>
        <family val="1"/>
      </rPr>
      <t>p</t>
    </r>
    <r>
      <rPr>
        <sz val="10"/>
        <rFont val="Times New Roman"/>
        <family val="1"/>
      </rPr>
      <t>=</t>
    </r>
  </si>
  <si>
    <r>
      <rPr>
        <sz val="10"/>
        <rFont val="宋体"/>
        <charset val="134"/>
      </rPr>
      <t>受拉区全部纵向钢筋合力点至受拉边缘的距离</t>
    </r>
    <r>
      <rPr>
        <sz val="10"/>
        <rFont val="Times New Roman"/>
        <family val="1"/>
      </rPr>
      <t>a=</t>
    </r>
  </si>
  <si>
    <r>
      <rPr>
        <sz val="10"/>
        <rFont val="宋体"/>
        <charset val="134"/>
      </rPr>
      <t>截面有效高度</t>
    </r>
    <r>
      <rPr>
        <sz val="10"/>
        <rFont val="Times New Roman"/>
        <family val="1"/>
      </rPr>
      <t>h</t>
    </r>
    <r>
      <rPr>
        <vertAlign val="subscript"/>
        <sz val="10"/>
        <rFont val="Times New Roman"/>
        <family val="1"/>
      </rPr>
      <t>0</t>
    </r>
    <r>
      <rPr>
        <sz val="10"/>
        <rFont val="Times New Roman"/>
        <family val="1"/>
      </rPr>
      <t>=</t>
    </r>
  </si>
  <si>
    <r>
      <rPr>
        <sz val="10"/>
        <rFont val="宋体"/>
        <charset val="134"/>
      </rPr>
      <t>混凝土净截面重心至受压边缘的距离</t>
    </r>
    <r>
      <rPr>
        <sz val="10"/>
        <rFont val="Times New Roman"/>
        <family val="1"/>
      </rPr>
      <t>y</t>
    </r>
    <r>
      <rPr>
        <vertAlign val="subscript"/>
        <sz val="10"/>
        <rFont val="Times New Roman"/>
        <family val="1"/>
      </rPr>
      <t>n1</t>
    </r>
    <r>
      <rPr>
        <sz val="10"/>
        <rFont val="Times New Roman"/>
        <family val="1"/>
      </rPr>
      <t>=</t>
    </r>
  </si>
  <si>
    <r>
      <rPr>
        <sz val="10"/>
        <rFont val="宋体"/>
        <charset val="134"/>
      </rPr>
      <t>混凝土净截面重心至受拉边缘的距离</t>
    </r>
    <r>
      <rPr>
        <sz val="10"/>
        <rFont val="Times New Roman"/>
        <family val="1"/>
      </rPr>
      <t>y</t>
    </r>
    <r>
      <rPr>
        <vertAlign val="subscript"/>
        <sz val="10"/>
        <rFont val="Times New Roman"/>
        <family val="1"/>
      </rPr>
      <t>n2</t>
    </r>
    <r>
      <rPr>
        <sz val="10"/>
        <rFont val="Times New Roman"/>
        <family val="1"/>
      </rPr>
      <t>=h-y</t>
    </r>
    <r>
      <rPr>
        <vertAlign val="subscript"/>
        <sz val="10"/>
        <rFont val="Times New Roman"/>
        <family val="1"/>
      </rPr>
      <t>n1</t>
    </r>
    <r>
      <rPr>
        <sz val="10"/>
        <rFont val="Times New Roman"/>
        <family val="1"/>
      </rPr>
      <t>=</t>
    </r>
  </si>
  <si>
    <t>中间数据</t>
  </si>
  <si>
    <r>
      <rPr>
        <sz val="10"/>
        <rFont val="宋体"/>
        <charset val="134"/>
        <scheme val="minor"/>
      </rPr>
      <t>净截面的惯性矩I</t>
    </r>
    <r>
      <rPr>
        <vertAlign val="subscript"/>
        <sz val="10"/>
        <rFont val="宋体"/>
        <charset val="134"/>
        <scheme val="minor"/>
      </rPr>
      <t>n</t>
    </r>
    <r>
      <rPr>
        <sz val="10"/>
        <rFont val="宋体"/>
        <charset val="134"/>
        <scheme val="minor"/>
      </rPr>
      <t>:</t>
    </r>
  </si>
  <si>
    <r>
      <rPr>
        <sz val="10"/>
        <rFont val="宋体"/>
        <charset val="134"/>
        <scheme val="minor"/>
      </rPr>
      <t>I</t>
    </r>
    <r>
      <rPr>
        <vertAlign val="subscript"/>
        <sz val="10"/>
        <rFont val="宋体"/>
        <charset val="134"/>
        <scheme val="minor"/>
      </rPr>
      <t>n</t>
    </r>
    <r>
      <rPr>
        <sz val="10"/>
        <rFont val="宋体"/>
        <charset val="134"/>
        <scheme val="minor"/>
      </rPr>
      <t>=</t>
    </r>
  </si>
  <si>
    <r>
      <rPr>
        <sz val="10"/>
        <color theme="1"/>
        <rFont val="宋体"/>
        <charset val="134"/>
        <scheme val="minor"/>
      </rPr>
      <t>mm</t>
    </r>
    <r>
      <rPr>
        <vertAlign val="superscript"/>
        <sz val="10"/>
        <color theme="1"/>
        <rFont val="宋体"/>
        <charset val="134"/>
        <scheme val="minor"/>
      </rPr>
      <t>4</t>
    </r>
  </si>
  <si>
    <r>
      <rPr>
        <sz val="10"/>
        <rFont val="宋体"/>
        <charset val="134"/>
        <scheme val="minor"/>
      </rPr>
      <t>换算面积A</t>
    </r>
    <r>
      <rPr>
        <vertAlign val="subscript"/>
        <sz val="10"/>
        <rFont val="宋体"/>
        <charset val="134"/>
        <scheme val="minor"/>
      </rPr>
      <t>0</t>
    </r>
    <r>
      <rPr>
        <sz val="10"/>
        <rFont val="宋体"/>
        <charset val="134"/>
        <scheme val="minor"/>
      </rPr>
      <t>=A</t>
    </r>
    <r>
      <rPr>
        <vertAlign val="subscript"/>
        <sz val="10"/>
        <rFont val="宋体"/>
        <charset val="134"/>
        <scheme val="minor"/>
      </rPr>
      <t>n</t>
    </r>
    <r>
      <rPr>
        <sz val="10"/>
        <rFont val="宋体"/>
        <charset val="134"/>
        <scheme val="minor"/>
      </rPr>
      <t>+α'</t>
    </r>
    <r>
      <rPr>
        <vertAlign val="subscript"/>
        <sz val="10"/>
        <rFont val="宋体"/>
        <charset val="134"/>
        <scheme val="minor"/>
      </rPr>
      <t>E</t>
    </r>
    <r>
      <rPr>
        <sz val="10"/>
        <rFont val="宋体"/>
        <charset val="134"/>
        <scheme val="minor"/>
      </rPr>
      <t>(A</t>
    </r>
    <r>
      <rPr>
        <vertAlign val="subscript"/>
        <sz val="10"/>
        <rFont val="宋体"/>
        <charset val="134"/>
        <scheme val="minor"/>
      </rPr>
      <t>p</t>
    </r>
    <r>
      <rPr>
        <sz val="10"/>
        <rFont val="宋体"/>
        <charset val="134"/>
        <scheme val="minor"/>
      </rPr>
      <t>+A</t>
    </r>
    <r>
      <rPr>
        <vertAlign val="superscript"/>
        <sz val="10"/>
        <rFont val="宋体"/>
        <charset val="134"/>
        <scheme val="minor"/>
      </rPr>
      <t>'</t>
    </r>
    <r>
      <rPr>
        <vertAlign val="subscript"/>
        <sz val="10"/>
        <rFont val="宋体"/>
        <charset val="134"/>
        <scheme val="minor"/>
      </rPr>
      <t>p</t>
    </r>
    <r>
      <rPr>
        <sz val="10"/>
        <rFont val="宋体"/>
        <charset val="134"/>
        <scheme val="minor"/>
      </rPr>
      <t>)=</t>
    </r>
  </si>
  <si>
    <r>
      <rPr>
        <sz val="10"/>
        <color theme="1"/>
        <rFont val="宋体"/>
        <charset val="134"/>
        <scheme val="minor"/>
      </rPr>
      <t>mm</t>
    </r>
    <r>
      <rPr>
        <vertAlign val="superscript"/>
        <sz val="10"/>
        <color theme="1"/>
        <rFont val="宋体"/>
        <charset val="134"/>
        <scheme val="minor"/>
      </rPr>
      <t>2</t>
    </r>
  </si>
  <si>
    <r>
      <rPr>
        <sz val="10"/>
        <rFont val="宋体"/>
        <charset val="134"/>
        <scheme val="minor"/>
      </rPr>
      <t>换算截面重心至受压边缘的距离y</t>
    </r>
    <r>
      <rPr>
        <vertAlign val="subscript"/>
        <sz val="10"/>
        <rFont val="宋体"/>
        <charset val="134"/>
        <scheme val="minor"/>
      </rPr>
      <t>01</t>
    </r>
    <r>
      <rPr>
        <sz val="10"/>
        <rFont val="宋体"/>
        <charset val="134"/>
        <scheme val="minor"/>
      </rPr>
      <t>：</t>
    </r>
  </si>
  <si>
    <r>
      <rPr>
        <sz val="10"/>
        <rFont val="宋体"/>
        <charset val="134"/>
        <scheme val="minor"/>
      </rPr>
      <t>y</t>
    </r>
    <r>
      <rPr>
        <vertAlign val="subscript"/>
        <sz val="10"/>
        <rFont val="宋体"/>
        <charset val="134"/>
        <scheme val="minor"/>
      </rPr>
      <t>01</t>
    </r>
    <r>
      <rPr>
        <sz val="10"/>
        <rFont val="宋体"/>
        <charset val="134"/>
        <scheme val="minor"/>
      </rPr>
      <t>=</t>
    </r>
  </si>
  <si>
    <r>
      <rPr>
        <sz val="10"/>
        <rFont val="宋体"/>
        <charset val="134"/>
        <scheme val="minor"/>
      </rPr>
      <t>换算截面重心至受拉边缘的距离y</t>
    </r>
    <r>
      <rPr>
        <vertAlign val="subscript"/>
        <sz val="10"/>
        <rFont val="宋体"/>
        <charset val="134"/>
        <scheme val="minor"/>
      </rPr>
      <t>02</t>
    </r>
    <r>
      <rPr>
        <sz val="10"/>
        <rFont val="宋体"/>
        <charset val="134"/>
        <scheme val="minor"/>
      </rPr>
      <t>=h-y</t>
    </r>
    <r>
      <rPr>
        <vertAlign val="subscript"/>
        <sz val="10"/>
        <rFont val="宋体"/>
        <charset val="134"/>
        <scheme val="minor"/>
      </rPr>
      <t>01</t>
    </r>
    <r>
      <rPr>
        <sz val="10"/>
        <rFont val="宋体"/>
        <charset val="134"/>
        <scheme val="minor"/>
      </rPr>
      <t>=</t>
    </r>
  </si>
  <si>
    <r>
      <rPr>
        <sz val="10"/>
        <rFont val="宋体"/>
        <charset val="134"/>
        <scheme val="minor"/>
      </rPr>
      <t>换算截面的惯性矩I</t>
    </r>
    <r>
      <rPr>
        <vertAlign val="subscript"/>
        <sz val="10"/>
        <rFont val="宋体"/>
        <charset val="134"/>
        <scheme val="minor"/>
      </rPr>
      <t>0</t>
    </r>
    <r>
      <rPr>
        <sz val="10"/>
        <rFont val="宋体"/>
        <charset val="134"/>
        <scheme val="minor"/>
      </rPr>
      <t>:</t>
    </r>
  </si>
  <si>
    <r>
      <rPr>
        <sz val="10"/>
        <rFont val="宋体"/>
        <charset val="134"/>
        <scheme val="minor"/>
      </rPr>
      <t>I</t>
    </r>
    <r>
      <rPr>
        <vertAlign val="subscript"/>
        <sz val="10"/>
        <rFont val="宋体"/>
        <charset val="134"/>
        <scheme val="minor"/>
      </rPr>
      <t>0</t>
    </r>
    <r>
      <rPr>
        <sz val="10"/>
        <rFont val="宋体"/>
        <charset val="134"/>
        <scheme val="minor"/>
      </rPr>
      <t>=</t>
    </r>
  </si>
  <si>
    <r>
      <rPr>
        <sz val="10"/>
        <rFont val="宋体"/>
        <charset val="134"/>
        <scheme val="minor"/>
      </rPr>
      <t>换算截面受拉边缘的弹性抵抗矩W</t>
    </r>
    <r>
      <rPr>
        <vertAlign val="subscript"/>
        <sz val="10"/>
        <rFont val="宋体"/>
        <charset val="134"/>
        <scheme val="minor"/>
      </rPr>
      <t>0</t>
    </r>
    <r>
      <rPr>
        <sz val="10"/>
        <rFont val="宋体"/>
        <charset val="134"/>
        <scheme val="minor"/>
      </rPr>
      <t>=I</t>
    </r>
    <r>
      <rPr>
        <vertAlign val="subscript"/>
        <sz val="10"/>
        <rFont val="宋体"/>
        <charset val="134"/>
        <scheme val="minor"/>
      </rPr>
      <t>0</t>
    </r>
    <r>
      <rPr>
        <sz val="10"/>
        <rFont val="宋体"/>
        <charset val="134"/>
        <scheme val="minor"/>
      </rPr>
      <t>/y</t>
    </r>
    <r>
      <rPr>
        <vertAlign val="subscript"/>
        <sz val="10"/>
        <rFont val="宋体"/>
        <charset val="134"/>
        <scheme val="minor"/>
      </rPr>
      <t>o2</t>
    </r>
    <r>
      <rPr>
        <sz val="10"/>
        <rFont val="宋体"/>
        <charset val="134"/>
        <scheme val="minor"/>
      </rPr>
      <t>=</t>
    </r>
  </si>
  <si>
    <r>
      <rPr>
        <sz val="10"/>
        <color theme="1"/>
        <rFont val="宋体"/>
        <charset val="134"/>
        <scheme val="minor"/>
      </rPr>
      <t>mm</t>
    </r>
    <r>
      <rPr>
        <vertAlign val="superscript"/>
        <sz val="10"/>
        <color theme="1"/>
        <rFont val="宋体"/>
        <charset val="134"/>
        <scheme val="minor"/>
      </rPr>
      <t>3</t>
    </r>
  </si>
  <si>
    <r>
      <rPr>
        <sz val="10"/>
        <rFont val="宋体"/>
        <charset val="134"/>
        <scheme val="minor"/>
      </rPr>
      <t>换算截面槽壳内壁处弹性抵抗矩W</t>
    </r>
    <r>
      <rPr>
        <vertAlign val="subscript"/>
        <sz val="10"/>
        <rFont val="宋体"/>
        <charset val="134"/>
        <scheme val="minor"/>
      </rPr>
      <t>0</t>
    </r>
    <r>
      <rPr>
        <sz val="10"/>
        <rFont val="宋体"/>
        <charset val="134"/>
        <scheme val="minor"/>
      </rPr>
      <t>=I</t>
    </r>
    <r>
      <rPr>
        <vertAlign val="subscript"/>
        <sz val="10"/>
        <rFont val="宋体"/>
        <charset val="134"/>
        <scheme val="minor"/>
      </rPr>
      <t>0</t>
    </r>
    <r>
      <rPr>
        <sz val="10"/>
        <rFont val="宋体"/>
        <charset val="134"/>
        <scheme val="minor"/>
      </rPr>
      <t>/y</t>
    </r>
    <r>
      <rPr>
        <vertAlign val="subscript"/>
        <sz val="10"/>
        <rFont val="宋体"/>
        <charset val="134"/>
        <scheme val="minor"/>
      </rPr>
      <t>o2'</t>
    </r>
    <r>
      <rPr>
        <sz val="10"/>
        <rFont val="宋体"/>
        <charset val="134"/>
        <scheme val="minor"/>
      </rPr>
      <t>=</t>
    </r>
  </si>
  <si>
    <r>
      <rPr>
        <sz val="10"/>
        <rFont val="宋体"/>
        <charset val="134"/>
        <scheme val="minor"/>
      </rPr>
      <t>换算截面受压边缘的弹性抵抗矩W</t>
    </r>
    <r>
      <rPr>
        <vertAlign val="subscript"/>
        <sz val="10"/>
        <rFont val="宋体"/>
        <charset val="134"/>
        <scheme val="minor"/>
      </rPr>
      <t>01</t>
    </r>
    <r>
      <rPr>
        <sz val="10"/>
        <rFont val="宋体"/>
        <charset val="134"/>
        <scheme val="minor"/>
      </rPr>
      <t>=I</t>
    </r>
    <r>
      <rPr>
        <vertAlign val="subscript"/>
        <sz val="10"/>
        <rFont val="宋体"/>
        <charset val="134"/>
        <scheme val="minor"/>
      </rPr>
      <t>0</t>
    </r>
    <r>
      <rPr>
        <sz val="10"/>
        <rFont val="宋体"/>
        <charset val="134"/>
        <scheme val="minor"/>
      </rPr>
      <t>/y</t>
    </r>
    <r>
      <rPr>
        <vertAlign val="subscript"/>
        <sz val="10"/>
        <rFont val="宋体"/>
        <charset val="134"/>
        <scheme val="minor"/>
      </rPr>
      <t>o1</t>
    </r>
    <r>
      <rPr>
        <sz val="10"/>
        <rFont val="宋体"/>
        <charset val="134"/>
        <scheme val="minor"/>
      </rPr>
      <t>=</t>
    </r>
  </si>
  <si>
    <r>
      <rPr>
        <sz val="11"/>
        <color theme="1"/>
        <rFont val="宋体"/>
        <charset val="134"/>
        <scheme val="minor"/>
      </rPr>
      <t>表6</t>
    </r>
    <r>
      <rPr>
        <sz val="11"/>
        <color theme="1"/>
        <rFont val="宋体"/>
        <charset val="134"/>
        <scheme val="minor"/>
      </rPr>
      <t xml:space="preserve">  </t>
    </r>
    <r>
      <rPr>
        <sz val="11"/>
        <color theme="1"/>
        <rFont val="宋体"/>
        <charset val="134"/>
        <scheme val="minor"/>
      </rPr>
      <t>预应力钢筋的张拉控制应力及应力损失值计算</t>
    </r>
  </si>
  <si>
    <r>
      <rPr>
        <sz val="10"/>
        <rFont val="宋体"/>
        <charset val="134"/>
      </rPr>
      <t>张拉控制应力值</t>
    </r>
    <r>
      <rPr>
        <sz val="10"/>
        <rFont val="Times New Roman"/>
        <family val="1"/>
      </rPr>
      <t>σ</t>
    </r>
    <r>
      <rPr>
        <vertAlign val="subscript"/>
        <sz val="10"/>
        <rFont val="Times New Roman"/>
        <family val="1"/>
      </rPr>
      <t>con</t>
    </r>
    <r>
      <rPr>
        <sz val="10"/>
        <rFont val="Times New Roman"/>
        <family val="1"/>
      </rPr>
      <t>=0.7f</t>
    </r>
    <r>
      <rPr>
        <vertAlign val="subscript"/>
        <sz val="10"/>
        <rFont val="Times New Roman"/>
        <family val="1"/>
      </rPr>
      <t>ptk</t>
    </r>
    <r>
      <rPr>
        <sz val="10"/>
        <rFont val="Times New Roman"/>
        <family val="1"/>
      </rPr>
      <t>=</t>
    </r>
  </si>
  <si>
    <t xml:space="preserve"> 《水工混凝土结构设计规范》（SL 191-2008）8.1条规定：后张法预应力钢筋的张拉控制应力值σcon不应小于0.4fptk,且不宜超过0.75fptk</t>
  </si>
  <si>
    <r>
      <rPr>
        <sz val="10"/>
        <color rgb="FFFF0000"/>
        <rFont val="宋体"/>
        <charset val="134"/>
      </rPr>
      <t xml:space="preserve">后张法预应力钢筋张拉应力损失的原因有：
</t>
    </r>
    <r>
      <rPr>
        <sz val="10"/>
        <color rgb="FFFF0000"/>
        <rFont val="Times New Roman"/>
        <family val="1"/>
      </rPr>
      <t xml:space="preserve">                                            </t>
    </r>
    <r>
      <rPr>
        <sz val="10"/>
        <color rgb="FFFF0000"/>
        <rFont val="宋体"/>
        <charset val="134"/>
      </rPr>
      <t>张拉端锚具变形和钢筋内缩</t>
    </r>
    <r>
      <rPr>
        <sz val="10"/>
        <color rgb="FFFF0000"/>
        <rFont val="Times New Roman"/>
        <family val="1"/>
      </rPr>
      <t xml:space="preserve">σl1  
                                            </t>
    </r>
    <r>
      <rPr>
        <sz val="10"/>
        <color rgb="FFFF0000"/>
        <rFont val="宋体"/>
        <charset val="134"/>
      </rPr>
      <t>预应力钢筋的摩擦</t>
    </r>
    <r>
      <rPr>
        <sz val="10"/>
        <color rgb="FFFF0000"/>
        <rFont val="Times New Roman"/>
        <family val="1"/>
      </rPr>
      <t xml:space="preserve">σl2  
                                            </t>
    </r>
    <r>
      <rPr>
        <sz val="10"/>
        <color rgb="FFFF0000"/>
        <rFont val="宋体"/>
        <charset val="134"/>
      </rPr>
      <t>预应力钢筋的应力松驰</t>
    </r>
    <r>
      <rPr>
        <sz val="10"/>
        <color rgb="FFFF0000"/>
        <rFont val="Times New Roman"/>
        <family val="1"/>
      </rPr>
      <t xml:space="preserve">σl4  
                                            </t>
    </r>
    <r>
      <rPr>
        <sz val="10"/>
        <color rgb="FFFF0000"/>
        <rFont val="宋体"/>
        <charset val="134"/>
      </rPr>
      <t>砼收缩和徐变</t>
    </r>
    <r>
      <rPr>
        <sz val="10"/>
        <color rgb="FFFF0000"/>
        <rFont val="Times New Roman"/>
        <family val="1"/>
      </rPr>
      <t xml:space="preserve">σl5  
</t>
    </r>
  </si>
  <si>
    <r>
      <rPr>
        <sz val="10"/>
        <rFont val="宋体"/>
        <charset val="134"/>
      </rPr>
      <t>锚具变形和钢筋内缩值</t>
    </r>
    <r>
      <rPr>
        <sz val="10"/>
        <rFont val="Times New Roman"/>
        <family val="1"/>
      </rPr>
      <t>a=</t>
    </r>
  </si>
  <si>
    <r>
      <rPr>
        <sz val="10"/>
        <rFont val="宋体"/>
        <charset val="134"/>
      </rPr>
      <t>张拉端和锚固端之间的距离</t>
    </r>
    <r>
      <rPr>
        <sz val="10"/>
        <rFont val="Times New Roman"/>
        <family val="1"/>
      </rPr>
      <t>l=</t>
    </r>
  </si>
  <si>
    <r>
      <rPr>
        <sz val="10"/>
        <rFont val="宋体"/>
        <charset val="134"/>
      </rPr>
      <t>锚具变形损失</t>
    </r>
    <r>
      <rPr>
        <sz val="10"/>
        <rFont val="Times New Roman"/>
        <family val="1"/>
      </rPr>
      <t>σ</t>
    </r>
    <r>
      <rPr>
        <vertAlign val="subscript"/>
        <sz val="10"/>
        <rFont val="Times New Roman"/>
        <family val="1"/>
      </rPr>
      <t>l1</t>
    </r>
    <r>
      <rPr>
        <sz val="10"/>
        <rFont val="Times New Roman"/>
        <family val="1"/>
      </rPr>
      <t>=</t>
    </r>
  </si>
  <si>
    <r>
      <rPr>
        <sz val="10"/>
        <color theme="1"/>
        <rFont val="宋体"/>
        <charset val="134"/>
      </rPr>
      <t>预应力钢筋与孔道壁之间的摩檫系数</t>
    </r>
    <r>
      <rPr>
        <sz val="10"/>
        <color theme="1"/>
        <rFont val="Times New Roman"/>
        <family val="1"/>
      </rPr>
      <t>μ=</t>
    </r>
  </si>
  <si>
    <r>
      <rPr>
        <sz val="10"/>
        <color theme="1"/>
        <rFont val="宋体"/>
        <charset val="134"/>
      </rPr>
      <t>从张拉端至计算截面曲线孔道切线夹角</t>
    </r>
    <r>
      <rPr>
        <sz val="10"/>
        <color theme="1"/>
        <rFont val="Times New Roman"/>
        <family val="1"/>
      </rPr>
      <t>θ=</t>
    </r>
  </si>
  <si>
    <r>
      <rPr>
        <sz val="10"/>
        <color theme="1"/>
        <rFont val="宋体"/>
        <charset val="134"/>
      </rPr>
      <t>孔道每米长度局部偏差摩擦系数</t>
    </r>
    <r>
      <rPr>
        <sz val="10"/>
        <color theme="1"/>
        <rFont val="Times New Roman"/>
        <family val="1"/>
      </rPr>
      <t>κ=</t>
    </r>
  </si>
  <si>
    <r>
      <rPr>
        <sz val="10"/>
        <color theme="1"/>
        <rFont val="宋体"/>
        <charset val="134"/>
      </rPr>
      <t>张拉端到计算截面（跨中）的孔道长度</t>
    </r>
    <r>
      <rPr>
        <sz val="10"/>
        <color theme="1"/>
        <rFont val="Times New Roman"/>
        <family val="1"/>
      </rPr>
      <t>x=</t>
    </r>
  </si>
  <si>
    <r>
      <rPr>
        <sz val="10"/>
        <color theme="1"/>
        <rFont val="宋体"/>
        <charset val="134"/>
      </rPr>
      <t>预应力筋与孔道壁摩擦引起的损失</t>
    </r>
    <r>
      <rPr>
        <sz val="10"/>
        <color theme="1"/>
        <rFont val="Times New Roman"/>
        <family val="1"/>
      </rPr>
      <t>σ</t>
    </r>
    <r>
      <rPr>
        <vertAlign val="subscript"/>
        <sz val="10"/>
        <color theme="1"/>
        <rFont val="Times New Roman"/>
        <family val="1"/>
      </rPr>
      <t>l2</t>
    </r>
    <r>
      <rPr>
        <sz val="10"/>
        <color theme="1"/>
        <rFont val="Times New Roman"/>
        <family val="1"/>
      </rPr>
      <t>=</t>
    </r>
  </si>
  <si>
    <r>
      <rPr>
        <sz val="10"/>
        <color theme="1"/>
        <rFont val="宋体"/>
        <charset val="134"/>
      </rPr>
      <t>钢筋的线膨胀系数</t>
    </r>
    <r>
      <rPr>
        <sz val="10"/>
        <color theme="1"/>
        <rFont val="Times New Roman"/>
        <family val="1"/>
      </rPr>
      <t>α=</t>
    </r>
  </si>
  <si>
    <r>
      <rPr>
        <sz val="10"/>
        <color theme="1"/>
        <rFont val="Times New Roman"/>
        <family val="1"/>
      </rPr>
      <t>/</t>
    </r>
    <r>
      <rPr>
        <sz val="10"/>
        <color theme="1"/>
        <rFont val="宋体"/>
        <charset val="134"/>
      </rPr>
      <t>℃</t>
    </r>
  </si>
  <si>
    <r>
      <rPr>
        <sz val="10"/>
        <color theme="1"/>
        <rFont val="宋体"/>
        <charset val="134"/>
      </rPr>
      <t>预应力钢筋雨台座间的温差△</t>
    </r>
    <r>
      <rPr>
        <sz val="10"/>
        <color theme="1"/>
        <rFont val="Times New Roman"/>
        <family val="1"/>
      </rPr>
      <t>t=</t>
    </r>
  </si>
  <si>
    <r>
      <rPr>
        <sz val="10"/>
        <color theme="1"/>
        <rFont val="宋体"/>
        <charset val="134"/>
      </rPr>
      <t>℃</t>
    </r>
  </si>
  <si>
    <r>
      <rPr>
        <sz val="10"/>
        <color theme="1"/>
        <rFont val="宋体"/>
        <charset val="134"/>
      </rPr>
      <t>预应力筋与台座温差引起的损失</t>
    </r>
    <r>
      <rPr>
        <sz val="10"/>
        <color theme="1"/>
        <rFont val="Times New Roman"/>
        <family val="1"/>
      </rPr>
      <t>σ</t>
    </r>
    <r>
      <rPr>
        <vertAlign val="subscript"/>
        <sz val="10"/>
        <color theme="1"/>
        <rFont val="Times New Roman"/>
        <family val="1"/>
      </rPr>
      <t>l3</t>
    </r>
    <r>
      <rPr>
        <sz val="10"/>
        <color theme="1"/>
        <rFont val="Times New Roman"/>
        <family val="1"/>
      </rPr>
      <t>=</t>
    </r>
  </si>
  <si>
    <r>
      <rPr>
        <sz val="10"/>
        <color theme="1"/>
        <rFont val="宋体"/>
        <charset val="134"/>
      </rPr>
      <t>一次张拉、普通松弛，</t>
    </r>
    <r>
      <rPr>
        <sz val="10"/>
        <color theme="1"/>
        <rFont val="Times New Roman"/>
        <family val="1"/>
      </rPr>
      <t>ψ=0.4</t>
    </r>
    <r>
      <rPr>
        <sz val="10"/>
        <color theme="1"/>
        <rFont val="宋体"/>
        <charset val="134"/>
      </rPr>
      <t>；</t>
    </r>
  </si>
  <si>
    <r>
      <rPr>
        <sz val="10"/>
        <color theme="1"/>
        <rFont val="宋体"/>
        <charset val="134"/>
      </rPr>
      <t>一次张拉低松弛，</t>
    </r>
    <r>
      <rPr>
        <sz val="10"/>
        <color theme="1"/>
        <rFont val="Times New Roman"/>
        <family val="1"/>
      </rPr>
      <t>ψ=0.125</t>
    </r>
  </si>
  <si>
    <r>
      <rPr>
        <sz val="10"/>
        <rFont val="宋体"/>
        <charset val="134"/>
      </rPr>
      <t>一次张拉普通松弛，预应力钢筋应力松弛损失</t>
    </r>
    <r>
      <rPr>
        <sz val="10"/>
        <rFont val="Times New Roman"/>
        <family val="1"/>
      </rPr>
      <t>σ</t>
    </r>
    <r>
      <rPr>
        <vertAlign val="subscript"/>
        <sz val="10"/>
        <rFont val="Times New Roman"/>
        <family val="1"/>
      </rPr>
      <t>l4</t>
    </r>
    <r>
      <rPr>
        <sz val="10"/>
        <rFont val="Times New Roman"/>
        <family val="1"/>
      </rPr>
      <t>=</t>
    </r>
  </si>
  <si>
    <r>
      <rPr>
        <sz val="10"/>
        <rFont val="宋体"/>
        <charset val="134"/>
      </rPr>
      <t>混凝土收缩和徐变引起的预应力损失值</t>
    </r>
    <r>
      <rPr>
        <sz val="10"/>
        <rFont val="Times New Roman"/>
        <family val="1"/>
      </rPr>
      <t>σ</t>
    </r>
    <r>
      <rPr>
        <vertAlign val="subscript"/>
        <sz val="10"/>
        <rFont val="Times New Roman"/>
        <family val="1"/>
      </rPr>
      <t>L5</t>
    </r>
    <r>
      <rPr>
        <sz val="10"/>
        <rFont val="宋体"/>
        <charset val="134"/>
      </rPr>
      <t>：</t>
    </r>
  </si>
  <si>
    <r>
      <rPr>
        <sz val="10"/>
        <rFont val="宋体"/>
        <charset val="134"/>
      </rPr>
      <t>初拟</t>
    </r>
    <r>
      <rPr>
        <sz val="10"/>
        <rFont val="Times New Roman"/>
        <family val="1"/>
      </rPr>
      <t>σ</t>
    </r>
    <r>
      <rPr>
        <vertAlign val="superscript"/>
        <sz val="10"/>
        <rFont val="Times New Roman"/>
        <family val="1"/>
      </rPr>
      <t>'</t>
    </r>
    <r>
      <rPr>
        <vertAlign val="subscript"/>
        <sz val="10"/>
        <rFont val="Times New Roman"/>
        <family val="1"/>
      </rPr>
      <t>L5</t>
    </r>
    <r>
      <rPr>
        <sz val="10"/>
        <rFont val="Times New Roman"/>
        <family val="1"/>
      </rPr>
      <t>=σ</t>
    </r>
    <r>
      <rPr>
        <vertAlign val="subscript"/>
        <sz val="10"/>
        <rFont val="Times New Roman"/>
        <family val="1"/>
      </rPr>
      <t>L5</t>
    </r>
    <r>
      <rPr>
        <sz val="10"/>
        <rFont val="Times New Roman"/>
        <family val="1"/>
      </rPr>
      <t>=</t>
    </r>
  </si>
  <si>
    <t>仅计入第一批损失，后张法为σl1+σl2</t>
  </si>
  <si>
    <r>
      <rPr>
        <sz val="10"/>
        <rFont val="宋体"/>
        <charset val="134"/>
      </rPr>
      <t>预应力钢筋的有效应力</t>
    </r>
    <r>
      <rPr>
        <sz val="10"/>
        <rFont val="Times New Roman"/>
        <family val="1"/>
      </rPr>
      <t>σ</t>
    </r>
    <r>
      <rPr>
        <vertAlign val="subscript"/>
        <sz val="10"/>
        <rFont val="Times New Roman"/>
        <family val="1"/>
      </rPr>
      <t>pe</t>
    </r>
    <r>
      <rPr>
        <sz val="10"/>
        <rFont val="Times New Roman"/>
        <family val="1"/>
      </rPr>
      <t>=σ</t>
    </r>
    <r>
      <rPr>
        <vertAlign val="subscript"/>
        <sz val="10"/>
        <rFont val="Times New Roman"/>
        <family val="1"/>
      </rPr>
      <t>con</t>
    </r>
    <r>
      <rPr>
        <sz val="10"/>
        <rFont val="Times New Roman"/>
        <family val="1"/>
      </rPr>
      <t>-σ</t>
    </r>
    <r>
      <rPr>
        <vertAlign val="subscript"/>
        <sz val="10"/>
        <rFont val="Times New Roman"/>
        <family val="1"/>
      </rPr>
      <t>l1</t>
    </r>
    <r>
      <rPr>
        <sz val="10"/>
        <rFont val="Times New Roman"/>
        <family val="1"/>
      </rPr>
      <t>-σ</t>
    </r>
    <r>
      <rPr>
        <vertAlign val="subscript"/>
        <sz val="10"/>
        <rFont val="Times New Roman"/>
        <family val="1"/>
      </rPr>
      <t>l2</t>
    </r>
    <r>
      <rPr>
        <sz val="10"/>
        <rFont val="Times New Roman"/>
        <family val="1"/>
      </rPr>
      <t>=</t>
    </r>
  </si>
  <si>
    <r>
      <rPr>
        <sz val="10"/>
        <color theme="1"/>
        <rFont val="宋体"/>
        <charset val="134"/>
      </rPr>
      <t>预应力钢筋及非预应力钢筋的合力</t>
    </r>
    <r>
      <rPr>
        <sz val="10"/>
        <color theme="1"/>
        <rFont val="Times New Roman"/>
        <family val="1"/>
      </rPr>
      <t>N</t>
    </r>
    <r>
      <rPr>
        <vertAlign val="subscript"/>
        <sz val="10"/>
        <color theme="1"/>
        <rFont val="Times New Roman"/>
        <family val="1"/>
      </rPr>
      <t>P</t>
    </r>
    <r>
      <rPr>
        <sz val="10"/>
        <color theme="1"/>
        <rFont val="Times New Roman"/>
        <family val="1"/>
      </rPr>
      <t>=</t>
    </r>
  </si>
  <si>
    <r>
      <rPr>
        <sz val="10"/>
        <color theme="1"/>
        <rFont val="宋体"/>
        <charset val="134"/>
      </rPr>
      <t>预应力钢筋及非预应力钢筋的合力点的偏心矩</t>
    </r>
    <r>
      <rPr>
        <sz val="10"/>
        <color theme="1"/>
        <rFont val="Times New Roman"/>
        <family val="1"/>
      </rPr>
      <t>e</t>
    </r>
    <r>
      <rPr>
        <vertAlign val="subscript"/>
        <sz val="10"/>
        <color theme="1"/>
        <rFont val="Times New Roman"/>
        <family val="1"/>
      </rPr>
      <t>pn</t>
    </r>
    <r>
      <rPr>
        <sz val="10"/>
        <color theme="1"/>
        <rFont val="Times New Roman"/>
        <family val="1"/>
      </rPr>
      <t>=</t>
    </r>
  </si>
  <si>
    <r>
      <rPr>
        <sz val="10"/>
        <rFont val="Times New Roman"/>
        <family val="1"/>
      </rPr>
      <t>y</t>
    </r>
    <r>
      <rPr>
        <vertAlign val="subscript"/>
        <sz val="10"/>
        <rFont val="Times New Roman"/>
        <family val="1"/>
      </rPr>
      <t>n</t>
    </r>
    <r>
      <rPr>
        <sz val="10"/>
        <rFont val="Times New Roman"/>
        <family val="1"/>
      </rPr>
      <t>=y</t>
    </r>
    <r>
      <rPr>
        <vertAlign val="subscript"/>
        <sz val="10"/>
        <rFont val="Times New Roman"/>
        <family val="1"/>
      </rPr>
      <t>pn</t>
    </r>
    <r>
      <rPr>
        <sz val="10"/>
        <rFont val="Times New Roman"/>
        <family val="1"/>
      </rPr>
      <t>=</t>
    </r>
  </si>
  <si>
    <r>
      <rPr>
        <sz val="10"/>
        <color theme="1"/>
        <rFont val="宋体"/>
        <charset val="134"/>
      </rPr>
      <t>预加力在受拉区产生的混凝土法向压应力</t>
    </r>
    <r>
      <rPr>
        <sz val="10"/>
        <color theme="1"/>
        <rFont val="Times New Roman"/>
        <family val="1"/>
      </rPr>
      <t>σ</t>
    </r>
    <r>
      <rPr>
        <vertAlign val="subscript"/>
        <sz val="10"/>
        <color theme="1"/>
        <rFont val="Times New Roman"/>
        <family val="1"/>
      </rPr>
      <t>pc</t>
    </r>
    <r>
      <rPr>
        <sz val="10"/>
        <color theme="1"/>
        <rFont val="Times New Roman"/>
        <family val="1"/>
      </rPr>
      <t>=</t>
    </r>
  </si>
  <si>
    <r>
      <rPr>
        <sz val="10"/>
        <rFont val="Times New Roman"/>
        <family val="1"/>
      </rPr>
      <t>y'</t>
    </r>
    <r>
      <rPr>
        <vertAlign val="subscript"/>
        <sz val="10"/>
        <rFont val="Times New Roman"/>
        <family val="1"/>
      </rPr>
      <t>n</t>
    </r>
    <r>
      <rPr>
        <sz val="10"/>
        <rFont val="Times New Roman"/>
        <family val="1"/>
      </rPr>
      <t>=y</t>
    </r>
    <r>
      <rPr>
        <vertAlign val="subscript"/>
        <sz val="10"/>
        <rFont val="Times New Roman"/>
        <family val="1"/>
      </rPr>
      <t>'pn</t>
    </r>
    <r>
      <rPr>
        <sz val="10"/>
        <rFont val="Times New Roman"/>
        <family val="1"/>
      </rPr>
      <t>=</t>
    </r>
  </si>
  <si>
    <r>
      <rPr>
        <sz val="10"/>
        <color theme="1"/>
        <rFont val="Times New Roman"/>
        <family val="1"/>
      </rPr>
      <t>σ'</t>
    </r>
    <r>
      <rPr>
        <vertAlign val="subscript"/>
        <sz val="10"/>
        <color theme="1"/>
        <rFont val="Times New Roman"/>
        <family val="1"/>
      </rPr>
      <t>pcs</t>
    </r>
    <r>
      <rPr>
        <sz val="10"/>
        <color theme="1"/>
        <rFont val="Times New Roman"/>
        <family val="1"/>
      </rPr>
      <t>=</t>
    </r>
  </si>
  <si>
    <r>
      <rPr>
        <sz val="10"/>
        <color theme="1"/>
        <rFont val="宋体"/>
        <charset val="134"/>
      </rPr>
      <t>受压区预应力钢筋合力处的混凝土法向压应力</t>
    </r>
    <r>
      <rPr>
        <sz val="10"/>
        <color theme="1"/>
        <rFont val="Times New Roman"/>
        <family val="1"/>
      </rPr>
      <t>σ'</t>
    </r>
    <r>
      <rPr>
        <vertAlign val="subscript"/>
        <sz val="10"/>
        <color theme="1"/>
        <rFont val="Times New Roman"/>
        <family val="1"/>
      </rPr>
      <t>pc</t>
    </r>
    <r>
      <rPr>
        <sz val="10"/>
        <color theme="1"/>
        <rFont val="Times New Roman"/>
        <family val="1"/>
      </rPr>
      <t>=</t>
    </r>
  </si>
  <si>
    <r>
      <rPr>
        <sz val="10"/>
        <rFont val="宋体"/>
        <charset val="134"/>
      </rPr>
      <t>受拉区预应力筋和非预应力筋的配筋率</t>
    </r>
    <r>
      <rPr>
        <sz val="10"/>
        <rFont val="Times New Roman"/>
        <family val="1"/>
      </rPr>
      <t>ρ=</t>
    </r>
  </si>
  <si>
    <t>&gt;0.20%</t>
  </si>
  <si>
    <r>
      <rPr>
        <sz val="10"/>
        <rFont val="宋体"/>
        <charset val="134"/>
      </rPr>
      <t>受压区预应力筋和非预应力筋的配筋率</t>
    </r>
    <r>
      <rPr>
        <sz val="10"/>
        <rFont val="Times New Roman"/>
        <family val="1"/>
      </rPr>
      <t>ρ’=</t>
    </r>
  </si>
  <si>
    <r>
      <rPr>
        <b/>
        <sz val="10"/>
        <color rgb="FF0000FF"/>
        <rFont val="Times New Roman"/>
        <family val="1"/>
      </rPr>
      <t>σ</t>
    </r>
    <r>
      <rPr>
        <b/>
        <vertAlign val="subscript"/>
        <sz val="10"/>
        <color rgb="FF0000FF"/>
        <rFont val="Times New Roman"/>
        <family val="1"/>
      </rPr>
      <t>l5</t>
    </r>
    <r>
      <rPr>
        <b/>
        <sz val="10"/>
        <color rgb="FF0000FF"/>
        <rFont val="Times New Roman"/>
        <family val="1"/>
      </rPr>
      <t>=1.3σ</t>
    </r>
    <r>
      <rPr>
        <b/>
        <vertAlign val="subscript"/>
        <sz val="10"/>
        <color rgb="FF0000FF"/>
        <rFont val="Times New Roman"/>
        <family val="1"/>
      </rPr>
      <t>l5</t>
    </r>
    <r>
      <rPr>
        <b/>
        <sz val="10"/>
        <color rgb="FF0000FF"/>
        <rFont val="Times New Roman"/>
        <family val="1"/>
      </rPr>
      <t>=</t>
    </r>
  </si>
  <si>
    <r>
      <rPr>
        <sz val="10"/>
        <rFont val="Times New Roman"/>
        <family val="1"/>
      </rPr>
      <t>σ'</t>
    </r>
    <r>
      <rPr>
        <vertAlign val="subscript"/>
        <sz val="10"/>
        <rFont val="Times New Roman"/>
        <family val="1"/>
      </rPr>
      <t>l5</t>
    </r>
    <r>
      <rPr>
        <sz val="10"/>
        <rFont val="Times New Roman"/>
        <family val="1"/>
      </rPr>
      <t>=1.3σ'</t>
    </r>
    <r>
      <rPr>
        <vertAlign val="subscript"/>
        <sz val="10"/>
        <rFont val="Times New Roman"/>
        <family val="1"/>
      </rPr>
      <t>l5</t>
    </r>
    <r>
      <rPr>
        <sz val="10"/>
        <rFont val="Times New Roman"/>
        <family val="1"/>
      </rPr>
      <t>=</t>
    </r>
  </si>
  <si>
    <r>
      <rPr>
        <sz val="10"/>
        <color theme="1"/>
        <rFont val="宋体"/>
        <charset val="134"/>
      </rPr>
      <t>受拉区预应力损失：</t>
    </r>
    <r>
      <rPr>
        <sz val="10"/>
        <color theme="1"/>
        <rFont val="Times New Roman"/>
        <family val="1"/>
      </rPr>
      <t xml:space="preserve"> σl=</t>
    </r>
  </si>
  <si>
    <r>
      <rPr>
        <sz val="10"/>
        <rFont val="黑体"/>
        <charset val="134"/>
      </rPr>
      <t>根据计算出的</t>
    </r>
    <r>
      <rPr>
        <sz val="10"/>
        <rFont val="Times New Roman"/>
        <family val="1"/>
      </rPr>
      <t>σ</t>
    </r>
    <r>
      <rPr>
        <vertAlign val="subscript"/>
        <sz val="10"/>
        <rFont val="Times New Roman"/>
        <family val="1"/>
      </rPr>
      <t>l5</t>
    </r>
    <r>
      <rPr>
        <sz val="10"/>
        <rFont val="黑体"/>
        <charset val="134"/>
      </rPr>
      <t>重新计算</t>
    </r>
    <r>
      <rPr>
        <sz val="10"/>
        <rFont val="Times New Roman"/>
        <family val="1"/>
      </rPr>
      <t>σ</t>
    </r>
    <r>
      <rPr>
        <vertAlign val="subscript"/>
        <sz val="10"/>
        <rFont val="Times New Roman"/>
        <family val="1"/>
      </rPr>
      <t>pe</t>
    </r>
    <r>
      <rPr>
        <sz val="10"/>
        <rFont val="黑体"/>
        <charset val="134"/>
      </rPr>
      <t>、</t>
    </r>
    <r>
      <rPr>
        <sz val="10"/>
        <rFont val="Times New Roman"/>
        <family val="1"/>
      </rPr>
      <t>σ</t>
    </r>
    <r>
      <rPr>
        <vertAlign val="subscript"/>
        <sz val="10"/>
        <rFont val="Times New Roman"/>
        <family val="1"/>
      </rPr>
      <t>pc</t>
    </r>
    <r>
      <rPr>
        <sz val="10"/>
        <rFont val="黑体"/>
        <charset val="134"/>
      </rPr>
      <t>：</t>
    </r>
  </si>
  <si>
    <r>
      <rPr>
        <sz val="10"/>
        <rFont val="宋体"/>
        <charset val="134"/>
      </rPr>
      <t>预应力钢筋的有效应力</t>
    </r>
    <r>
      <rPr>
        <sz val="10"/>
        <rFont val="Times New Roman"/>
        <family val="1"/>
      </rPr>
      <t>σ</t>
    </r>
    <r>
      <rPr>
        <vertAlign val="superscript"/>
        <sz val="10"/>
        <rFont val="Times New Roman"/>
        <family val="1"/>
      </rPr>
      <t>'</t>
    </r>
    <r>
      <rPr>
        <vertAlign val="subscript"/>
        <sz val="10"/>
        <rFont val="Times New Roman"/>
        <family val="1"/>
      </rPr>
      <t>pe</t>
    </r>
    <r>
      <rPr>
        <sz val="10"/>
        <rFont val="Times New Roman"/>
        <family val="1"/>
      </rPr>
      <t>=σ</t>
    </r>
    <r>
      <rPr>
        <vertAlign val="subscript"/>
        <sz val="10"/>
        <rFont val="Times New Roman"/>
        <family val="1"/>
      </rPr>
      <t>pe</t>
    </r>
    <r>
      <rPr>
        <sz val="10"/>
        <rFont val="Times New Roman"/>
        <family val="1"/>
      </rPr>
      <t>=σ</t>
    </r>
    <r>
      <rPr>
        <vertAlign val="subscript"/>
        <sz val="10"/>
        <rFont val="Times New Roman"/>
        <family val="1"/>
      </rPr>
      <t>con</t>
    </r>
    <r>
      <rPr>
        <sz val="10"/>
        <rFont val="Times New Roman"/>
        <family val="1"/>
      </rPr>
      <t>-σ</t>
    </r>
    <r>
      <rPr>
        <vertAlign val="subscript"/>
        <sz val="10"/>
        <rFont val="Times New Roman"/>
        <family val="1"/>
      </rPr>
      <t>l</t>
    </r>
    <r>
      <rPr>
        <sz val="10"/>
        <rFont val="Times New Roman"/>
        <family val="1"/>
      </rPr>
      <t>=</t>
    </r>
  </si>
  <si>
    <r>
      <rPr>
        <sz val="10"/>
        <color theme="1"/>
        <rFont val="宋体"/>
        <charset val="134"/>
      </rPr>
      <t>预应力钢筋及非预应力钢筋的合力</t>
    </r>
    <r>
      <rPr>
        <sz val="10"/>
        <color theme="1"/>
        <rFont val="Times New Roman"/>
        <family val="1"/>
      </rPr>
      <t>NP:</t>
    </r>
  </si>
  <si>
    <r>
      <rPr>
        <sz val="10"/>
        <rFont val="宋体"/>
        <charset val="134"/>
      </rPr>
      <t>预应力钢筋及非预应力钢筋的合力点的偏心矩</t>
    </r>
    <r>
      <rPr>
        <sz val="10"/>
        <rFont val="Times New Roman"/>
        <family val="1"/>
      </rPr>
      <t>e</t>
    </r>
    <r>
      <rPr>
        <vertAlign val="subscript"/>
        <sz val="10"/>
        <rFont val="Times New Roman"/>
        <family val="1"/>
      </rPr>
      <t>pn</t>
    </r>
    <r>
      <rPr>
        <sz val="10"/>
        <rFont val="Times New Roman"/>
        <family val="1"/>
      </rPr>
      <t>:</t>
    </r>
  </si>
  <si>
    <r>
      <rPr>
        <sz val="10"/>
        <color theme="1"/>
        <rFont val="宋体"/>
        <charset val="134"/>
      </rPr>
      <t>受拉区边缘处的混凝土法向压应力</t>
    </r>
    <r>
      <rPr>
        <sz val="10"/>
        <color theme="1"/>
        <rFont val="Times New Roman"/>
        <family val="1"/>
      </rPr>
      <t>σpc</t>
    </r>
  </si>
  <si>
    <t>Mpa</t>
  </si>
  <si>
    <r>
      <rPr>
        <sz val="10"/>
        <color theme="1"/>
        <rFont val="宋体"/>
        <charset val="134"/>
      </rPr>
      <t>受拉区中部（槽壳内表面处）的混凝土法向压应力</t>
    </r>
    <r>
      <rPr>
        <sz val="10"/>
        <color theme="1"/>
        <rFont val="Times New Roman"/>
        <family val="1"/>
      </rPr>
      <t>σpc</t>
    </r>
  </si>
  <si>
    <r>
      <rPr>
        <sz val="10"/>
        <color theme="1"/>
        <rFont val="宋体"/>
        <charset val="134"/>
      </rPr>
      <t>受压区边缘处的混凝土法向应力</t>
    </r>
    <r>
      <rPr>
        <sz val="10"/>
        <color theme="1"/>
        <rFont val="Times New Roman"/>
        <family val="1"/>
      </rPr>
      <t>σ'pc</t>
    </r>
  </si>
  <si>
    <t>表7 正截面配筋验算</t>
  </si>
  <si>
    <r>
      <rPr>
        <sz val="11"/>
        <rFont val="宋体"/>
        <charset val="134"/>
      </rPr>
      <t>根据《水工混凝土结构设计规范》（SL 191-2008）8.3.2条，相对受压区计算高度ζ</t>
    </r>
    <r>
      <rPr>
        <vertAlign val="subscript"/>
        <sz val="11"/>
        <rFont val="宋体"/>
        <charset val="134"/>
      </rPr>
      <t>b</t>
    </r>
    <r>
      <rPr>
        <sz val="11"/>
        <rFont val="宋体"/>
        <charset val="134"/>
      </rPr>
      <t>的计算如下：</t>
    </r>
  </si>
  <si>
    <r>
      <rPr>
        <sz val="10"/>
        <rFont val="Times New Roman"/>
        <family val="1"/>
      </rPr>
      <t>f</t>
    </r>
    <r>
      <rPr>
        <vertAlign val="subscript"/>
        <sz val="10"/>
        <rFont val="Times New Roman"/>
        <family val="1"/>
      </rPr>
      <t>py</t>
    </r>
    <r>
      <rPr>
        <sz val="10"/>
        <rFont val="Times New Roman"/>
        <family val="1"/>
      </rPr>
      <t>——</t>
    </r>
    <r>
      <rPr>
        <sz val="10"/>
        <rFont val="宋体"/>
        <charset val="134"/>
      </rPr>
      <t>纵向预应力钢筋抗拉强度设计值；</t>
    </r>
  </si>
  <si>
    <r>
      <rPr>
        <sz val="10"/>
        <rFont val="Times New Roman"/>
        <family val="1"/>
      </rPr>
      <t>ζ</t>
    </r>
    <r>
      <rPr>
        <vertAlign val="subscript"/>
        <sz val="10"/>
        <rFont val="Times New Roman"/>
        <family val="1"/>
      </rPr>
      <t>b</t>
    </r>
    <r>
      <rPr>
        <sz val="10"/>
        <rFont val="Times New Roman"/>
        <family val="1"/>
      </rPr>
      <t>——</t>
    </r>
    <r>
      <rPr>
        <sz val="10"/>
        <rFont val="宋体"/>
        <charset val="134"/>
      </rPr>
      <t>相对界限受压区高度；</t>
    </r>
  </si>
  <si>
    <r>
      <rPr>
        <sz val="10"/>
        <rFont val="Times New Roman"/>
        <family val="1"/>
      </rPr>
      <t>σ</t>
    </r>
    <r>
      <rPr>
        <vertAlign val="subscript"/>
        <sz val="10"/>
        <rFont val="Times New Roman"/>
        <family val="1"/>
      </rPr>
      <t>p0</t>
    </r>
    <r>
      <rPr>
        <sz val="10"/>
        <rFont val="Times New Roman"/>
        <family val="1"/>
      </rPr>
      <t>——</t>
    </r>
    <r>
      <rPr>
        <sz val="10"/>
        <rFont val="宋体"/>
        <charset val="134"/>
      </rPr>
      <t>截面受拉区纵向预应力钢筋合力处混凝土法向应力等于零时的预应力钢筋应力；</t>
    </r>
  </si>
  <si>
    <r>
      <rPr>
        <sz val="10"/>
        <rFont val="宋体"/>
        <charset val="134"/>
      </rPr>
      <t>根据上式计算得钢绞线</t>
    </r>
    <r>
      <rPr>
        <sz val="10"/>
        <rFont val="Times New Roman"/>
        <family val="1"/>
      </rPr>
      <t>ζ</t>
    </r>
    <r>
      <rPr>
        <vertAlign val="subscript"/>
        <sz val="10"/>
        <rFont val="Times New Roman"/>
        <family val="1"/>
      </rPr>
      <t>b</t>
    </r>
    <r>
      <rPr>
        <sz val="10"/>
        <rFont val="Times New Roman"/>
        <family val="1"/>
      </rPr>
      <t>=</t>
    </r>
  </si>
  <si>
    <r>
      <rPr>
        <b/>
        <sz val="10"/>
        <color rgb="FFFF0000"/>
        <rFont val="宋体"/>
        <charset val="134"/>
      </rPr>
      <t>非预应力钢筋</t>
    </r>
    <r>
      <rPr>
        <sz val="10"/>
        <rFont val="Times New Roman"/>
        <family val="1"/>
      </rPr>
      <t>ζ</t>
    </r>
    <r>
      <rPr>
        <vertAlign val="subscript"/>
        <sz val="10"/>
        <rFont val="Times New Roman"/>
        <family val="1"/>
      </rPr>
      <t>b</t>
    </r>
    <r>
      <rPr>
        <sz val="10"/>
        <rFont val="Times New Roman"/>
        <family val="1"/>
      </rPr>
      <t>=</t>
    </r>
  </si>
  <si>
    <r>
      <rPr>
        <sz val="10"/>
        <rFont val="宋体"/>
        <charset val="134"/>
      </rPr>
      <t>取小值，即</t>
    </r>
    <r>
      <rPr>
        <sz val="10"/>
        <rFont val="Times New Roman"/>
        <family val="1"/>
      </rPr>
      <t>ζ</t>
    </r>
    <r>
      <rPr>
        <vertAlign val="subscript"/>
        <sz val="10"/>
        <rFont val="Times New Roman"/>
        <family val="1"/>
      </rPr>
      <t>b</t>
    </r>
    <r>
      <rPr>
        <sz val="10"/>
        <rFont val="Times New Roman"/>
        <family val="1"/>
      </rPr>
      <t>=</t>
    </r>
  </si>
  <si>
    <r>
      <rPr>
        <sz val="10"/>
        <rFont val="宋体"/>
        <charset val="134"/>
      </rPr>
      <t>鉴别中和轴位置</t>
    </r>
  </si>
  <si>
    <t>截面类型判别：</t>
  </si>
  <si>
    <r>
      <rPr>
        <sz val="10"/>
        <rFont val="宋体"/>
        <charset val="134"/>
      </rPr>
      <t>受压区高度</t>
    </r>
    <r>
      <rPr>
        <sz val="10"/>
        <rFont val="Times New Roman"/>
        <family val="1"/>
      </rPr>
      <t>x=</t>
    </r>
  </si>
  <si>
    <r>
      <rPr>
        <sz val="10"/>
        <rFont val="Times New Roman"/>
        <family val="1"/>
      </rPr>
      <t>0.85ζ</t>
    </r>
    <r>
      <rPr>
        <vertAlign val="subscript"/>
        <sz val="10"/>
        <rFont val="Times New Roman"/>
        <family val="1"/>
      </rPr>
      <t>b</t>
    </r>
    <r>
      <rPr>
        <sz val="10"/>
        <rFont val="Times New Roman"/>
        <family val="1"/>
      </rPr>
      <t>h</t>
    </r>
    <r>
      <rPr>
        <vertAlign val="subscript"/>
        <sz val="10"/>
        <rFont val="Times New Roman"/>
        <family val="1"/>
      </rPr>
      <t>0</t>
    </r>
    <r>
      <rPr>
        <sz val="10"/>
        <rFont val="Times New Roman"/>
        <family val="1"/>
      </rPr>
      <t>=</t>
    </r>
  </si>
  <si>
    <r>
      <rPr>
        <sz val="10"/>
        <rFont val="Times New Roman"/>
        <family val="1"/>
      </rPr>
      <t>2a</t>
    </r>
    <r>
      <rPr>
        <vertAlign val="superscript"/>
        <sz val="10"/>
        <rFont val="Times New Roman"/>
        <family val="1"/>
      </rPr>
      <t>'</t>
    </r>
    <r>
      <rPr>
        <sz val="10"/>
        <rFont val="Times New Roman"/>
        <family val="1"/>
      </rPr>
      <t>=</t>
    </r>
  </si>
  <si>
    <r>
      <rPr>
        <sz val="10"/>
        <rFont val="宋体"/>
        <charset val="134"/>
      </rPr>
      <t>承载力</t>
    </r>
    <r>
      <rPr>
        <sz val="10"/>
        <rFont val="Times New Roman"/>
        <family val="1"/>
      </rPr>
      <t>T=</t>
    </r>
  </si>
  <si>
    <t>N·mm</t>
  </si>
  <si>
    <r>
      <rPr>
        <sz val="10"/>
        <rFont val="宋体"/>
        <charset val="134"/>
      </rPr>
      <t>承载力安全系数</t>
    </r>
    <r>
      <rPr>
        <sz val="10"/>
        <rFont val="Times New Roman"/>
        <family val="1"/>
      </rPr>
      <t>K=</t>
    </r>
  </si>
  <si>
    <r>
      <rPr>
        <sz val="10"/>
        <rFont val="宋体"/>
        <charset val="134"/>
      </rPr>
      <t>跨中弯矩设计值</t>
    </r>
    <r>
      <rPr>
        <sz val="10"/>
        <rFont val="Times New Roman"/>
        <family val="1"/>
      </rPr>
      <t>M=</t>
    </r>
  </si>
  <si>
    <t>表8 斜截面配筋验算</t>
  </si>
  <si>
    <r>
      <rPr>
        <sz val="10"/>
        <color rgb="FFFF0000"/>
        <rFont val="宋体"/>
        <charset val="134"/>
      </rPr>
      <t>规范要求</t>
    </r>
    <r>
      <rPr>
        <sz val="10"/>
        <color rgb="FFFF0000"/>
        <rFont val="Times New Roman"/>
        <family val="1"/>
      </rPr>
      <t>1.15</t>
    </r>
    <r>
      <rPr>
        <sz val="10"/>
        <color rgb="FFFF0000"/>
        <rFont val="宋体"/>
        <charset val="134"/>
      </rPr>
      <t>，提高至</t>
    </r>
    <r>
      <rPr>
        <sz val="10"/>
        <color rgb="FFFF0000"/>
        <rFont val="Times New Roman"/>
        <family val="1"/>
      </rPr>
      <t>1.35</t>
    </r>
  </si>
  <si>
    <r>
      <rPr>
        <sz val="10"/>
        <rFont val="宋体"/>
        <charset val="134"/>
      </rPr>
      <t>支座剪力设计值</t>
    </r>
    <r>
      <rPr>
        <sz val="10"/>
        <rFont val="Times New Roman"/>
        <family val="1"/>
      </rPr>
      <t>V=</t>
    </r>
  </si>
  <si>
    <r>
      <rPr>
        <sz val="10"/>
        <rFont val="宋体"/>
        <charset val="134"/>
      </rPr>
      <t>截面的腹板高度</t>
    </r>
    <r>
      <rPr>
        <sz val="10"/>
        <rFont val="Times New Roman"/>
        <family val="1"/>
      </rPr>
      <t>h</t>
    </r>
    <r>
      <rPr>
        <vertAlign val="subscript"/>
        <sz val="10"/>
        <rFont val="Times New Roman"/>
        <family val="1"/>
      </rPr>
      <t>w</t>
    </r>
    <r>
      <rPr>
        <sz val="10"/>
        <rFont val="Times New Roman"/>
        <family val="1"/>
      </rPr>
      <t>=</t>
    </r>
  </si>
  <si>
    <r>
      <rPr>
        <sz val="10"/>
        <rFont val="宋体"/>
        <charset val="134"/>
      </rPr>
      <t>腹板的宽度</t>
    </r>
    <r>
      <rPr>
        <sz val="10"/>
        <rFont val="Times New Roman"/>
        <family val="1"/>
      </rPr>
      <t>b=</t>
    </r>
  </si>
  <si>
    <r>
      <rPr>
        <sz val="10"/>
        <rFont val="Times New Roman"/>
        <family val="1"/>
      </rPr>
      <t>h</t>
    </r>
    <r>
      <rPr>
        <vertAlign val="subscript"/>
        <sz val="10"/>
        <rFont val="Times New Roman"/>
        <family val="1"/>
      </rPr>
      <t>w</t>
    </r>
    <r>
      <rPr>
        <sz val="10"/>
        <rFont val="Times New Roman"/>
        <family val="1"/>
      </rPr>
      <t>/b=</t>
    </r>
  </si>
  <si>
    <r>
      <rPr>
        <sz val="10"/>
        <color rgb="FF000000"/>
        <rFont val="Times New Roman"/>
        <family val="1"/>
      </rPr>
      <t>f</t>
    </r>
    <r>
      <rPr>
        <vertAlign val="subscript"/>
        <sz val="10"/>
        <color rgb="FF000000"/>
        <rFont val="Times New Roman"/>
        <family val="1"/>
      </rPr>
      <t>c</t>
    </r>
    <r>
      <rPr>
        <sz val="10"/>
        <color rgb="FF000000"/>
        <rFont val="Times New Roman"/>
        <family val="1"/>
      </rPr>
      <t>bh</t>
    </r>
    <r>
      <rPr>
        <vertAlign val="subscript"/>
        <sz val="10"/>
        <color rgb="FF000000"/>
        <rFont val="Times New Roman"/>
        <family val="1"/>
      </rPr>
      <t>0</t>
    </r>
    <r>
      <rPr>
        <sz val="10"/>
        <color rgb="FF000000"/>
        <rFont val="Times New Roman"/>
        <family val="1"/>
      </rPr>
      <t>=</t>
    </r>
  </si>
  <si>
    <r>
      <rPr>
        <sz val="10"/>
        <rFont val="宋体"/>
        <charset val="134"/>
      </rPr>
      <t>判定是否按照计算配置箍筋</t>
    </r>
  </si>
  <si>
    <r>
      <rPr>
        <sz val="10"/>
        <rFont val="宋体"/>
        <charset val="134"/>
      </rPr>
      <t>混凝土的受剪承载力</t>
    </r>
    <r>
      <rPr>
        <sz val="10"/>
        <rFont val="Times New Roman"/>
        <family val="1"/>
      </rPr>
      <t>V</t>
    </r>
    <r>
      <rPr>
        <vertAlign val="subscript"/>
        <sz val="10"/>
        <rFont val="Times New Roman"/>
        <family val="1"/>
      </rPr>
      <t>c</t>
    </r>
    <r>
      <rPr>
        <sz val="10"/>
        <rFont val="Times New Roman"/>
        <family val="1"/>
      </rPr>
      <t>=0.7f</t>
    </r>
    <r>
      <rPr>
        <vertAlign val="subscript"/>
        <sz val="10"/>
        <rFont val="Times New Roman"/>
        <family val="1"/>
      </rPr>
      <t>t</t>
    </r>
    <r>
      <rPr>
        <sz val="10"/>
        <rFont val="Times New Roman"/>
        <family val="1"/>
      </rPr>
      <t>bh</t>
    </r>
    <r>
      <rPr>
        <vertAlign val="subscript"/>
        <sz val="10"/>
        <rFont val="Times New Roman"/>
        <family val="1"/>
      </rPr>
      <t>o</t>
    </r>
    <r>
      <rPr>
        <sz val="10"/>
        <rFont val="Times New Roman"/>
        <family val="1"/>
      </rPr>
      <t>=</t>
    </r>
  </si>
  <si>
    <r>
      <rPr>
        <sz val="10"/>
        <color theme="1"/>
        <rFont val="Times New Roman"/>
        <family val="1"/>
      </rPr>
      <t>0.3f</t>
    </r>
    <r>
      <rPr>
        <vertAlign val="subscript"/>
        <sz val="10"/>
        <color theme="1"/>
        <rFont val="Times New Roman"/>
        <family val="1"/>
      </rPr>
      <t>c</t>
    </r>
    <r>
      <rPr>
        <sz val="10"/>
        <color theme="1"/>
        <rFont val="Times New Roman"/>
        <family val="1"/>
      </rPr>
      <t>A</t>
    </r>
    <r>
      <rPr>
        <vertAlign val="subscript"/>
        <sz val="10"/>
        <color theme="1"/>
        <rFont val="Times New Roman"/>
        <family val="1"/>
      </rPr>
      <t>o</t>
    </r>
    <r>
      <rPr>
        <sz val="10"/>
        <color theme="1"/>
        <rFont val="Times New Roman"/>
        <family val="1"/>
      </rPr>
      <t>=</t>
    </r>
  </si>
  <si>
    <r>
      <rPr>
        <sz val="10"/>
        <color theme="1"/>
        <rFont val="Times New Roman"/>
        <family val="1"/>
      </rPr>
      <t>N</t>
    </r>
    <r>
      <rPr>
        <vertAlign val="subscript"/>
        <sz val="10"/>
        <color theme="1"/>
        <rFont val="Times New Roman"/>
        <family val="1"/>
      </rPr>
      <t>p0</t>
    </r>
    <r>
      <rPr>
        <sz val="10"/>
        <color theme="1"/>
        <rFont val="Times New Roman"/>
        <family val="1"/>
      </rPr>
      <t>=</t>
    </r>
  </si>
  <si>
    <r>
      <rPr>
        <sz val="10"/>
        <rFont val="宋体"/>
        <charset val="134"/>
      </rPr>
      <t>预应力提高的构件受剪承载力</t>
    </r>
    <r>
      <rPr>
        <sz val="10"/>
        <rFont val="Times New Roman"/>
        <family val="1"/>
      </rPr>
      <t>V</t>
    </r>
    <r>
      <rPr>
        <vertAlign val="subscript"/>
        <sz val="10"/>
        <rFont val="Times New Roman"/>
        <family val="1"/>
      </rPr>
      <t>p</t>
    </r>
    <r>
      <rPr>
        <sz val="10"/>
        <rFont val="Times New Roman"/>
        <family val="1"/>
      </rPr>
      <t>=0.05N</t>
    </r>
    <r>
      <rPr>
        <vertAlign val="subscript"/>
        <sz val="10"/>
        <rFont val="Times New Roman"/>
        <family val="1"/>
      </rPr>
      <t>p0</t>
    </r>
    <r>
      <rPr>
        <sz val="10"/>
        <rFont val="Times New Roman"/>
        <family val="1"/>
      </rPr>
      <t>=</t>
    </r>
  </si>
  <si>
    <r>
      <rPr>
        <sz val="10"/>
        <color rgb="FFFF0000"/>
        <rFont val="宋体"/>
        <charset val="134"/>
      </rPr>
      <t>配置箍筋计算，按构造选用</t>
    </r>
    <r>
      <rPr>
        <sz val="10"/>
        <color rgb="FFFF0000"/>
        <rFont val="Times New Roman"/>
        <family val="1"/>
      </rPr>
      <t>φ</t>
    </r>
    <r>
      <rPr>
        <sz val="10"/>
        <color rgb="FFFF0000"/>
        <rFont val="宋体"/>
        <charset val="134"/>
      </rPr>
      <t>14</t>
    </r>
    <r>
      <rPr>
        <sz val="10"/>
        <color rgb="FFFF0000"/>
        <rFont val="Times New Roman"/>
        <family val="1"/>
      </rPr>
      <t>@200</t>
    </r>
    <r>
      <rPr>
        <sz val="10"/>
        <color rgb="FFFF0000"/>
        <rFont val="宋体"/>
        <charset val="134"/>
      </rPr>
      <t>，沿槽身全长配置</t>
    </r>
  </si>
  <si>
    <r>
      <rPr>
        <sz val="10"/>
        <rFont val="宋体"/>
        <charset val="134"/>
      </rPr>
      <t>箍筋公称直径</t>
    </r>
    <r>
      <rPr>
        <sz val="10"/>
        <rFont val="Times New Roman"/>
        <family val="1"/>
      </rPr>
      <t>=</t>
    </r>
  </si>
  <si>
    <r>
      <rPr>
        <sz val="10"/>
        <rFont val="宋体"/>
        <charset val="134"/>
      </rPr>
      <t>单肢面积</t>
    </r>
    <r>
      <rPr>
        <sz val="10"/>
        <rFont val="Times New Roman"/>
        <family val="1"/>
      </rPr>
      <t>A</t>
    </r>
    <r>
      <rPr>
        <vertAlign val="subscript"/>
        <sz val="10"/>
        <rFont val="Times New Roman"/>
        <family val="1"/>
      </rPr>
      <t>vs1</t>
    </r>
    <r>
      <rPr>
        <sz val="10"/>
        <rFont val="Times New Roman"/>
        <family val="1"/>
      </rPr>
      <t>=</t>
    </r>
  </si>
  <si>
    <r>
      <rPr>
        <sz val="10"/>
        <color theme="1"/>
        <rFont val="Times New Roman"/>
        <family val="1"/>
      </rPr>
      <t>mm</t>
    </r>
    <r>
      <rPr>
        <vertAlign val="superscript"/>
        <sz val="10"/>
        <color theme="1"/>
        <rFont val="Times New Roman"/>
        <family val="1"/>
      </rPr>
      <t>2</t>
    </r>
  </si>
  <si>
    <r>
      <rPr>
        <sz val="10"/>
        <rFont val="宋体"/>
        <charset val="134"/>
      </rPr>
      <t>同一截面内肢数</t>
    </r>
    <r>
      <rPr>
        <sz val="10"/>
        <rFont val="Times New Roman"/>
        <family val="1"/>
      </rPr>
      <t>n</t>
    </r>
    <r>
      <rPr>
        <vertAlign val="subscript"/>
        <sz val="10"/>
        <rFont val="Times New Roman"/>
        <family val="1"/>
      </rPr>
      <t>1</t>
    </r>
    <r>
      <rPr>
        <sz val="10"/>
        <rFont val="Times New Roman"/>
        <family val="1"/>
      </rPr>
      <t>=</t>
    </r>
  </si>
  <si>
    <r>
      <rPr>
        <sz val="10"/>
        <color theme="1"/>
        <rFont val="Times New Roman"/>
        <family val="1"/>
      </rPr>
      <t>A</t>
    </r>
    <r>
      <rPr>
        <vertAlign val="subscript"/>
        <sz val="10"/>
        <color theme="1"/>
        <rFont val="Times New Roman"/>
        <family val="1"/>
      </rPr>
      <t>sv</t>
    </r>
    <r>
      <rPr>
        <sz val="10"/>
        <color theme="1"/>
        <rFont val="Times New Roman"/>
        <family val="1"/>
      </rPr>
      <t>=</t>
    </r>
  </si>
  <si>
    <r>
      <rPr>
        <sz val="10"/>
        <color theme="1"/>
        <rFont val="宋体"/>
        <charset val="134"/>
      </rPr>
      <t>沿长度方向的箍筋间距</t>
    </r>
    <r>
      <rPr>
        <sz val="10"/>
        <color theme="1"/>
        <rFont val="Times New Roman"/>
        <family val="1"/>
      </rPr>
      <t>s=</t>
    </r>
  </si>
  <si>
    <r>
      <rPr>
        <sz val="10"/>
        <rFont val="宋体"/>
        <charset val="134"/>
      </rPr>
      <t>箍筋抗拉强度设计值</t>
    </r>
    <r>
      <rPr>
        <sz val="10"/>
        <rFont val="Times New Roman"/>
        <family val="1"/>
      </rPr>
      <t>f</t>
    </r>
    <r>
      <rPr>
        <vertAlign val="subscript"/>
        <sz val="10"/>
        <rFont val="Times New Roman"/>
        <family val="1"/>
      </rPr>
      <t>yv</t>
    </r>
    <r>
      <rPr>
        <sz val="10"/>
        <rFont val="Times New Roman"/>
        <family val="1"/>
      </rPr>
      <t>=</t>
    </r>
  </si>
  <si>
    <r>
      <rPr>
        <sz val="10"/>
        <rFont val="宋体"/>
        <charset val="134"/>
      </rPr>
      <t>竖向精扎钢筋受剪承载力</t>
    </r>
    <r>
      <rPr>
        <sz val="10"/>
        <rFont val="Times New Roman"/>
        <family val="1"/>
      </rPr>
      <t>V</t>
    </r>
    <r>
      <rPr>
        <vertAlign val="subscript"/>
        <sz val="10"/>
        <rFont val="Times New Roman"/>
        <family val="1"/>
      </rPr>
      <t>SV</t>
    </r>
    <r>
      <rPr>
        <sz val="10"/>
        <rFont val="Times New Roman"/>
        <family val="1"/>
      </rPr>
      <t>=1.25f</t>
    </r>
    <r>
      <rPr>
        <vertAlign val="subscript"/>
        <sz val="10"/>
        <rFont val="Times New Roman"/>
        <family val="1"/>
      </rPr>
      <t>yv</t>
    </r>
    <r>
      <rPr>
        <sz val="10"/>
        <rFont val="Times New Roman"/>
        <family val="1"/>
      </rPr>
      <t>A</t>
    </r>
    <r>
      <rPr>
        <vertAlign val="subscript"/>
        <sz val="10"/>
        <rFont val="Times New Roman"/>
        <family val="1"/>
      </rPr>
      <t>sv</t>
    </r>
    <r>
      <rPr>
        <sz val="10"/>
        <rFont val="Times New Roman"/>
        <family val="1"/>
      </rPr>
      <t>h</t>
    </r>
    <r>
      <rPr>
        <vertAlign val="subscript"/>
        <sz val="10"/>
        <rFont val="Times New Roman"/>
        <family val="1"/>
      </rPr>
      <t>0</t>
    </r>
    <r>
      <rPr>
        <sz val="10"/>
        <rFont val="Times New Roman"/>
        <family val="1"/>
      </rPr>
      <t>/s=</t>
    </r>
  </si>
  <si>
    <r>
      <rPr>
        <sz val="10"/>
        <rFont val="Times New Roman"/>
        <family val="1"/>
      </rPr>
      <t>V</t>
    </r>
    <r>
      <rPr>
        <vertAlign val="subscript"/>
        <sz val="10"/>
        <rFont val="Times New Roman"/>
        <family val="1"/>
      </rPr>
      <t>c</t>
    </r>
    <r>
      <rPr>
        <sz val="10"/>
        <rFont val="Times New Roman"/>
        <family val="1"/>
      </rPr>
      <t>+V</t>
    </r>
    <r>
      <rPr>
        <vertAlign val="subscript"/>
        <sz val="10"/>
        <rFont val="Times New Roman"/>
        <family val="1"/>
      </rPr>
      <t>p</t>
    </r>
    <r>
      <rPr>
        <sz val="10"/>
        <rFont val="Times New Roman"/>
        <family val="1"/>
      </rPr>
      <t>+V</t>
    </r>
    <r>
      <rPr>
        <vertAlign val="subscript"/>
        <sz val="10"/>
        <rFont val="Times New Roman"/>
        <family val="1"/>
      </rPr>
      <t>sv</t>
    </r>
    <r>
      <rPr>
        <sz val="10"/>
        <rFont val="Times New Roman"/>
        <family val="1"/>
      </rPr>
      <t>=</t>
    </r>
  </si>
  <si>
    <r>
      <rPr>
        <sz val="10"/>
        <color theme="1"/>
        <rFont val="宋体"/>
        <charset val="134"/>
      </rPr>
      <t>配箍率</t>
    </r>
    <r>
      <rPr>
        <sz val="10"/>
        <color theme="1"/>
        <rFont val="Times New Roman"/>
        <family val="1"/>
      </rPr>
      <t>ρ</t>
    </r>
    <r>
      <rPr>
        <vertAlign val="subscript"/>
        <sz val="10"/>
        <color theme="1"/>
        <rFont val="Times New Roman"/>
        <family val="1"/>
      </rPr>
      <t>sv</t>
    </r>
    <r>
      <rPr>
        <sz val="10"/>
        <color theme="1"/>
        <rFont val="Times New Roman"/>
        <family val="1"/>
      </rPr>
      <t>=A</t>
    </r>
    <r>
      <rPr>
        <vertAlign val="subscript"/>
        <sz val="10"/>
        <color theme="1"/>
        <rFont val="Times New Roman"/>
        <family val="1"/>
      </rPr>
      <t>sv</t>
    </r>
    <r>
      <rPr>
        <sz val="10"/>
        <color theme="1"/>
        <rFont val="Times New Roman"/>
        <family val="1"/>
      </rPr>
      <t>/(bs)=</t>
    </r>
  </si>
  <si>
    <t>表9 正截面抗裂验算</t>
  </si>
  <si>
    <r>
      <rPr>
        <sz val="10"/>
        <rFont val="Times New Roman"/>
        <family val="1"/>
      </rPr>
      <t>1.</t>
    </r>
    <r>
      <rPr>
        <sz val="10"/>
        <rFont val="黑体"/>
        <charset val="134"/>
      </rPr>
      <t>梁中部</t>
    </r>
    <r>
      <rPr>
        <sz val="10"/>
        <rFont val="Times New Roman"/>
        <family val="1"/>
      </rPr>
      <t>(</t>
    </r>
    <r>
      <rPr>
        <sz val="10"/>
        <rFont val="黑体"/>
        <charset val="134"/>
      </rPr>
      <t>渡槽内表面</t>
    </r>
    <r>
      <rPr>
        <sz val="10"/>
        <rFont val="Times New Roman"/>
        <family val="1"/>
      </rPr>
      <t>)</t>
    </r>
  </si>
  <si>
    <r>
      <rPr>
        <sz val="10"/>
        <rFont val="宋体"/>
        <charset val="134"/>
      </rPr>
      <t>换算界面对渡槽内表面抵抗矩</t>
    </r>
    <r>
      <rPr>
        <sz val="10"/>
        <rFont val="Times New Roman"/>
        <family val="1"/>
      </rPr>
      <t>W</t>
    </r>
    <r>
      <rPr>
        <vertAlign val="subscript"/>
        <sz val="10"/>
        <rFont val="Times New Roman"/>
        <family val="1"/>
      </rPr>
      <t>0</t>
    </r>
    <r>
      <rPr>
        <sz val="10"/>
        <rFont val="Times New Roman"/>
        <family val="1"/>
      </rPr>
      <t>=I</t>
    </r>
    <r>
      <rPr>
        <vertAlign val="subscript"/>
        <sz val="10"/>
        <rFont val="Times New Roman"/>
        <family val="1"/>
      </rPr>
      <t>0</t>
    </r>
    <r>
      <rPr>
        <sz val="10"/>
        <rFont val="Times New Roman"/>
        <family val="1"/>
      </rPr>
      <t>/y</t>
    </r>
    <r>
      <rPr>
        <vertAlign val="subscript"/>
        <sz val="10"/>
        <rFont val="Times New Roman"/>
        <family val="1"/>
      </rPr>
      <t>02</t>
    </r>
    <r>
      <rPr>
        <sz val="10"/>
        <rFont val="Times New Roman"/>
        <family val="1"/>
      </rPr>
      <t>=</t>
    </r>
  </si>
  <si>
    <r>
      <rPr>
        <sz val="10"/>
        <color theme="1"/>
        <rFont val="Times New Roman"/>
        <family val="1"/>
      </rPr>
      <t>mm</t>
    </r>
    <r>
      <rPr>
        <vertAlign val="superscript"/>
        <sz val="10"/>
        <color theme="1"/>
        <rFont val="Times New Roman"/>
        <family val="1"/>
      </rPr>
      <t>3</t>
    </r>
  </si>
  <si>
    <r>
      <rPr>
        <sz val="10"/>
        <rFont val="宋体"/>
        <charset val="134"/>
      </rPr>
      <t>抗裂验算渡槽内表面最低处混凝土法向应力</t>
    </r>
    <r>
      <rPr>
        <sz val="10"/>
        <rFont val="Times New Roman"/>
        <family val="1"/>
      </rPr>
      <t>σ</t>
    </r>
    <r>
      <rPr>
        <vertAlign val="subscript"/>
        <sz val="10"/>
        <rFont val="Times New Roman"/>
        <family val="1"/>
      </rPr>
      <t>ck</t>
    </r>
    <r>
      <rPr>
        <sz val="10"/>
        <rFont val="Times New Roman"/>
        <family val="1"/>
      </rPr>
      <t>=M</t>
    </r>
    <r>
      <rPr>
        <vertAlign val="subscript"/>
        <sz val="10"/>
        <rFont val="Times New Roman"/>
        <family val="1"/>
      </rPr>
      <t>k</t>
    </r>
    <r>
      <rPr>
        <sz val="10"/>
        <rFont val="Times New Roman"/>
        <family val="1"/>
      </rPr>
      <t>/W</t>
    </r>
    <r>
      <rPr>
        <vertAlign val="subscript"/>
        <sz val="10"/>
        <rFont val="Times New Roman"/>
        <family val="1"/>
      </rPr>
      <t>0</t>
    </r>
    <r>
      <rPr>
        <sz val="10"/>
        <rFont val="Times New Roman"/>
        <family val="1"/>
      </rPr>
      <t>=</t>
    </r>
  </si>
  <si>
    <r>
      <rPr>
        <sz val="10"/>
        <color theme="1"/>
        <rFont val="宋体"/>
        <charset val="134"/>
      </rPr>
      <t>扣除全部预应力损失后渡槽内表面最低处的混凝土法向压应力</t>
    </r>
    <r>
      <rPr>
        <sz val="10"/>
        <color theme="1"/>
        <rFont val="Times New Roman"/>
        <family val="1"/>
      </rPr>
      <t>σ</t>
    </r>
    <r>
      <rPr>
        <vertAlign val="subscript"/>
        <sz val="10"/>
        <color theme="1"/>
        <rFont val="Times New Roman"/>
        <family val="1"/>
      </rPr>
      <t>pc</t>
    </r>
    <r>
      <rPr>
        <sz val="10"/>
        <color theme="1"/>
        <rFont val="Times New Roman"/>
        <family val="1"/>
      </rPr>
      <t>=</t>
    </r>
  </si>
  <si>
    <r>
      <rPr>
        <sz val="10"/>
        <rFont val="Times New Roman"/>
        <family val="1"/>
      </rPr>
      <t>σ</t>
    </r>
    <r>
      <rPr>
        <vertAlign val="subscript"/>
        <sz val="10"/>
        <rFont val="Times New Roman"/>
        <family val="1"/>
      </rPr>
      <t>ck1</t>
    </r>
    <r>
      <rPr>
        <sz val="10"/>
        <rFont val="Times New Roman"/>
        <family val="1"/>
      </rPr>
      <t>-σ</t>
    </r>
    <r>
      <rPr>
        <vertAlign val="subscript"/>
        <sz val="10"/>
        <rFont val="Times New Roman"/>
        <family val="1"/>
      </rPr>
      <t>pc</t>
    </r>
    <r>
      <rPr>
        <sz val="10"/>
        <rFont val="Times New Roman"/>
        <family val="1"/>
      </rPr>
      <t>=</t>
    </r>
  </si>
  <si>
    <r>
      <rPr>
        <sz val="10"/>
        <rFont val="Times New Roman"/>
        <family val="1"/>
      </rPr>
      <t>2.</t>
    </r>
    <r>
      <rPr>
        <sz val="10"/>
        <rFont val="黑体"/>
        <charset val="134"/>
      </rPr>
      <t>梁受拉边缘处</t>
    </r>
    <r>
      <rPr>
        <sz val="10"/>
        <rFont val="Times New Roman"/>
        <family val="1"/>
      </rPr>
      <t>(</t>
    </r>
    <r>
      <rPr>
        <sz val="10"/>
        <rFont val="黑体"/>
        <charset val="134"/>
      </rPr>
      <t>渡槽外表面</t>
    </r>
    <r>
      <rPr>
        <sz val="10"/>
        <rFont val="Times New Roman"/>
        <family val="1"/>
      </rPr>
      <t>)</t>
    </r>
  </si>
  <si>
    <r>
      <rPr>
        <sz val="10"/>
        <rFont val="宋体"/>
        <charset val="134"/>
      </rPr>
      <t>换算界面对受拉边缘抵抗矩</t>
    </r>
    <r>
      <rPr>
        <sz val="10"/>
        <rFont val="Times New Roman"/>
        <family val="1"/>
      </rPr>
      <t>W</t>
    </r>
    <r>
      <rPr>
        <vertAlign val="subscript"/>
        <sz val="10"/>
        <rFont val="Times New Roman"/>
        <family val="1"/>
      </rPr>
      <t>0</t>
    </r>
    <r>
      <rPr>
        <sz val="10"/>
        <rFont val="Times New Roman"/>
        <family val="1"/>
      </rPr>
      <t>=I</t>
    </r>
    <r>
      <rPr>
        <vertAlign val="subscript"/>
        <sz val="10"/>
        <rFont val="Times New Roman"/>
        <family val="1"/>
      </rPr>
      <t>0</t>
    </r>
    <r>
      <rPr>
        <sz val="10"/>
        <rFont val="Times New Roman"/>
        <family val="1"/>
      </rPr>
      <t>/y</t>
    </r>
    <r>
      <rPr>
        <vertAlign val="subscript"/>
        <sz val="10"/>
        <rFont val="Times New Roman"/>
        <family val="1"/>
      </rPr>
      <t>02</t>
    </r>
    <r>
      <rPr>
        <sz val="10"/>
        <rFont val="Times New Roman"/>
        <family val="1"/>
      </rPr>
      <t>=</t>
    </r>
  </si>
  <si>
    <r>
      <rPr>
        <sz val="10"/>
        <rFont val="宋体"/>
        <charset val="134"/>
      </rPr>
      <t>抗裂验算边缘混凝土法向应力</t>
    </r>
    <r>
      <rPr>
        <sz val="10"/>
        <rFont val="Times New Roman"/>
        <family val="1"/>
      </rPr>
      <t>σ</t>
    </r>
    <r>
      <rPr>
        <vertAlign val="subscript"/>
        <sz val="10"/>
        <rFont val="Times New Roman"/>
        <family val="1"/>
      </rPr>
      <t>ck</t>
    </r>
    <r>
      <rPr>
        <sz val="10"/>
        <rFont val="Times New Roman"/>
        <family val="1"/>
      </rPr>
      <t>=M</t>
    </r>
    <r>
      <rPr>
        <vertAlign val="subscript"/>
        <sz val="10"/>
        <rFont val="Times New Roman"/>
        <family val="1"/>
      </rPr>
      <t>k</t>
    </r>
    <r>
      <rPr>
        <sz val="10"/>
        <rFont val="Times New Roman"/>
        <family val="1"/>
      </rPr>
      <t>/W</t>
    </r>
    <r>
      <rPr>
        <vertAlign val="subscript"/>
        <sz val="10"/>
        <rFont val="Times New Roman"/>
        <family val="1"/>
      </rPr>
      <t>0</t>
    </r>
    <r>
      <rPr>
        <sz val="10"/>
        <rFont val="Times New Roman"/>
        <family val="1"/>
      </rPr>
      <t>=</t>
    </r>
  </si>
  <si>
    <r>
      <rPr>
        <sz val="10"/>
        <color theme="1"/>
        <rFont val="宋体"/>
        <charset val="134"/>
      </rPr>
      <t>修正系数</t>
    </r>
    <r>
      <rPr>
        <sz val="10"/>
        <color theme="1"/>
        <rFont val="Times New Roman"/>
        <family val="1"/>
      </rPr>
      <t>=</t>
    </r>
  </si>
  <si>
    <r>
      <rPr>
        <sz val="10"/>
        <rFont val="宋体"/>
        <charset val="134"/>
      </rPr>
      <t>受拉区砼塑性影响系数</t>
    </r>
    <r>
      <rPr>
        <sz val="10"/>
        <rFont val="Times New Roman"/>
        <family val="1"/>
      </rPr>
      <t>γm=</t>
    </r>
  </si>
  <si>
    <r>
      <rPr>
        <sz val="10"/>
        <rFont val="宋体"/>
        <charset val="134"/>
      </rPr>
      <t>修正受拉区砼塑性影响系数</t>
    </r>
    <r>
      <rPr>
        <sz val="10"/>
        <rFont val="Times New Roman"/>
        <family val="1"/>
      </rPr>
      <t>γ=</t>
    </r>
  </si>
  <si>
    <r>
      <rPr>
        <sz val="10"/>
        <color theme="1"/>
        <rFont val="宋体"/>
        <charset val="134"/>
      </rPr>
      <t>混凝土拉应力限制系数</t>
    </r>
    <r>
      <rPr>
        <sz val="10"/>
        <color theme="1"/>
        <rFont val="Times New Roman"/>
        <family val="1"/>
      </rPr>
      <t>α</t>
    </r>
    <r>
      <rPr>
        <vertAlign val="subscript"/>
        <sz val="10"/>
        <color theme="1"/>
        <rFont val="Times New Roman"/>
        <family val="1"/>
      </rPr>
      <t>ct</t>
    </r>
    <r>
      <rPr>
        <sz val="10"/>
        <color theme="1"/>
        <rFont val="Times New Roman"/>
        <family val="1"/>
      </rPr>
      <t>=</t>
    </r>
  </si>
  <si>
    <r>
      <rPr>
        <sz val="10"/>
        <rFont val="Times New Roman"/>
        <family val="1"/>
      </rPr>
      <t>α</t>
    </r>
    <r>
      <rPr>
        <vertAlign val="subscript"/>
        <sz val="10"/>
        <rFont val="Times New Roman"/>
        <family val="1"/>
      </rPr>
      <t>ct</t>
    </r>
    <r>
      <rPr>
        <sz val="10"/>
        <rFont val="Times New Roman"/>
        <family val="1"/>
      </rPr>
      <t>γf</t>
    </r>
    <r>
      <rPr>
        <vertAlign val="subscript"/>
        <sz val="10"/>
        <rFont val="Times New Roman"/>
        <family val="1"/>
      </rPr>
      <t>tk</t>
    </r>
    <r>
      <rPr>
        <sz val="10"/>
        <rFont val="Times New Roman"/>
        <family val="1"/>
      </rPr>
      <t>=</t>
    </r>
  </si>
  <si>
    <r>
      <rPr>
        <sz val="10"/>
        <rFont val="Times New Roman"/>
        <family val="1"/>
      </rPr>
      <t>σ</t>
    </r>
    <r>
      <rPr>
        <vertAlign val="subscript"/>
        <sz val="10"/>
        <rFont val="Times New Roman"/>
        <family val="1"/>
      </rPr>
      <t>ck1</t>
    </r>
    <r>
      <rPr>
        <sz val="10"/>
        <rFont val="Times New Roman"/>
        <family val="1"/>
      </rPr>
      <t>-σ</t>
    </r>
    <r>
      <rPr>
        <vertAlign val="subscript"/>
        <sz val="10"/>
        <rFont val="Times New Roman"/>
        <family val="1"/>
      </rPr>
      <t>pc</t>
    </r>
  </si>
  <si>
    <r>
      <rPr>
        <sz val="10"/>
        <rFont val="Times New Roman"/>
        <family val="1"/>
      </rPr>
      <t>α</t>
    </r>
    <r>
      <rPr>
        <vertAlign val="subscript"/>
        <sz val="10"/>
        <rFont val="Times New Roman"/>
        <family val="1"/>
      </rPr>
      <t>ct</t>
    </r>
    <r>
      <rPr>
        <sz val="10"/>
        <rFont val="Times New Roman"/>
        <family val="1"/>
      </rPr>
      <t>γf</t>
    </r>
    <r>
      <rPr>
        <vertAlign val="subscript"/>
        <sz val="10"/>
        <rFont val="Times New Roman"/>
        <family val="1"/>
      </rPr>
      <t>tk</t>
    </r>
  </si>
  <si>
    <t>表10 斜截面抗裂验算</t>
  </si>
  <si>
    <r>
      <rPr>
        <sz val="10"/>
        <rFont val="宋体"/>
        <charset val="134"/>
      </rPr>
      <t>截面位置选在距支座</t>
    </r>
    <r>
      <rPr>
        <sz val="10"/>
        <rFont val="Times New Roman"/>
        <family val="1"/>
      </rPr>
      <t>L</t>
    </r>
    <r>
      <rPr>
        <vertAlign val="subscript"/>
        <sz val="10"/>
        <rFont val="Times New Roman"/>
        <family val="1"/>
      </rPr>
      <t>1</t>
    </r>
    <r>
      <rPr>
        <sz val="10"/>
        <rFont val="Times New Roman"/>
        <family val="1"/>
      </rPr>
      <t>=</t>
    </r>
  </si>
  <si>
    <r>
      <rPr>
        <sz val="10"/>
        <rFont val="宋体"/>
        <charset val="134"/>
      </rPr>
      <t>设计工况下槽身均布荷载标准值</t>
    </r>
    <r>
      <rPr>
        <sz val="10"/>
        <rFont val="Times New Roman"/>
        <family val="1"/>
      </rPr>
      <t>q</t>
    </r>
    <r>
      <rPr>
        <vertAlign val="subscript"/>
        <sz val="10"/>
        <rFont val="Times New Roman"/>
        <family val="1"/>
      </rPr>
      <t>0s</t>
    </r>
    <r>
      <rPr>
        <sz val="10"/>
        <rFont val="Times New Roman"/>
        <family val="1"/>
      </rPr>
      <t>=</t>
    </r>
  </si>
  <si>
    <r>
      <rPr>
        <sz val="10"/>
        <rFont val="Times New Roman"/>
        <family val="1"/>
      </rPr>
      <t>M</t>
    </r>
    <r>
      <rPr>
        <vertAlign val="subscript"/>
        <sz val="10"/>
        <rFont val="Times New Roman"/>
        <family val="1"/>
      </rPr>
      <t>L1</t>
    </r>
    <r>
      <rPr>
        <sz val="10"/>
        <rFont val="Times New Roman"/>
        <family val="1"/>
      </rPr>
      <t>=0.5q</t>
    </r>
    <r>
      <rPr>
        <vertAlign val="subscript"/>
        <sz val="10"/>
        <rFont val="Times New Roman"/>
        <family val="1"/>
      </rPr>
      <t>0s</t>
    </r>
    <r>
      <rPr>
        <sz val="10"/>
        <rFont val="Times New Roman"/>
        <family val="1"/>
      </rPr>
      <t>L</t>
    </r>
    <r>
      <rPr>
        <vertAlign val="subscript"/>
        <sz val="10"/>
        <rFont val="Times New Roman"/>
        <family val="1"/>
      </rPr>
      <t>0</t>
    </r>
    <r>
      <rPr>
        <sz val="10"/>
        <rFont val="Times New Roman"/>
        <family val="1"/>
      </rPr>
      <t>L</t>
    </r>
    <r>
      <rPr>
        <vertAlign val="subscript"/>
        <sz val="10"/>
        <rFont val="Times New Roman"/>
        <family val="1"/>
      </rPr>
      <t>1</t>
    </r>
    <r>
      <rPr>
        <sz val="10"/>
        <rFont val="Times New Roman"/>
        <family val="1"/>
      </rPr>
      <t>-q</t>
    </r>
    <r>
      <rPr>
        <vertAlign val="subscript"/>
        <sz val="10"/>
        <rFont val="Times New Roman"/>
        <family val="1"/>
      </rPr>
      <t>0s</t>
    </r>
    <r>
      <rPr>
        <sz val="10"/>
        <rFont val="Times New Roman"/>
        <family val="1"/>
      </rPr>
      <t>L</t>
    </r>
    <r>
      <rPr>
        <vertAlign val="subscript"/>
        <sz val="10"/>
        <rFont val="Times New Roman"/>
        <family val="1"/>
      </rPr>
      <t>1</t>
    </r>
    <r>
      <rPr>
        <vertAlign val="superscript"/>
        <sz val="10"/>
        <rFont val="Times New Roman"/>
        <family val="1"/>
      </rPr>
      <t>2</t>
    </r>
    <r>
      <rPr>
        <sz val="10"/>
        <rFont val="Times New Roman"/>
        <family val="1"/>
      </rPr>
      <t>/2=</t>
    </r>
  </si>
  <si>
    <r>
      <rPr>
        <sz val="10"/>
        <rFont val="Times New Roman"/>
        <family val="1"/>
      </rPr>
      <t>V</t>
    </r>
    <r>
      <rPr>
        <vertAlign val="subscript"/>
        <sz val="10"/>
        <rFont val="Times New Roman"/>
        <family val="1"/>
      </rPr>
      <t>L1</t>
    </r>
    <r>
      <rPr>
        <sz val="10"/>
        <rFont val="Times New Roman"/>
        <family val="1"/>
      </rPr>
      <t>=0.5q</t>
    </r>
    <r>
      <rPr>
        <vertAlign val="subscript"/>
        <sz val="10"/>
        <rFont val="Times New Roman"/>
        <family val="1"/>
      </rPr>
      <t>0s</t>
    </r>
    <r>
      <rPr>
        <sz val="10"/>
        <rFont val="Times New Roman"/>
        <family val="1"/>
      </rPr>
      <t>L</t>
    </r>
    <r>
      <rPr>
        <vertAlign val="subscript"/>
        <sz val="10"/>
        <rFont val="Times New Roman"/>
        <family val="1"/>
      </rPr>
      <t>0</t>
    </r>
    <r>
      <rPr>
        <sz val="10"/>
        <rFont val="Times New Roman"/>
        <family val="1"/>
      </rPr>
      <t>-q</t>
    </r>
    <r>
      <rPr>
        <vertAlign val="subscript"/>
        <sz val="10"/>
        <rFont val="Times New Roman"/>
        <family val="1"/>
      </rPr>
      <t>0s</t>
    </r>
    <r>
      <rPr>
        <sz val="10"/>
        <rFont val="Times New Roman"/>
        <family val="1"/>
      </rPr>
      <t>L</t>
    </r>
    <r>
      <rPr>
        <vertAlign val="subscript"/>
        <sz val="10"/>
        <rFont val="Times New Roman"/>
        <family val="1"/>
      </rPr>
      <t>1</t>
    </r>
    <r>
      <rPr>
        <sz val="10"/>
        <rFont val="Times New Roman"/>
        <family val="1"/>
      </rPr>
      <t>=</t>
    </r>
  </si>
  <si>
    <t>校核选定截面换算截面重心处:</t>
  </si>
  <si>
    <r>
      <rPr>
        <sz val="10"/>
        <rFont val="Times New Roman"/>
        <family val="1"/>
      </rPr>
      <t>S</t>
    </r>
    <r>
      <rPr>
        <vertAlign val="subscript"/>
        <sz val="10"/>
        <rFont val="Times New Roman"/>
        <family val="1"/>
      </rPr>
      <t>0</t>
    </r>
    <r>
      <rPr>
        <sz val="10"/>
        <rFont val="Times New Roman"/>
        <family val="1"/>
      </rPr>
      <t>=b'</t>
    </r>
    <r>
      <rPr>
        <vertAlign val="subscript"/>
        <sz val="10"/>
        <rFont val="Times New Roman"/>
        <family val="1"/>
      </rPr>
      <t>f</t>
    </r>
    <r>
      <rPr>
        <sz val="10"/>
        <rFont val="Times New Roman"/>
        <family val="1"/>
      </rPr>
      <t>h'f(y</t>
    </r>
    <r>
      <rPr>
        <vertAlign val="subscript"/>
        <sz val="10"/>
        <rFont val="Times New Roman"/>
        <family val="1"/>
      </rPr>
      <t>o1</t>
    </r>
    <r>
      <rPr>
        <sz val="10"/>
        <rFont val="Times New Roman"/>
        <family val="1"/>
      </rPr>
      <t>-h'f/2)+b(y</t>
    </r>
    <r>
      <rPr>
        <vertAlign val="subscript"/>
        <sz val="10"/>
        <rFont val="Times New Roman"/>
        <family val="1"/>
      </rPr>
      <t>o1</t>
    </r>
    <r>
      <rPr>
        <sz val="10"/>
        <rFont val="Times New Roman"/>
        <family val="1"/>
      </rPr>
      <t>-h</t>
    </r>
    <r>
      <rPr>
        <sz val="10"/>
        <rFont val="宋体"/>
        <charset val="134"/>
      </rPr>
      <t>′</t>
    </r>
    <r>
      <rPr>
        <vertAlign val="subscript"/>
        <sz val="10"/>
        <rFont val="Times New Roman"/>
        <family val="1"/>
      </rPr>
      <t>f</t>
    </r>
    <r>
      <rPr>
        <sz val="10"/>
        <rFont val="Times New Roman"/>
        <family val="1"/>
      </rPr>
      <t>)</t>
    </r>
    <r>
      <rPr>
        <vertAlign val="superscript"/>
        <sz val="10"/>
        <rFont val="Times New Roman"/>
        <family val="1"/>
      </rPr>
      <t>2</t>
    </r>
    <r>
      <rPr>
        <sz val="10"/>
        <rFont val="Times New Roman"/>
        <family val="1"/>
      </rPr>
      <t>/2=</t>
    </r>
  </si>
  <si>
    <r>
      <rPr>
        <sz val="10"/>
        <rFont val="Times New Roman"/>
        <family val="1"/>
      </rPr>
      <t>τ</t>
    </r>
    <r>
      <rPr>
        <vertAlign val="subscript"/>
        <sz val="10"/>
        <rFont val="Times New Roman"/>
        <family val="1"/>
      </rPr>
      <t>1</t>
    </r>
    <r>
      <rPr>
        <sz val="10"/>
        <rFont val="Times New Roman"/>
        <family val="1"/>
      </rPr>
      <t>=</t>
    </r>
    <r>
      <rPr>
        <sz val="10"/>
        <rFont val="宋体"/>
        <charset val="134"/>
      </rPr>
      <t>（</t>
    </r>
    <r>
      <rPr>
        <sz val="10"/>
        <rFont val="Times New Roman"/>
        <family val="1"/>
      </rPr>
      <t>V</t>
    </r>
    <r>
      <rPr>
        <vertAlign val="subscript"/>
        <sz val="10"/>
        <rFont val="Times New Roman"/>
        <family val="1"/>
      </rPr>
      <t>L1</t>
    </r>
    <r>
      <rPr>
        <sz val="10"/>
        <rFont val="Times New Roman"/>
        <family val="1"/>
      </rPr>
      <t>-Σσ</t>
    </r>
    <r>
      <rPr>
        <vertAlign val="subscript"/>
        <sz val="10"/>
        <rFont val="Times New Roman"/>
        <family val="1"/>
      </rPr>
      <t>pe</t>
    </r>
    <r>
      <rPr>
        <sz val="10"/>
        <rFont val="Times New Roman"/>
        <family val="1"/>
      </rPr>
      <t>A</t>
    </r>
    <r>
      <rPr>
        <vertAlign val="subscript"/>
        <sz val="10"/>
        <rFont val="Times New Roman"/>
        <family val="1"/>
      </rPr>
      <t>pb</t>
    </r>
    <r>
      <rPr>
        <sz val="10"/>
        <rFont val="Times New Roman"/>
        <family val="1"/>
      </rPr>
      <t>sinα</t>
    </r>
    <r>
      <rPr>
        <vertAlign val="subscript"/>
        <sz val="10"/>
        <rFont val="Times New Roman"/>
        <family val="1"/>
      </rPr>
      <t>p</t>
    </r>
    <r>
      <rPr>
        <sz val="10"/>
        <rFont val="Times New Roman"/>
        <family val="1"/>
      </rPr>
      <t>)S</t>
    </r>
    <r>
      <rPr>
        <vertAlign val="subscript"/>
        <sz val="10"/>
        <rFont val="Times New Roman"/>
        <family val="1"/>
      </rPr>
      <t>0</t>
    </r>
    <r>
      <rPr>
        <sz val="10"/>
        <rFont val="Times New Roman"/>
        <family val="1"/>
      </rPr>
      <t>/I</t>
    </r>
    <r>
      <rPr>
        <vertAlign val="subscript"/>
        <sz val="10"/>
        <rFont val="Times New Roman"/>
        <family val="1"/>
      </rPr>
      <t>0</t>
    </r>
    <r>
      <rPr>
        <sz val="10"/>
        <rFont val="Times New Roman"/>
        <family val="1"/>
      </rPr>
      <t>b=</t>
    </r>
  </si>
  <si>
    <r>
      <rPr>
        <sz val="10"/>
        <rFont val="宋体"/>
        <charset val="134"/>
      </rPr>
      <t>换算截面重心至计算纤维距离</t>
    </r>
    <r>
      <rPr>
        <sz val="10"/>
        <rFont val="Times New Roman"/>
        <family val="1"/>
      </rPr>
      <t>y</t>
    </r>
    <r>
      <rPr>
        <vertAlign val="subscript"/>
        <sz val="10"/>
        <rFont val="Times New Roman"/>
        <family val="1"/>
      </rPr>
      <t>0</t>
    </r>
    <r>
      <rPr>
        <sz val="10"/>
        <rFont val="Times New Roman"/>
        <family val="1"/>
      </rPr>
      <t>=y</t>
    </r>
    <r>
      <rPr>
        <vertAlign val="subscript"/>
        <sz val="10"/>
        <rFont val="Times New Roman"/>
        <family val="1"/>
      </rPr>
      <t>01</t>
    </r>
    <r>
      <rPr>
        <sz val="10"/>
        <rFont val="Times New Roman"/>
        <family val="1"/>
      </rPr>
      <t>-y</t>
    </r>
    <r>
      <rPr>
        <vertAlign val="subscript"/>
        <sz val="10"/>
        <rFont val="Times New Roman"/>
        <family val="1"/>
      </rPr>
      <t>01</t>
    </r>
    <r>
      <rPr>
        <sz val="10"/>
        <rFont val="Times New Roman"/>
        <family val="1"/>
      </rPr>
      <t>=</t>
    </r>
  </si>
  <si>
    <r>
      <rPr>
        <sz val="10"/>
        <rFont val="宋体"/>
        <charset val="134"/>
      </rPr>
      <t>净截面重心轴至计算纤维距离</t>
    </r>
    <r>
      <rPr>
        <sz val="10"/>
        <rFont val="Times New Roman"/>
        <family val="1"/>
      </rPr>
      <t>y</t>
    </r>
    <r>
      <rPr>
        <vertAlign val="subscript"/>
        <sz val="10"/>
        <rFont val="Times New Roman"/>
        <family val="1"/>
      </rPr>
      <t>n</t>
    </r>
    <r>
      <rPr>
        <sz val="10"/>
        <rFont val="Times New Roman"/>
        <family val="1"/>
      </rPr>
      <t>=y</t>
    </r>
    <r>
      <rPr>
        <vertAlign val="subscript"/>
        <sz val="10"/>
        <rFont val="Times New Roman"/>
        <family val="1"/>
      </rPr>
      <t>n1</t>
    </r>
    <r>
      <rPr>
        <sz val="10"/>
        <rFont val="Times New Roman"/>
        <family val="1"/>
      </rPr>
      <t>-y</t>
    </r>
    <r>
      <rPr>
        <vertAlign val="subscript"/>
        <sz val="10"/>
        <rFont val="Times New Roman"/>
        <family val="1"/>
      </rPr>
      <t>01</t>
    </r>
    <r>
      <rPr>
        <sz val="10"/>
        <rFont val="Times New Roman"/>
        <family val="1"/>
      </rPr>
      <t>=</t>
    </r>
  </si>
  <si>
    <r>
      <rPr>
        <sz val="10"/>
        <rFont val="宋体"/>
        <charset val="134"/>
      </rPr>
      <t>压应力以负值带入</t>
    </r>
    <r>
      <rPr>
        <sz val="10"/>
        <rFont val="Times New Roman"/>
        <family val="1"/>
      </rPr>
      <t>,σ</t>
    </r>
    <r>
      <rPr>
        <vertAlign val="subscript"/>
        <sz val="10"/>
        <rFont val="Times New Roman"/>
        <family val="1"/>
      </rPr>
      <t>x</t>
    </r>
    <r>
      <rPr>
        <sz val="10"/>
        <rFont val="Times New Roman"/>
        <family val="1"/>
      </rPr>
      <t>=σ</t>
    </r>
    <r>
      <rPr>
        <vertAlign val="subscript"/>
        <sz val="10"/>
        <rFont val="Times New Roman"/>
        <family val="1"/>
      </rPr>
      <t>pc</t>
    </r>
    <r>
      <rPr>
        <sz val="10"/>
        <rFont val="Times New Roman"/>
        <family val="1"/>
      </rPr>
      <t>+M</t>
    </r>
    <r>
      <rPr>
        <vertAlign val="subscript"/>
        <sz val="10"/>
        <rFont val="Times New Roman"/>
        <family val="1"/>
      </rPr>
      <t>L1</t>
    </r>
    <r>
      <rPr>
        <sz val="10"/>
        <rFont val="Times New Roman"/>
        <family val="1"/>
      </rPr>
      <t>y</t>
    </r>
    <r>
      <rPr>
        <vertAlign val="subscript"/>
        <sz val="10"/>
        <rFont val="Times New Roman"/>
        <family val="1"/>
      </rPr>
      <t>o</t>
    </r>
    <r>
      <rPr>
        <sz val="10"/>
        <rFont val="Times New Roman"/>
        <family val="1"/>
      </rPr>
      <t>/I</t>
    </r>
    <r>
      <rPr>
        <vertAlign val="subscript"/>
        <sz val="10"/>
        <rFont val="Times New Roman"/>
        <family val="1"/>
      </rPr>
      <t>0</t>
    </r>
    <r>
      <rPr>
        <sz val="10"/>
        <rFont val="Times New Roman"/>
        <family val="1"/>
      </rPr>
      <t>=</t>
    </r>
  </si>
  <si>
    <r>
      <rPr>
        <sz val="10"/>
        <rFont val="宋体"/>
        <charset val="134"/>
      </rPr>
      <t>竖向压应力</t>
    </r>
    <r>
      <rPr>
        <sz val="10"/>
        <rFont val="Times New Roman"/>
        <family val="1"/>
      </rPr>
      <t>σ</t>
    </r>
    <r>
      <rPr>
        <vertAlign val="subscript"/>
        <sz val="10"/>
        <rFont val="Times New Roman"/>
        <family val="1"/>
      </rPr>
      <t>y</t>
    </r>
    <r>
      <rPr>
        <sz val="10"/>
        <rFont val="Times New Roman"/>
        <family val="1"/>
      </rPr>
      <t>=</t>
    </r>
  </si>
  <si>
    <r>
      <rPr>
        <sz val="10"/>
        <color theme="1"/>
        <rFont val="Times New Roman"/>
        <family val="1"/>
      </rPr>
      <t>σ</t>
    </r>
    <r>
      <rPr>
        <vertAlign val="subscript"/>
        <sz val="10"/>
        <color theme="1"/>
        <rFont val="Times New Roman"/>
        <family val="1"/>
      </rPr>
      <t>tp</t>
    </r>
  </si>
  <si>
    <r>
      <rPr>
        <sz val="10"/>
        <color theme="1"/>
        <rFont val="Times New Roman"/>
        <family val="1"/>
      </rPr>
      <t>σ</t>
    </r>
    <r>
      <rPr>
        <vertAlign val="subscript"/>
        <sz val="10"/>
        <color theme="1"/>
        <rFont val="Times New Roman"/>
        <family val="1"/>
      </rPr>
      <t>cp</t>
    </r>
  </si>
  <si>
    <r>
      <rPr>
        <sz val="10"/>
        <rFont val="Times New Roman"/>
        <family val="1"/>
      </rPr>
      <t>0.85f</t>
    </r>
    <r>
      <rPr>
        <vertAlign val="subscript"/>
        <sz val="10"/>
        <rFont val="Times New Roman"/>
        <family val="1"/>
      </rPr>
      <t>tk</t>
    </r>
    <r>
      <rPr>
        <sz val="10"/>
        <rFont val="Times New Roman"/>
        <family val="1"/>
      </rPr>
      <t>=</t>
    </r>
  </si>
  <si>
    <r>
      <rPr>
        <sz val="10"/>
        <rFont val="Times New Roman"/>
        <family val="1"/>
      </rPr>
      <t>0.6f</t>
    </r>
    <r>
      <rPr>
        <vertAlign val="subscript"/>
        <sz val="10"/>
        <rFont val="Times New Roman"/>
        <family val="1"/>
      </rPr>
      <t>ck</t>
    </r>
    <r>
      <rPr>
        <sz val="10"/>
        <rFont val="Times New Roman"/>
        <family val="1"/>
      </rPr>
      <t>=</t>
    </r>
  </si>
  <si>
    <t>校核选定截面上翼缘与腹板交接处:</t>
  </si>
  <si>
    <r>
      <rPr>
        <sz val="10"/>
        <rFont val="Times New Roman"/>
        <family val="1"/>
      </rPr>
      <t>S</t>
    </r>
    <r>
      <rPr>
        <vertAlign val="subscript"/>
        <sz val="10"/>
        <rFont val="Times New Roman"/>
        <family val="1"/>
      </rPr>
      <t>0</t>
    </r>
    <r>
      <rPr>
        <sz val="10"/>
        <rFont val="Times New Roman"/>
        <family val="1"/>
      </rPr>
      <t>=b'</t>
    </r>
    <r>
      <rPr>
        <vertAlign val="subscript"/>
        <sz val="10"/>
        <rFont val="Times New Roman"/>
        <family val="1"/>
      </rPr>
      <t>f</t>
    </r>
    <r>
      <rPr>
        <sz val="10"/>
        <rFont val="Times New Roman"/>
        <family val="1"/>
      </rPr>
      <t>h'f(y</t>
    </r>
    <r>
      <rPr>
        <vertAlign val="subscript"/>
        <sz val="10"/>
        <rFont val="Times New Roman"/>
        <family val="1"/>
      </rPr>
      <t>o1</t>
    </r>
    <r>
      <rPr>
        <sz val="10"/>
        <rFont val="Times New Roman"/>
        <family val="1"/>
      </rPr>
      <t>-h'f/2)=</t>
    </r>
  </si>
  <si>
    <r>
      <rPr>
        <sz val="10"/>
        <rFont val="宋体"/>
        <charset val="134"/>
      </rPr>
      <t>换算截面重心至计算纤维距离</t>
    </r>
    <r>
      <rPr>
        <sz val="10"/>
        <rFont val="Times New Roman"/>
        <family val="1"/>
      </rPr>
      <t>y</t>
    </r>
    <r>
      <rPr>
        <vertAlign val="subscript"/>
        <sz val="10"/>
        <rFont val="Times New Roman"/>
        <family val="1"/>
      </rPr>
      <t>0</t>
    </r>
    <r>
      <rPr>
        <sz val="10"/>
        <rFont val="Times New Roman"/>
        <family val="1"/>
      </rPr>
      <t>=y</t>
    </r>
    <r>
      <rPr>
        <vertAlign val="subscript"/>
        <sz val="10"/>
        <rFont val="Times New Roman"/>
        <family val="1"/>
      </rPr>
      <t>01</t>
    </r>
    <r>
      <rPr>
        <sz val="10"/>
        <rFont val="Times New Roman"/>
        <family val="1"/>
      </rPr>
      <t>-h'</t>
    </r>
    <r>
      <rPr>
        <vertAlign val="subscript"/>
        <sz val="10"/>
        <rFont val="Times New Roman"/>
        <family val="1"/>
      </rPr>
      <t>f</t>
    </r>
    <r>
      <rPr>
        <sz val="10"/>
        <rFont val="Times New Roman"/>
        <family val="1"/>
      </rPr>
      <t>=</t>
    </r>
  </si>
  <si>
    <r>
      <rPr>
        <sz val="10"/>
        <rFont val="宋体"/>
        <charset val="134"/>
      </rPr>
      <t>净截面重心轴至计算纤维距离</t>
    </r>
    <r>
      <rPr>
        <sz val="10"/>
        <rFont val="Times New Roman"/>
        <family val="1"/>
      </rPr>
      <t>y</t>
    </r>
    <r>
      <rPr>
        <vertAlign val="subscript"/>
        <sz val="10"/>
        <rFont val="Times New Roman"/>
        <family val="1"/>
      </rPr>
      <t>n</t>
    </r>
    <r>
      <rPr>
        <sz val="10"/>
        <rFont val="Times New Roman"/>
        <family val="1"/>
      </rPr>
      <t>=y</t>
    </r>
    <r>
      <rPr>
        <vertAlign val="subscript"/>
        <sz val="10"/>
        <rFont val="Times New Roman"/>
        <family val="1"/>
      </rPr>
      <t>n1</t>
    </r>
    <r>
      <rPr>
        <sz val="10"/>
        <rFont val="Times New Roman"/>
        <family val="1"/>
      </rPr>
      <t>-h'</t>
    </r>
    <r>
      <rPr>
        <vertAlign val="subscript"/>
        <sz val="10"/>
        <rFont val="Times New Roman"/>
        <family val="1"/>
      </rPr>
      <t>f</t>
    </r>
    <r>
      <rPr>
        <sz val="10"/>
        <rFont val="Times New Roman"/>
        <family val="1"/>
      </rPr>
      <t>=</t>
    </r>
  </si>
  <si>
    <r>
      <rPr>
        <sz val="10"/>
        <rFont val="宋体"/>
        <charset val="134"/>
      </rPr>
      <t>拉应力以正值带入</t>
    </r>
    <r>
      <rPr>
        <sz val="10"/>
        <rFont val="Times New Roman"/>
        <family val="1"/>
      </rPr>
      <t>,σ</t>
    </r>
    <r>
      <rPr>
        <vertAlign val="subscript"/>
        <sz val="10"/>
        <rFont val="Times New Roman"/>
        <family val="1"/>
      </rPr>
      <t>x</t>
    </r>
    <r>
      <rPr>
        <sz val="10"/>
        <rFont val="Times New Roman"/>
        <family val="1"/>
      </rPr>
      <t>=σ</t>
    </r>
    <r>
      <rPr>
        <vertAlign val="subscript"/>
        <sz val="10"/>
        <rFont val="Times New Roman"/>
        <family val="1"/>
      </rPr>
      <t>pc</t>
    </r>
    <r>
      <rPr>
        <sz val="10"/>
        <rFont val="Times New Roman"/>
        <family val="1"/>
      </rPr>
      <t>+M</t>
    </r>
    <r>
      <rPr>
        <vertAlign val="subscript"/>
        <sz val="10"/>
        <rFont val="Times New Roman"/>
        <family val="1"/>
      </rPr>
      <t>L1</t>
    </r>
    <r>
      <rPr>
        <sz val="10"/>
        <rFont val="Times New Roman"/>
        <family val="1"/>
      </rPr>
      <t>y</t>
    </r>
    <r>
      <rPr>
        <vertAlign val="subscript"/>
        <sz val="10"/>
        <rFont val="Times New Roman"/>
        <family val="1"/>
      </rPr>
      <t>o</t>
    </r>
    <r>
      <rPr>
        <sz val="10"/>
        <rFont val="Times New Roman"/>
        <family val="1"/>
      </rPr>
      <t>/I</t>
    </r>
    <r>
      <rPr>
        <vertAlign val="subscript"/>
        <sz val="10"/>
        <rFont val="Times New Roman"/>
        <family val="1"/>
      </rPr>
      <t>0</t>
    </r>
    <r>
      <rPr>
        <sz val="10"/>
        <rFont val="Times New Roman"/>
        <family val="1"/>
      </rPr>
      <t>=</t>
    </r>
  </si>
  <si>
    <t>表11 挠度验算</t>
  </si>
  <si>
    <r>
      <rPr>
        <sz val="10"/>
        <rFont val="宋体"/>
        <charset val="134"/>
        <scheme val="minor"/>
      </rPr>
      <t>荷载效应标准组合作用下预应力混凝土受弯构件的短期钢度B</t>
    </r>
    <r>
      <rPr>
        <vertAlign val="subscript"/>
        <sz val="10"/>
        <rFont val="宋体"/>
        <charset val="134"/>
        <scheme val="minor"/>
      </rPr>
      <t>ps</t>
    </r>
    <r>
      <rPr>
        <sz val="10"/>
        <rFont val="宋体"/>
        <charset val="134"/>
        <scheme val="minor"/>
      </rPr>
      <t>：</t>
    </r>
  </si>
  <si>
    <r>
      <rPr>
        <sz val="10"/>
        <rFont val="宋体"/>
        <charset val="134"/>
        <scheme val="minor"/>
      </rPr>
      <t>B</t>
    </r>
    <r>
      <rPr>
        <vertAlign val="subscript"/>
        <sz val="10"/>
        <rFont val="宋体"/>
        <charset val="134"/>
        <scheme val="minor"/>
      </rPr>
      <t>ps</t>
    </r>
    <r>
      <rPr>
        <sz val="10"/>
        <rFont val="宋体"/>
        <charset val="134"/>
        <scheme val="minor"/>
      </rPr>
      <t>=0.85E</t>
    </r>
    <r>
      <rPr>
        <vertAlign val="subscript"/>
        <sz val="10"/>
        <rFont val="宋体"/>
        <charset val="134"/>
        <scheme val="minor"/>
      </rPr>
      <t>c</t>
    </r>
    <r>
      <rPr>
        <sz val="10"/>
        <rFont val="宋体"/>
        <charset val="134"/>
        <scheme val="minor"/>
      </rPr>
      <t>I</t>
    </r>
    <r>
      <rPr>
        <vertAlign val="subscript"/>
        <sz val="10"/>
        <rFont val="宋体"/>
        <charset val="134"/>
        <scheme val="minor"/>
      </rPr>
      <t>0</t>
    </r>
    <r>
      <rPr>
        <sz val="10"/>
        <rFont val="宋体"/>
        <charset val="134"/>
        <scheme val="minor"/>
      </rPr>
      <t>=</t>
    </r>
  </si>
  <si>
    <r>
      <rPr>
        <sz val="10"/>
        <rFont val="宋体"/>
        <charset val="134"/>
        <scheme val="minor"/>
      </rPr>
      <t>N.mm</t>
    </r>
    <r>
      <rPr>
        <vertAlign val="superscript"/>
        <sz val="10"/>
        <rFont val="宋体"/>
        <charset val="134"/>
        <scheme val="minor"/>
      </rPr>
      <t>2</t>
    </r>
  </si>
  <si>
    <t>该计算办法不允许裂缝</t>
  </si>
  <si>
    <r>
      <rPr>
        <sz val="10"/>
        <rFont val="宋体"/>
        <charset val="134"/>
        <scheme val="minor"/>
      </rPr>
      <t>荷载效应标准组合作用下预应力混凝土受弯构件的长期钢度B</t>
    </r>
    <r>
      <rPr>
        <vertAlign val="subscript"/>
        <sz val="10"/>
        <rFont val="宋体"/>
        <charset val="134"/>
        <scheme val="minor"/>
      </rPr>
      <t>pl</t>
    </r>
    <r>
      <rPr>
        <sz val="10"/>
        <rFont val="宋体"/>
        <charset val="134"/>
        <scheme val="minor"/>
      </rPr>
      <t>：</t>
    </r>
  </si>
  <si>
    <r>
      <rPr>
        <sz val="10"/>
        <rFont val="宋体"/>
        <charset val="134"/>
        <scheme val="minor"/>
      </rPr>
      <t>B</t>
    </r>
    <r>
      <rPr>
        <vertAlign val="subscript"/>
        <sz val="10"/>
        <rFont val="宋体"/>
        <charset val="134"/>
        <scheme val="minor"/>
      </rPr>
      <t>pl</t>
    </r>
    <r>
      <rPr>
        <sz val="10"/>
        <rFont val="宋体"/>
        <charset val="134"/>
        <scheme val="minor"/>
      </rPr>
      <t>=0.65B</t>
    </r>
    <r>
      <rPr>
        <vertAlign val="subscript"/>
        <sz val="10"/>
        <rFont val="宋体"/>
        <charset val="134"/>
        <scheme val="minor"/>
      </rPr>
      <t>ps</t>
    </r>
    <r>
      <rPr>
        <sz val="10"/>
        <rFont val="宋体"/>
        <charset val="134"/>
        <scheme val="minor"/>
      </rPr>
      <t>=</t>
    </r>
  </si>
  <si>
    <r>
      <rPr>
        <sz val="10"/>
        <color theme="1"/>
        <rFont val="宋体"/>
        <charset val="134"/>
        <scheme val="minor"/>
      </rPr>
      <t>荷载效应标准组合作用下的挠度f</t>
    </r>
    <r>
      <rPr>
        <vertAlign val="subscript"/>
        <sz val="10"/>
        <color theme="1"/>
        <rFont val="宋体"/>
        <charset val="134"/>
        <scheme val="minor"/>
      </rPr>
      <t>1k</t>
    </r>
    <r>
      <rPr>
        <sz val="10"/>
        <color theme="1"/>
        <rFont val="宋体"/>
        <charset val="134"/>
        <scheme val="minor"/>
      </rPr>
      <t>=5M</t>
    </r>
    <r>
      <rPr>
        <vertAlign val="subscript"/>
        <sz val="10"/>
        <color theme="1"/>
        <rFont val="宋体"/>
        <charset val="134"/>
        <scheme val="minor"/>
      </rPr>
      <t>ks</t>
    </r>
    <r>
      <rPr>
        <sz val="10"/>
        <color theme="1"/>
        <rFont val="宋体"/>
        <charset val="134"/>
        <scheme val="minor"/>
      </rPr>
      <t>l</t>
    </r>
    <r>
      <rPr>
        <vertAlign val="subscript"/>
        <sz val="10"/>
        <color theme="1"/>
        <rFont val="宋体"/>
        <charset val="134"/>
        <scheme val="minor"/>
      </rPr>
      <t>0</t>
    </r>
    <r>
      <rPr>
        <vertAlign val="superscript"/>
        <sz val="10"/>
        <color theme="1"/>
        <rFont val="宋体"/>
        <charset val="134"/>
        <scheme val="minor"/>
      </rPr>
      <t>2</t>
    </r>
    <r>
      <rPr>
        <sz val="10"/>
        <color theme="1"/>
        <rFont val="宋体"/>
        <charset val="134"/>
        <scheme val="minor"/>
      </rPr>
      <t>/(48B</t>
    </r>
    <r>
      <rPr>
        <vertAlign val="subscript"/>
        <sz val="10"/>
        <color theme="1"/>
        <rFont val="宋体"/>
        <charset val="134"/>
        <scheme val="minor"/>
      </rPr>
      <t>p1</t>
    </r>
    <r>
      <rPr>
        <sz val="10"/>
        <color theme="1"/>
        <rFont val="宋体"/>
        <charset val="134"/>
        <scheme val="minor"/>
      </rPr>
      <t>)=5q</t>
    </r>
    <r>
      <rPr>
        <vertAlign val="subscript"/>
        <sz val="10"/>
        <color theme="1"/>
        <rFont val="宋体"/>
        <charset val="134"/>
        <scheme val="minor"/>
      </rPr>
      <t>ks</t>
    </r>
    <r>
      <rPr>
        <sz val="10"/>
        <color theme="1"/>
        <rFont val="宋体"/>
        <charset val="134"/>
        <scheme val="minor"/>
      </rPr>
      <t>l</t>
    </r>
    <r>
      <rPr>
        <vertAlign val="subscript"/>
        <sz val="10"/>
        <color theme="1"/>
        <rFont val="宋体"/>
        <charset val="134"/>
        <scheme val="minor"/>
      </rPr>
      <t>0</t>
    </r>
    <r>
      <rPr>
        <vertAlign val="superscript"/>
        <sz val="10"/>
        <color theme="1"/>
        <rFont val="宋体"/>
        <charset val="134"/>
        <scheme val="minor"/>
      </rPr>
      <t>4</t>
    </r>
    <r>
      <rPr>
        <sz val="10"/>
        <color theme="1"/>
        <rFont val="宋体"/>
        <charset val="134"/>
        <scheme val="minor"/>
      </rPr>
      <t>/(384B</t>
    </r>
    <r>
      <rPr>
        <vertAlign val="subscript"/>
        <sz val="10"/>
        <color theme="1"/>
        <rFont val="宋体"/>
        <charset val="134"/>
        <scheme val="minor"/>
      </rPr>
      <t>p1</t>
    </r>
    <r>
      <rPr>
        <sz val="10"/>
        <color theme="1"/>
        <rFont val="宋体"/>
        <charset val="134"/>
        <scheme val="minor"/>
      </rPr>
      <t>)=</t>
    </r>
  </si>
  <si>
    <r>
      <rPr>
        <sz val="10"/>
        <rFont val="宋体"/>
        <charset val="134"/>
        <scheme val="minor"/>
      </rPr>
      <t>预加力产生的反拱值f</t>
    </r>
    <r>
      <rPr>
        <vertAlign val="subscript"/>
        <sz val="10"/>
        <rFont val="宋体"/>
        <charset val="134"/>
        <scheme val="minor"/>
      </rPr>
      <t>2</t>
    </r>
    <r>
      <rPr>
        <sz val="10"/>
        <rFont val="宋体"/>
        <charset val="134"/>
        <scheme val="minor"/>
      </rPr>
      <t>=N</t>
    </r>
    <r>
      <rPr>
        <vertAlign val="subscript"/>
        <sz val="10"/>
        <rFont val="宋体"/>
        <charset val="134"/>
        <scheme val="minor"/>
      </rPr>
      <t>P</t>
    </r>
    <r>
      <rPr>
        <sz val="10"/>
        <rFont val="宋体"/>
        <charset val="134"/>
        <scheme val="minor"/>
      </rPr>
      <t>e</t>
    </r>
    <r>
      <rPr>
        <vertAlign val="subscript"/>
        <sz val="10"/>
        <rFont val="宋体"/>
        <charset val="134"/>
        <scheme val="minor"/>
      </rPr>
      <t>pn</t>
    </r>
    <r>
      <rPr>
        <sz val="10"/>
        <rFont val="宋体"/>
        <charset val="134"/>
        <scheme val="minor"/>
      </rPr>
      <t>l</t>
    </r>
    <r>
      <rPr>
        <vertAlign val="subscript"/>
        <sz val="10"/>
        <rFont val="宋体"/>
        <charset val="134"/>
        <scheme val="minor"/>
      </rPr>
      <t>0</t>
    </r>
    <r>
      <rPr>
        <vertAlign val="superscript"/>
        <sz val="10"/>
        <rFont val="宋体"/>
        <charset val="134"/>
        <scheme val="minor"/>
      </rPr>
      <t>2</t>
    </r>
    <r>
      <rPr>
        <sz val="10"/>
        <rFont val="宋体"/>
        <charset val="134"/>
        <scheme val="minor"/>
      </rPr>
      <t>/8E</t>
    </r>
    <r>
      <rPr>
        <vertAlign val="subscript"/>
        <sz val="10"/>
        <rFont val="宋体"/>
        <charset val="134"/>
        <scheme val="minor"/>
      </rPr>
      <t>c</t>
    </r>
    <r>
      <rPr>
        <sz val="10"/>
        <rFont val="宋体"/>
        <charset val="134"/>
        <scheme val="minor"/>
      </rPr>
      <t>I</t>
    </r>
    <r>
      <rPr>
        <vertAlign val="subscript"/>
        <sz val="10"/>
        <rFont val="宋体"/>
        <charset val="134"/>
        <scheme val="minor"/>
      </rPr>
      <t>0</t>
    </r>
    <r>
      <rPr>
        <sz val="10"/>
        <rFont val="宋体"/>
        <charset val="134"/>
        <scheme val="minor"/>
      </rPr>
      <t>=</t>
    </r>
  </si>
  <si>
    <r>
      <rPr>
        <sz val="10"/>
        <color theme="1"/>
        <rFont val="宋体"/>
        <charset val="134"/>
        <scheme val="minor"/>
      </rPr>
      <t>外荷载和预应力作用下总挠度f=f</t>
    </r>
    <r>
      <rPr>
        <vertAlign val="subscript"/>
        <sz val="10"/>
        <color theme="1"/>
        <rFont val="宋体"/>
        <charset val="134"/>
        <scheme val="minor"/>
      </rPr>
      <t>1k</t>
    </r>
    <r>
      <rPr>
        <sz val="10"/>
        <color theme="1"/>
        <rFont val="宋体"/>
        <charset val="134"/>
        <scheme val="minor"/>
      </rPr>
      <t>-2f</t>
    </r>
    <r>
      <rPr>
        <vertAlign val="subscript"/>
        <sz val="10"/>
        <color theme="1"/>
        <rFont val="宋体"/>
        <charset val="134"/>
        <scheme val="minor"/>
      </rPr>
      <t>2</t>
    </r>
    <r>
      <rPr>
        <sz val="10"/>
        <color theme="1"/>
        <rFont val="宋体"/>
        <charset val="134"/>
        <scheme val="minor"/>
      </rPr>
      <t>=</t>
    </r>
  </si>
  <si>
    <r>
      <rPr>
        <sz val="10"/>
        <rFont val="宋体"/>
        <charset val="134"/>
        <scheme val="minor"/>
      </rPr>
      <t>[f]=l</t>
    </r>
    <r>
      <rPr>
        <vertAlign val="subscript"/>
        <sz val="10"/>
        <rFont val="宋体"/>
        <charset val="134"/>
        <scheme val="minor"/>
      </rPr>
      <t>0</t>
    </r>
    <r>
      <rPr>
        <sz val="10"/>
        <rFont val="宋体"/>
        <charset val="134"/>
        <scheme val="minor"/>
      </rPr>
      <t>/600=</t>
    </r>
  </si>
  <si>
    <r>
      <rPr>
        <sz val="10"/>
        <rFont val="宋体"/>
        <charset val="134"/>
      </rPr>
      <t>表</t>
    </r>
    <r>
      <rPr>
        <sz val="10"/>
        <rFont val="Times New Roman"/>
        <family val="1"/>
      </rPr>
      <t xml:space="preserve">12  </t>
    </r>
    <r>
      <rPr>
        <sz val="10"/>
        <rFont val="宋体"/>
        <charset val="134"/>
      </rPr>
      <t>施工阶段验算</t>
    </r>
  </si>
  <si>
    <r>
      <rPr>
        <sz val="10"/>
        <rFont val="宋体"/>
        <charset val="134"/>
      </rPr>
      <t>第一批预应力损失后预应力筋与非预应力筋合力</t>
    </r>
    <r>
      <rPr>
        <sz val="10"/>
        <rFont val="Times New Roman"/>
        <family val="1"/>
      </rPr>
      <t>Np</t>
    </r>
    <r>
      <rPr>
        <sz val="10"/>
        <rFont val="宋体"/>
        <charset val="134"/>
      </rPr>
      <t>Ⅰ</t>
    </r>
    <r>
      <rPr>
        <sz val="10"/>
        <rFont val="Times New Roman"/>
        <family val="1"/>
      </rPr>
      <t>=</t>
    </r>
  </si>
  <si>
    <r>
      <rPr>
        <sz val="10"/>
        <color theme="1"/>
        <rFont val="宋体"/>
        <charset val="134"/>
      </rPr>
      <t>第一批预应力损失后受拉区混凝土法向应力</t>
    </r>
    <r>
      <rPr>
        <sz val="10"/>
        <color theme="1"/>
        <rFont val="Times New Roman"/>
        <family val="1"/>
      </rPr>
      <t>σ</t>
    </r>
    <r>
      <rPr>
        <vertAlign val="subscript"/>
        <sz val="10"/>
        <color theme="1"/>
        <rFont val="Times New Roman"/>
        <family val="1"/>
      </rPr>
      <t>pc</t>
    </r>
    <r>
      <rPr>
        <sz val="10"/>
        <color theme="1"/>
        <rFont val="宋体"/>
        <charset val="134"/>
      </rPr>
      <t>Ⅰ</t>
    </r>
    <r>
      <rPr>
        <sz val="10"/>
        <color theme="1"/>
        <rFont val="Times New Roman"/>
        <family val="1"/>
      </rPr>
      <t>=</t>
    </r>
  </si>
  <si>
    <r>
      <rPr>
        <sz val="10"/>
        <color theme="1"/>
        <rFont val="宋体"/>
        <charset val="134"/>
      </rPr>
      <t>第一批预应力损失后受压区混凝土法向应力</t>
    </r>
    <r>
      <rPr>
        <sz val="10"/>
        <color theme="1"/>
        <rFont val="Times New Roman"/>
        <family val="1"/>
      </rPr>
      <t>σ’</t>
    </r>
    <r>
      <rPr>
        <vertAlign val="subscript"/>
        <sz val="10"/>
        <color theme="1"/>
        <rFont val="Times New Roman"/>
        <family val="1"/>
      </rPr>
      <t>pc</t>
    </r>
    <r>
      <rPr>
        <sz val="10"/>
        <color theme="1"/>
        <rFont val="宋体"/>
        <charset val="134"/>
      </rPr>
      <t>Ⅰ</t>
    </r>
    <r>
      <rPr>
        <sz val="10"/>
        <color theme="1"/>
        <rFont val="Times New Roman"/>
        <family val="1"/>
      </rPr>
      <t>=</t>
    </r>
  </si>
  <si>
    <r>
      <rPr>
        <sz val="10"/>
        <color theme="1"/>
        <rFont val="宋体"/>
        <charset val="134"/>
      </rPr>
      <t>①放张时</t>
    </r>
  </si>
  <si>
    <r>
      <rPr>
        <sz val="10"/>
        <color theme="1"/>
        <rFont val="宋体"/>
        <charset val="134"/>
      </rPr>
      <t>施工阶段混凝土边缘压应力</t>
    </r>
    <r>
      <rPr>
        <sz val="10"/>
        <color theme="1"/>
        <rFont val="Times New Roman"/>
        <family val="1"/>
      </rPr>
      <t>σ</t>
    </r>
    <r>
      <rPr>
        <vertAlign val="subscript"/>
        <sz val="10"/>
        <color theme="1"/>
        <rFont val="Times New Roman"/>
        <family val="1"/>
      </rPr>
      <t>cc</t>
    </r>
    <r>
      <rPr>
        <sz val="10"/>
        <color theme="1"/>
        <rFont val="Times New Roman"/>
        <family val="1"/>
      </rPr>
      <t>=</t>
    </r>
  </si>
  <si>
    <r>
      <rPr>
        <sz val="10"/>
        <color theme="1"/>
        <rFont val="宋体"/>
        <charset val="134"/>
      </rPr>
      <t>施工阶段混凝土边缘拉应力</t>
    </r>
    <r>
      <rPr>
        <sz val="10"/>
        <color theme="1"/>
        <rFont val="Times New Roman"/>
        <family val="1"/>
      </rPr>
      <t>σ</t>
    </r>
    <r>
      <rPr>
        <vertAlign val="subscript"/>
        <sz val="10"/>
        <color theme="1"/>
        <rFont val="Times New Roman"/>
        <family val="1"/>
      </rPr>
      <t>ct</t>
    </r>
    <r>
      <rPr>
        <sz val="10"/>
        <color theme="1"/>
        <rFont val="Times New Roman"/>
        <family val="1"/>
      </rPr>
      <t>=</t>
    </r>
  </si>
  <si>
    <r>
      <rPr>
        <sz val="10"/>
        <rFont val="Times New Roman"/>
        <family val="1"/>
      </rPr>
      <t>f</t>
    </r>
    <r>
      <rPr>
        <vertAlign val="superscript"/>
        <sz val="10"/>
        <rFont val="Times New Roman"/>
        <family val="1"/>
      </rPr>
      <t>'</t>
    </r>
    <r>
      <rPr>
        <vertAlign val="subscript"/>
        <sz val="10"/>
        <rFont val="Times New Roman"/>
        <family val="1"/>
      </rPr>
      <t>tk</t>
    </r>
    <r>
      <rPr>
        <sz val="10"/>
        <rFont val="Times New Roman"/>
        <family val="1"/>
      </rPr>
      <t>=</t>
    </r>
  </si>
  <si>
    <r>
      <rPr>
        <sz val="10"/>
        <rFont val="Times New Roman"/>
        <family val="1"/>
      </rPr>
      <t>0.8f</t>
    </r>
    <r>
      <rPr>
        <vertAlign val="superscript"/>
        <sz val="10"/>
        <rFont val="Times New Roman"/>
        <family val="1"/>
      </rPr>
      <t>'</t>
    </r>
    <r>
      <rPr>
        <vertAlign val="subscript"/>
        <sz val="10"/>
        <rFont val="Times New Roman"/>
        <family val="1"/>
      </rPr>
      <t>ck</t>
    </r>
    <r>
      <rPr>
        <sz val="10"/>
        <rFont val="Times New Roman"/>
        <family val="1"/>
      </rPr>
      <t>=</t>
    </r>
  </si>
  <si>
    <r>
      <rPr>
        <sz val="11"/>
        <color theme="1"/>
        <rFont val="宋体"/>
        <charset val="134"/>
      </rPr>
      <t>②吊装运输及安装时</t>
    </r>
    <r>
      <rPr>
        <b/>
        <sz val="11"/>
        <color rgb="FFFF0000"/>
        <rFont val="宋体"/>
        <charset val="134"/>
      </rPr>
      <t>（现浇不计算该项）</t>
    </r>
  </si>
  <si>
    <r>
      <rPr>
        <sz val="10"/>
        <rFont val="宋体"/>
        <charset val="134"/>
      </rPr>
      <t>表13</t>
    </r>
    <r>
      <rPr>
        <sz val="10"/>
        <rFont val="Times New Roman"/>
        <family val="1"/>
      </rPr>
      <t xml:space="preserve"> </t>
    </r>
    <r>
      <rPr>
        <sz val="10"/>
        <rFont val="宋体"/>
        <charset val="134"/>
      </rPr>
      <t>纵向钢绞线锚固端砼局部受压承载力计算</t>
    </r>
  </si>
  <si>
    <r>
      <rPr>
        <sz val="10"/>
        <rFont val="宋体"/>
        <charset val="134"/>
      </rPr>
      <t>承载力安全系数</t>
    </r>
    <r>
      <rPr>
        <sz val="10"/>
        <rFont val="Times New Roman"/>
        <family val="1"/>
      </rPr>
      <t>:K=</t>
    </r>
  </si>
  <si>
    <r>
      <rPr>
        <sz val="10"/>
        <rFont val="宋体"/>
        <charset val="134"/>
      </rPr>
      <t>单束张拉控制吨位</t>
    </r>
    <r>
      <rPr>
        <sz val="10"/>
        <rFont val="Times New Roman"/>
        <family val="1"/>
      </rPr>
      <t>F=</t>
    </r>
  </si>
  <si>
    <t>锚具型号：</t>
  </si>
  <si>
    <t>YM15-7</t>
  </si>
  <si>
    <r>
      <rPr>
        <sz val="10"/>
        <rFont val="宋体"/>
        <charset val="134"/>
      </rPr>
      <t>局部受压尺寸：</t>
    </r>
  </si>
  <si>
    <r>
      <rPr>
        <sz val="10"/>
        <rFont val="宋体"/>
        <charset val="134"/>
      </rPr>
      <t>长</t>
    </r>
    <r>
      <rPr>
        <sz val="10"/>
        <rFont val="Times New Roman"/>
        <family val="1"/>
      </rPr>
      <t>L</t>
    </r>
    <r>
      <rPr>
        <vertAlign val="subscript"/>
        <sz val="10"/>
        <rFont val="宋体"/>
        <charset val="134"/>
      </rPr>
      <t>局</t>
    </r>
    <r>
      <rPr>
        <sz val="10"/>
        <rFont val="Times New Roman"/>
        <family val="1"/>
      </rPr>
      <t>=</t>
    </r>
  </si>
  <si>
    <r>
      <rPr>
        <sz val="10"/>
        <rFont val="宋体"/>
        <charset val="134"/>
      </rPr>
      <t>宽</t>
    </r>
    <r>
      <rPr>
        <sz val="10"/>
        <rFont val="Times New Roman"/>
        <family val="1"/>
      </rPr>
      <t>b</t>
    </r>
    <r>
      <rPr>
        <vertAlign val="subscript"/>
        <sz val="10"/>
        <rFont val="宋体"/>
        <charset val="134"/>
      </rPr>
      <t>局</t>
    </r>
    <r>
      <rPr>
        <sz val="10"/>
        <rFont val="Times New Roman"/>
        <family val="1"/>
      </rPr>
      <t>=</t>
    </r>
  </si>
  <si>
    <r>
      <rPr>
        <sz val="10"/>
        <rFont val="宋体"/>
        <charset val="134"/>
      </rPr>
      <t>砼局部受压面积</t>
    </r>
    <r>
      <rPr>
        <sz val="10"/>
        <rFont val="Times New Roman"/>
        <family val="1"/>
      </rPr>
      <t>A</t>
    </r>
    <r>
      <rPr>
        <vertAlign val="subscript"/>
        <sz val="10"/>
        <rFont val="Times New Roman"/>
        <family val="1"/>
      </rPr>
      <t>L</t>
    </r>
    <r>
      <rPr>
        <sz val="10"/>
        <rFont val="Times New Roman"/>
        <family val="1"/>
      </rPr>
      <t>=L</t>
    </r>
    <r>
      <rPr>
        <vertAlign val="subscript"/>
        <sz val="10"/>
        <rFont val="宋体"/>
        <charset val="134"/>
      </rPr>
      <t>局</t>
    </r>
    <r>
      <rPr>
        <sz val="10"/>
        <rFont val="Times New Roman"/>
        <family val="1"/>
      </rPr>
      <t>b</t>
    </r>
    <r>
      <rPr>
        <vertAlign val="subscript"/>
        <sz val="10"/>
        <rFont val="宋体"/>
        <charset val="134"/>
      </rPr>
      <t>局</t>
    </r>
    <r>
      <rPr>
        <sz val="10"/>
        <rFont val="Times New Roman"/>
        <family val="1"/>
      </rPr>
      <t>=</t>
    </r>
  </si>
  <si>
    <r>
      <rPr>
        <sz val="10"/>
        <rFont val="宋体"/>
        <charset val="134"/>
      </rPr>
      <t>局部受压时计算底面积</t>
    </r>
    <r>
      <rPr>
        <sz val="10"/>
        <rFont val="Times New Roman"/>
        <family val="1"/>
      </rPr>
      <t>A</t>
    </r>
    <r>
      <rPr>
        <vertAlign val="subscript"/>
        <sz val="10"/>
        <rFont val="Times New Roman"/>
        <family val="1"/>
      </rPr>
      <t>b</t>
    </r>
    <r>
      <rPr>
        <sz val="10"/>
        <rFont val="Times New Roman"/>
        <family val="1"/>
      </rPr>
      <t>=(L</t>
    </r>
    <r>
      <rPr>
        <vertAlign val="subscript"/>
        <sz val="10"/>
        <rFont val="宋体"/>
        <charset val="134"/>
      </rPr>
      <t>局</t>
    </r>
    <r>
      <rPr>
        <sz val="10"/>
        <rFont val="Times New Roman"/>
        <family val="1"/>
      </rPr>
      <t>+2b</t>
    </r>
    <r>
      <rPr>
        <vertAlign val="subscript"/>
        <sz val="10"/>
        <rFont val="宋体"/>
        <charset val="134"/>
      </rPr>
      <t>局</t>
    </r>
    <r>
      <rPr>
        <sz val="10"/>
        <rFont val="Times New Roman"/>
        <family val="1"/>
      </rPr>
      <t>)*3b</t>
    </r>
    <r>
      <rPr>
        <vertAlign val="subscript"/>
        <sz val="10"/>
        <rFont val="宋体"/>
        <charset val="134"/>
      </rPr>
      <t>局</t>
    </r>
    <r>
      <rPr>
        <sz val="10"/>
        <rFont val="Times New Roman"/>
        <family val="1"/>
      </rPr>
      <t>=</t>
    </r>
  </si>
  <si>
    <r>
      <rPr>
        <sz val="10"/>
        <rFont val="宋体"/>
        <charset val="134"/>
      </rPr>
      <t>砼局部受压时强度提高系数</t>
    </r>
    <r>
      <rPr>
        <sz val="10"/>
        <rFont val="Times New Roman"/>
        <family val="1"/>
      </rPr>
      <t>β</t>
    </r>
    <r>
      <rPr>
        <vertAlign val="subscript"/>
        <sz val="10"/>
        <rFont val="Times New Roman"/>
        <family val="1"/>
      </rPr>
      <t>L</t>
    </r>
    <r>
      <rPr>
        <sz val="10"/>
        <rFont val="Times New Roman"/>
        <family val="1"/>
      </rPr>
      <t>=(A</t>
    </r>
    <r>
      <rPr>
        <vertAlign val="subscript"/>
        <sz val="10"/>
        <rFont val="Times New Roman"/>
        <family val="1"/>
      </rPr>
      <t>b</t>
    </r>
    <r>
      <rPr>
        <sz val="10"/>
        <rFont val="Times New Roman"/>
        <family val="1"/>
      </rPr>
      <t>/A</t>
    </r>
    <r>
      <rPr>
        <vertAlign val="subscript"/>
        <sz val="10"/>
        <rFont val="Times New Roman"/>
        <family val="1"/>
      </rPr>
      <t>L</t>
    </r>
    <r>
      <rPr>
        <sz val="10"/>
        <rFont val="Times New Roman"/>
        <family val="1"/>
      </rPr>
      <t>)</t>
    </r>
    <r>
      <rPr>
        <vertAlign val="superscript"/>
        <sz val="10"/>
        <rFont val="Times New Roman"/>
        <family val="1"/>
      </rPr>
      <t>0.5</t>
    </r>
    <r>
      <rPr>
        <sz val="10"/>
        <rFont val="Times New Roman"/>
        <family val="1"/>
      </rPr>
      <t>=</t>
    </r>
  </si>
  <si>
    <r>
      <rPr>
        <sz val="10"/>
        <rFont val="宋体"/>
        <charset val="134"/>
      </rPr>
      <t>砼轴心抗压强度设计值</t>
    </r>
    <r>
      <rPr>
        <sz val="10"/>
        <rFont val="Times New Roman"/>
        <family val="1"/>
      </rPr>
      <t>fc=</t>
    </r>
  </si>
  <si>
    <r>
      <rPr>
        <sz val="10"/>
        <rFont val="宋体"/>
        <charset val="134"/>
      </rPr>
      <t>间接钢筋强度设计值</t>
    </r>
    <r>
      <rPr>
        <sz val="10"/>
        <rFont val="Times New Roman"/>
        <family val="1"/>
      </rPr>
      <t>f</t>
    </r>
    <r>
      <rPr>
        <vertAlign val="subscript"/>
        <sz val="10"/>
        <rFont val="Times New Roman"/>
        <family val="1"/>
      </rPr>
      <t>y</t>
    </r>
    <r>
      <rPr>
        <sz val="10"/>
        <rFont val="Times New Roman"/>
        <family val="1"/>
      </rPr>
      <t>=</t>
    </r>
  </si>
  <si>
    <r>
      <rPr>
        <sz val="10"/>
        <rFont val="宋体"/>
        <charset val="134"/>
      </rPr>
      <t>间接钢筋直径</t>
    </r>
    <r>
      <rPr>
        <sz val="10"/>
        <rFont val="Times New Roman"/>
        <family val="1"/>
      </rPr>
      <t>Φ=</t>
    </r>
  </si>
  <si>
    <r>
      <rPr>
        <sz val="10"/>
        <rFont val="宋体"/>
        <charset val="134"/>
      </rPr>
      <t>间接钢筋面积</t>
    </r>
    <r>
      <rPr>
        <sz val="10"/>
        <rFont val="Times New Roman"/>
        <family val="1"/>
      </rPr>
      <t>A</t>
    </r>
    <r>
      <rPr>
        <vertAlign val="subscript"/>
        <sz val="10"/>
        <rFont val="Times New Roman"/>
        <family val="1"/>
      </rPr>
      <t>ss1</t>
    </r>
    <r>
      <rPr>
        <sz val="10"/>
        <rFont val="Times New Roman"/>
        <family val="1"/>
      </rPr>
      <t>=πφ</t>
    </r>
    <r>
      <rPr>
        <vertAlign val="superscript"/>
        <sz val="10"/>
        <rFont val="Times New Roman"/>
        <family val="1"/>
      </rPr>
      <t>2</t>
    </r>
    <r>
      <rPr>
        <sz val="10"/>
        <rFont val="Times New Roman"/>
        <family val="1"/>
      </rPr>
      <t>/4=</t>
    </r>
  </si>
  <si>
    <r>
      <rPr>
        <sz val="10"/>
        <rFont val="宋体"/>
        <charset val="134"/>
      </rPr>
      <t>混凝土核心面积</t>
    </r>
    <r>
      <rPr>
        <sz val="10"/>
        <rFont val="Times New Roman"/>
        <family val="1"/>
      </rPr>
      <t>A</t>
    </r>
    <r>
      <rPr>
        <vertAlign val="subscript"/>
        <sz val="10"/>
        <rFont val="Times New Roman"/>
        <family val="1"/>
      </rPr>
      <t>cor</t>
    </r>
    <r>
      <rPr>
        <sz val="10"/>
        <rFont val="Times New Roman"/>
        <family val="1"/>
      </rPr>
      <t>=</t>
    </r>
  </si>
  <si>
    <r>
      <rPr>
        <sz val="10"/>
        <rFont val="宋体"/>
        <charset val="134"/>
      </rPr>
      <t>间接钢筋的间距</t>
    </r>
    <r>
      <rPr>
        <sz val="10"/>
        <rFont val="Times New Roman"/>
        <family val="1"/>
      </rPr>
      <t>s=</t>
    </r>
  </si>
  <si>
    <r>
      <rPr>
        <sz val="10"/>
        <rFont val="宋体"/>
        <charset val="134"/>
      </rPr>
      <t>体积配筋率</t>
    </r>
    <r>
      <rPr>
        <sz val="10"/>
        <rFont val="Times New Roman"/>
        <family val="1"/>
      </rPr>
      <t>ρ</t>
    </r>
    <r>
      <rPr>
        <vertAlign val="subscript"/>
        <sz val="10"/>
        <rFont val="Times New Roman"/>
        <family val="1"/>
      </rPr>
      <t>v</t>
    </r>
    <r>
      <rPr>
        <sz val="10"/>
        <rFont val="Times New Roman"/>
        <family val="1"/>
      </rPr>
      <t>=(n</t>
    </r>
    <r>
      <rPr>
        <vertAlign val="subscript"/>
        <sz val="10"/>
        <rFont val="Times New Roman"/>
        <family val="1"/>
      </rPr>
      <t>1</t>
    </r>
    <r>
      <rPr>
        <sz val="10"/>
        <rFont val="Times New Roman"/>
        <family val="1"/>
      </rPr>
      <t>A</t>
    </r>
    <r>
      <rPr>
        <vertAlign val="subscript"/>
        <sz val="10"/>
        <rFont val="Times New Roman"/>
        <family val="1"/>
      </rPr>
      <t>s1</t>
    </r>
    <r>
      <rPr>
        <sz val="10"/>
        <rFont val="Times New Roman"/>
        <family val="1"/>
      </rPr>
      <t>l</t>
    </r>
    <r>
      <rPr>
        <vertAlign val="subscript"/>
        <sz val="10"/>
        <rFont val="Times New Roman"/>
        <family val="1"/>
      </rPr>
      <t>1</t>
    </r>
    <r>
      <rPr>
        <sz val="10"/>
        <rFont val="Times New Roman"/>
        <family val="1"/>
      </rPr>
      <t>+n</t>
    </r>
    <r>
      <rPr>
        <vertAlign val="subscript"/>
        <sz val="10"/>
        <rFont val="Times New Roman"/>
        <family val="1"/>
      </rPr>
      <t>2</t>
    </r>
    <r>
      <rPr>
        <sz val="10"/>
        <rFont val="Times New Roman"/>
        <family val="1"/>
      </rPr>
      <t>A</t>
    </r>
    <r>
      <rPr>
        <vertAlign val="subscript"/>
        <sz val="10"/>
        <rFont val="Times New Roman"/>
        <family val="1"/>
      </rPr>
      <t>s2</t>
    </r>
    <r>
      <rPr>
        <sz val="10"/>
        <rFont val="Times New Roman"/>
        <family val="1"/>
      </rPr>
      <t>l</t>
    </r>
    <r>
      <rPr>
        <vertAlign val="subscript"/>
        <sz val="10"/>
        <rFont val="Times New Roman"/>
        <family val="1"/>
      </rPr>
      <t>2</t>
    </r>
    <r>
      <rPr>
        <sz val="10"/>
        <rFont val="Times New Roman"/>
        <family val="1"/>
      </rPr>
      <t>)/A</t>
    </r>
    <r>
      <rPr>
        <vertAlign val="subscript"/>
        <sz val="10"/>
        <rFont val="Times New Roman"/>
        <family val="1"/>
      </rPr>
      <t>cor</t>
    </r>
    <r>
      <rPr>
        <sz val="10"/>
        <rFont val="Times New Roman"/>
        <family val="1"/>
      </rPr>
      <t>s=</t>
    </r>
  </si>
  <si>
    <r>
      <rPr>
        <sz val="10"/>
        <rFont val="宋体"/>
        <charset val="134"/>
      </rPr>
      <t>配置间接钢筋的砼局部受压承载力提高系数</t>
    </r>
    <r>
      <rPr>
        <sz val="10"/>
        <rFont val="Times New Roman"/>
        <family val="1"/>
      </rPr>
      <t>β</t>
    </r>
    <r>
      <rPr>
        <vertAlign val="subscript"/>
        <sz val="10"/>
        <rFont val="Times New Roman"/>
        <family val="1"/>
      </rPr>
      <t>cor</t>
    </r>
    <r>
      <rPr>
        <sz val="10"/>
        <rFont val="宋体"/>
        <charset val="134"/>
      </rPr>
      <t>：</t>
    </r>
  </si>
  <si>
    <r>
      <rPr>
        <sz val="10"/>
        <rFont val="Times New Roman"/>
        <family val="1"/>
      </rPr>
      <t>β</t>
    </r>
    <r>
      <rPr>
        <vertAlign val="subscript"/>
        <sz val="10"/>
        <rFont val="Times New Roman"/>
        <family val="1"/>
      </rPr>
      <t>cor</t>
    </r>
    <r>
      <rPr>
        <sz val="10"/>
        <rFont val="Times New Roman"/>
        <family val="1"/>
      </rPr>
      <t>=(A</t>
    </r>
    <r>
      <rPr>
        <vertAlign val="subscript"/>
        <sz val="10"/>
        <rFont val="Times New Roman"/>
        <family val="1"/>
      </rPr>
      <t>cor</t>
    </r>
    <r>
      <rPr>
        <sz val="10"/>
        <rFont val="Times New Roman"/>
        <family val="1"/>
      </rPr>
      <t>/A</t>
    </r>
    <r>
      <rPr>
        <vertAlign val="subscript"/>
        <sz val="10"/>
        <rFont val="Times New Roman"/>
        <family val="1"/>
      </rPr>
      <t>L</t>
    </r>
    <r>
      <rPr>
        <sz val="10"/>
        <rFont val="Times New Roman"/>
        <family val="1"/>
      </rPr>
      <t>)</t>
    </r>
    <r>
      <rPr>
        <vertAlign val="superscript"/>
        <sz val="10"/>
        <rFont val="Times New Roman"/>
        <family val="1"/>
      </rPr>
      <t>0.5</t>
    </r>
    <r>
      <rPr>
        <sz val="10"/>
        <rFont val="Times New Roman"/>
        <family val="1"/>
      </rPr>
      <t>=</t>
    </r>
  </si>
  <si>
    <r>
      <rPr>
        <sz val="10"/>
        <rFont val="Times New Roman"/>
        <family val="1"/>
      </rPr>
      <t>(β</t>
    </r>
    <r>
      <rPr>
        <vertAlign val="subscript"/>
        <sz val="10"/>
        <rFont val="Times New Roman"/>
        <family val="1"/>
      </rPr>
      <t>L</t>
    </r>
    <r>
      <rPr>
        <sz val="10"/>
        <rFont val="Times New Roman"/>
        <family val="1"/>
      </rPr>
      <t>f</t>
    </r>
    <r>
      <rPr>
        <vertAlign val="subscript"/>
        <sz val="10"/>
        <rFont val="Times New Roman"/>
        <family val="1"/>
      </rPr>
      <t>c</t>
    </r>
    <r>
      <rPr>
        <sz val="10"/>
        <rFont val="Times New Roman"/>
        <family val="1"/>
      </rPr>
      <t>+2ρ</t>
    </r>
    <r>
      <rPr>
        <vertAlign val="subscript"/>
        <sz val="10"/>
        <rFont val="Times New Roman"/>
        <family val="1"/>
      </rPr>
      <t>v</t>
    </r>
    <r>
      <rPr>
        <sz val="10"/>
        <rFont val="Times New Roman"/>
        <family val="1"/>
      </rPr>
      <t>β</t>
    </r>
    <r>
      <rPr>
        <vertAlign val="subscript"/>
        <sz val="10"/>
        <rFont val="Times New Roman"/>
        <family val="1"/>
      </rPr>
      <t>cor</t>
    </r>
    <r>
      <rPr>
        <sz val="10"/>
        <rFont val="Times New Roman"/>
        <family val="1"/>
      </rPr>
      <t>f</t>
    </r>
    <r>
      <rPr>
        <vertAlign val="subscript"/>
        <sz val="10"/>
        <rFont val="Times New Roman"/>
        <family val="1"/>
      </rPr>
      <t>y</t>
    </r>
    <r>
      <rPr>
        <sz val="10"/>
        <rFont val="Times New Roman"/>
        <family val="1"/>
      </rPr>
      <t>)A</t>
    </r>
    <r>
      <rPr>
        <vertAlign val="subscript"/>
        <sz val="10"/>
        <rFont val="Times New Roman"/>
        <family val="1"/>
      </rPr>
      <t>L</t>
    </r>
    <r>
      <rPr>
        <sz val="10"/>
        <rFont val="Times New Roman"/>
        <family val="1"/>
      </rPr>
      <t>=</t>
    </r>
  </si>
  <si>
    <r>
      <rPr>
        <sz val="10"/>
        <rFont val="Times New Roman"/>
        <family val="1"/>
      </rPr>
      <t>1.5β</t>
    </r>
    <r>
      <rPr>
        <vertAlign val="subscript"/>
        <sz val="10"/>
        <rFont val="Times New Roman"/>
        <family val="1"/>
      </rPr>
      <t>L</t>
    </r>
    <r>
      <rPr>
        <sz val="10"/>
        <rFont val="Times New Roman"/>
        <family val="1"/>
      </rPr>
      <t>f</t>
    </r>
    <r>
      <rPr>
        <vertAlign val="subscript"/>
        <sz val="10"/>
        <rFont val="Times New Roman"/>
        <family val="1"/>
      </rPr>
      <t>c</t>
    </r>
    <r>
      <rPr>
        <sz val="10"/>
        <rFont val="Times New Roman"/>
        <family val="1"/>
      </rPr>
      <t>A</t>
    </r>
    <r>
      <rPr>
        <vertAlign val="subscript"/>
        <sz val="10"/>
        <rFont val="Times New Roman"/>
        <family val="1"/>
      </rPr>
      <t>L</t>
    </r>
    <r>
      <rPr>
        <sz val="10"/>
        <rFont val="Times New Roman"/>
        <family val="1"/>
      </rPr>
      <t>=</t>
    </r>
  </si>
  <si>
    <r>
      <rPr>
        <sz val="12"/>
        <rFont val="黑体"/>
        <charset val="134"/>
      </rPr>
      <t>表1</t>
    </r>
    <r>
      <rPr>
        <sz val="12"/>
        <rFont val="黑体"/>
        <charset val="134"/>
      </rPr>
      <t xml:space="preserve">  材料常数表</t>
    </r>
  </si>
  <si>
    <t>混凝土强度等级</t>
  </si>
  <si>
    <t>C40</t>
  </si>
  <si>
    <r>
      <rPr>
        <sz val="11"/>
        <color theme="1"/>
        <rFont val="宋体"/>
        <charset val="134"/>
      </rPr>
      <t>大桥均采用</t>
    </r>
    <r>
      <rPr>
        <sz val="11"/>
        <color theme="1"/>
        <rFont val="Times New Roman"/>
        <family val="1"/>
      </rPr>
      <t>C40</t>
    </r>
  </si>
  <si>
    <t>张拉控制强度系数</t>
  </si>
  <si>
    <r>
      <rPr>
        <sz val="11"/>
        <color rgb="FFFF0000"/>
        <rFont val="宋体"/>
        <charset val="134"/>
      </rPr>
      <t>施工时采用</t>
    </r>
    <r>
      <rPr>
        <sz val="11"/>
        <color rgb="FFFF0000"/>
        <rFont val="Times New Roman"/>
        <family val="1"/>
      </rPr>
      <t>1.0</t>
    </r>
    <r>
      <rPr>
        <sz val="11"/>
        <color rgb="FFFF0000"/>
        <rFont val="宋体"/>
        <charset val="134"/>
      </rPr>
      <t>倍混凝土强度等级，见</t>
    </r>
    <r>
      <rPr>
        <sz val="11"/>
        <color rgb="FFFF0000"/>
        <rFont val="Times New Roman"/>
        <family val="1"/>
      </rPr>
      <t>SL191-2008,8.1.3</t>
    </r>
  </si>
  <si>
    <r>
      <rPr>
        <sz val="11"/>
        <rFont val="宋体"/>
        <charset val="134"/>
      </rPr>
      <t>预应力钢绞线强度标准值</t>
    </r>
    <r>
      <rPr>
        <sz val="11"/>
        <rFont val="Times New Roman"/>
        <family val="1"/>
      </rPr>
      <t>f</t>
    </r>
    <r>
      <rPr>
        <vertAlign val="subscript"/>
        <sz val="11"/>
        <rFont val="Times New Roman"/>
        <family val="1"/>
      </rPr>
      <t>ptk</t>
    </r>
    <r>
      <rPr>
        <sz val="11"/>
        <rFont val="Times New Roman"/>
        <family val="1"/>
      </rPr>
      <t>=</t>
    </r>
  </si>
  <si>
    <t>表2 钢筋选型和布置</t>
  </si>
  <si>
    <t>受拉区钢绞线选型及布置</t>
  </si>
  <si>
    <t>惯性矩</t>
  </si>
  <si>
    <t>mm4</t>
  </si>
  <si>
    <r>
      <rPr>
        <sz val="10"/>
        <rFont val="宋体"/>
        <charset val="134"/>
      </rPr>
      <t>第一排纵向预应力钢筋束数量</t>
    </r>
    <r>
      <rPr>
        <sz val="10"/>
        <rFont val="Times New Roman"/>
        <family val="1"/>
      </rPr>
      <t xml:space="preserve"> N=</t>
    </r>
  </si>
  <si>
    <r>
      <rPr>
        <sz val="10"/>
        <rFont val="宋体"/>
        <charset val="134"/>
      </rPr>
      <t>第一排预应力钢筋面积</t>
    </r>
    <r>
      <rPr>
        <sz val="10"/>
        <rFont val="Times New Roman"/>
        <family val="1"/>
      </rPr>
      <t>A</t>
    </r>
    <r>
      <rPr>
        <vertAlign val="subscript"/>
        <sz val="10"/>
        <rFont val="Times New Roman"/>
        <family val="1"/>
      </rPr>
      <t>P</t>
    </r>
    <r>
      <rPr>
        <sz val="10"/>
        <rFont val="Times New Roman"/>
        <family val="1"/>
      </rPr>
      <t>=SN=</t>
    </r>
  </si>
  <si>
    <t>第一排纵向预应力钢筋束距梁底距离ap</t>
  </si>
  <si>
    <r>
      <rPr>
        <sz val="10"/>
        <rFont val="宋体"/>
        <charset val="134"/>
      </rPr>
      <t>第二排纵向预应力钢筋束数量</t>
    </r>
    <r>
      <rPr>
        <sz val="10"/>
        <rFont val="Times New Roman"/>
        <family val="1"/>
      </rPr>
      <t xml:space="preserve"> N=</t>
    </r>
  </si>
  <si>
    <r>
      <rPr>
        <sz val="10"/>
        <rFont val="宋体"/>
        <charset val="134"/>
      </rPr>
      <t>第二排预应力钢筋面积</t>
    </r>
    <r>
      <rPr>
        <sz val="10"/>
        <rFont val="Times New Roman"/>
        <family val="1"/>
      </rPr>
      <t>A</t>
    </r>
    <r>
      <rPr>
        <vertAlign val="subscript"/>
        <sz val="10"/>
        <rFont val="Times New Roman"/>
        <family val="1"/>
      </rPr>
      <t>P</t>
    </r>
    <r>
      <rPr>
        <sz val="10"/>
        <rFont val="Times New Roman"/>
        <family val="1"/>
      </rPr>
      <t>=SN=</t>
    </r>
  </si>
  <si>
    <t>第二排纵向预应力钢筋束距梁底距离ap</t>
  </si>
  <si>
    <t>受压区钢绞线选型及布置</t>
  </si>
  <si>
    <t>第一排纵向预应力钢筋束距梁顶距离ap</t>
  </si>
  <si>
    <r>
      <rPr>
        <sz val="10"/>
        <rFont val="宋体"/>
        <charset val="134"/>
      </rPr>
      <t>钢筋合力点距梁底距离</t>
    </r>
    <r>
      <rPr>
        <sz val="10"/>
        <rFont val="Times New Roman"/>
        <family val="1"/>
      </rPr>
      <t>ap</t>
    </r>
  </si>
  <si>
    <r>
      <rPr>
        <sz val="10"/>
        <rFont val="宋体"/>
        <charset val="134"/>
      </rPr>
      <t>钢筋合力点距梁顶距离</t>
    </r>
    <r>
      <rPr>
        <sz val="10"/>
        <rFont val="Times New Roman"/>
        <family val="1"/>
      </rPr>
      <t>ap</t>
    </r>
  </si>
  <si>
    <t>孔道参数</t>
  </si>
  <si>
    <r>
      <rPr>
        <sz val="10"/>
        <rFont val="宋体"/>
        <charset val="134"/>
      </rPr>
      <t>A</t>
    </r>
    <r>
      <rPr>
        <vertAlign val="subscript"/>
        <sz val="10"/>
        <rFont val="宋体"/>
        <charset val="134"/>
      </rPr>
      <t>k</t>
    </r>
    <r>
      <rPr>
        <sz val="10"/>
        <rFont val="宋体"/>
        <charset val="134"/>
      </rPr>
      <t>=(</t>
    </r>
    <r>
      <rPr>
        <sz val="10"/>
        <rFont val="Calibri"/>
        <charset val="161"/>
      </rPr>
      <t>π</t>
    </r>
    <r>
      <rPr>
        <sz val="10"/>
        <rFont val="宋体"/>
        <charset val="134"/>
      </rPr>
      <t>d</t>
    </r>
    <r>
      <rPr>
        <vertAlign val="superscript"/>
        <sz val="10"/>
        <rFont val="宋体"/>
        <charset val="134"/>
      </rPr>
      <t>2</t>
    </r>
    <r>
      <rPr>
        <vertAlign val="subscript"/>
        <sz val="10"/>
        <rFont val="宋体"/>
        <charset val="134"/>
      </rPr>
      <t>孔</t>
    </r>
    <r>
      <rPr>
        <sz val="10"/>
        <rFont val="宋体"/>
        <charset val="134"/>
      </rPr>
      <t>/4)=</t>
    </r>
  </si>
  <si>
    <t>表3 构件参数</t>
  </si>
  <si>
    <t>渡槽几何参数（CAD查询）</t>
  </si>
  <si>
    <r>
      <rPr>
        <sz val="10"/>
        <rFont val="宋体"/>
        <charset val="134"/>
      </rPr>
      <t>截面面积</t>
    </r>
    <r>
      <rPr>
        <sz val="10"/>
        <rFont val="Times New Roman"/>
        <family val="1"/>
      </rPr>
      <t>A</t>
    </r>
    <r>
      <rPr>
        <sz val="10"/>
        <rFont val="宋体"/>
        <charset val="134"/>
      </rPr>
      <t>（</t>
    </r>
    <r>
      <rPr>
        <sz val="10"/>
        <rFont val="Times New Roman"/>
        <family val="1"/>
      </rPr>
      <t>mm²</t>
    </r>
    <r>
      <rPr>
        <sz val="10"/>
        <rFont val="宋体"/>
        <charset val="134"/>
      </rPr>
      <t>）</t>
    </r>
  </si>
  <si>
    <r>
      <rPr>
        <sz val="10"/>
        <color theme="1"/>
        <rFont val="宋体"/>
        <charset val="134"/>
      </rPr>
      <t>截面高度</t>
    </r>
    <r>
      <rPr>
        <sz val="10"/>
        <color theme="1"/>
        <rFont val="Times New Roman"/>
        <family val="1"/>
      </rPr>
      <t>(mm)</t>
    </r>
  </si>
  <si>
    <r>
      <rPr>
        <sz val="10"/>
        <rFont val="宋体"/>
        <charset val="134"/>
      </rPr>
      <t>重心高度（</t>
    </r>
    <r>
      <rPr>
        <sz val="10"/>
        <rFont val="Times New Roman"/>
        <family val="1"/>
      </rPr>
      <t>mm</t>
    </r>
    <r>
      <rPr>
        <sz val="10"/>
        <rFont val="宋体"/>
        <charset val="134"/>
      </rPr>
      <t>）</t>
    </r>
  </si>
  <si>
    <r>
      <rPr>
        <sz val="10"/>
        <color theme="1"/>
        <rFont val="宋体"/>
        <charset val="134"/>
      </rPr>
      <t>惯性矩</t>
    </r>
    <r>
      <rPr>
        <sz val="10"/>
        <color theme="1"/>
        <rFont val="Times New Roman"/>
        <family val="1"/>
      </rPr>
      <t>I(mm</t>
    </r>
    <r>
      <rPr>
        <vertAlign val="superscript"/>
        <sz val="10"/>
        <color theme="1"/>
        <rFont val="Times New Roman"/>
        <family val="1"/>
      </rPr>
      <t>4</t>
    </r>
    <r>
      <rPr>
        <sz val="10"/>
        <color theme="1"/>
        <rFont val="Times New Roman"/>
        <family val="1"/>
      </rPr>
      <t>)</t>
    </r>
  </si>
  <si>
    <r>
      <rPr>
        <sz val="10"/>
        <rFont val="宋体"/>
        <charset val="134"/>
      </rPr>
      <t>混凝土截面面积</t>
    </r>
    <r>
      <rPr>
        <sz val="10"/>
        <rFont val="Times New Roman"/>
        <family val="1"/>
      </rPr>
      <t>Ac</t>
    </r>
    <r>
      <rPr>
        <sz val="10"/>
        <rFont val="宋体"/>
        <charset val="134"/>
      </rPr>
      <t>（</t>
    </r>
    <r>
      <rPr>
        <sz val="10"/>
        <rFont val="Times New Roman"/>
        <family val="1"/>
      </rPr>
      <t>mm²</t>
    </r>
    <r>
      <rPr>
        <sz val="10"/>
        <rFont val="宋体"/>
        <charset val="134"/>
      </rPr>
      <t>）</t>
    </r>
  </si>
  <si>
    <r>
      <t>An</t>
    </r>
    <r>
      <rPr>
        <b/>
        <sz val="10"/>
        <color rgb="FF0033CC"/>
        <rFont val="宋体"/>
        <charset val="134"/>
      </rPr>
      <t>（</t>
    </r>
    <r>
      <rPr>
        <b/>
        <sz val="10"/>
        <color rgb="FF0033CC"/>
        <rFont val="Times New Roman"/>
        <family val="1"/>
      </rPr>
      <t>mm²</t>
    </r>
    <r>
      <rPr>
        <b/>
        <sz val="10"/>
        <color rgb="FF0033CC"/>
        <rFont val="宋体"/>
        <charset val="134"/>
      </rPr>
      <t>）</t>
    </r>
  </si>
  <si>
    <r>
      <t>净惯性矩</t>
    </r>
    <r>
      <rPr>
        <sz val="10"/>
        <rFont val="Times New Roman"/>
        <family val="1"/>
      </rPr>
      <t>In(mm4)</t>
    </r>
  </si>
  <si>
    <r>
      <t>A0</t>
    </r>
    <r>
      <rPr>
        <sz val="10"/>
        <rFont val="宋体"/>
        <charset val="134"/>
      </rPr>
      <t>（</t>
    </r>
    <r>
      <rPr>
        <sz val="10"/>
        <rFont val="Times New Roman"/>
        <family val="1"/>
      </rPr>
      <t>mm²</t>
    </r>
    <r>
      <rPr>
        <sz val="10"/>
        <rFont val="宋体"/>
        <charset val="134"/>
      </rPr>
      <t>）</t>
    </r>
  </si>
  <si>
    <t>I0(mm4)</t>
  </si>
  <si>
    <t>张拉信息</t>
  </si>
  <si>
    <t>跨度</t>
  </si>
  <si>
    <t>张拉方式</t>
  </si>
  <si>
    <t>单侧张拉</t>
  </si>
  <si>
    <t>表4  预应力钢筋的张拉控制应力及应力损失值计算</t>
  </si>
  <si>
    <r>
      <rPr>
        <sz val="10"/>
        <color rgb="FFFF0000"/>
        <rFont val="宋体"/>
        <charset val="134"/>
      </rPr>
      <t xml:space="preserve">                 </t>
    </r>
    <r>
      <rPr>
        <sz val="10"/>
        <color theme="1"/>
        <rFont val="宋体"/>
        <charset val="134"/>
      </rPr>
      <t xml:space="preserve">  后张法预应力钢筋张拉应力损失的原因有：</t>
    </r>
    <r>
      <rPr>
        <sz val="10"/>
        <color theme="1"/>
        <rFont val="Times New Roman"/>
        <family val="1"/>
      </rPr>
      <t xml:space="preserve">
</t>
    </r>
    <r>
      <rPr>
        <sz val="10"/>
        <color theme="1"/>
        <rFont val="Times New Roman"/>
        <family val="1"/>
      </rPr>
      <t xml:space="preserve">                                            </t>
    </r>
    <r>
      <rPr>
        <sz val="10"/>
        <color theme="1"/>
        <rFont val="宋体"/>
        <charset val="134"/>
      </rPr>
      <t>张拉端锚具变形和钢筋内缩</t>
    </r>
    <r>
      <rPr>
        <sz val="10"/>
        <color theme="1"/>
        <rFont val="Times New Roman"/>
        <family val="1"/>
      </rPr>
      <t xml:space="preserve">σl1  
                                            </t>
    </r>
    <r>
      <rPr>
        <sz val="10"/>
        <color theme="1"/>
        <rFont val="宋体"/>
        <charset val="134"/>
      </rPr>
      <t>预应力钢筋的摩擦</t>
    </r>
    <r>
      <rPr>
        <sz val="10"/>
        <color theme="1"/>
        <rFont val="Times New Roman"/>
        <family val="1"/>
      </rPr>
      <t xml:space="preserve">σl2  
                                            </t>
    </r>
    <r>
      <rPr>
        <sz val="10"/>
        <color theme="1"/>
        <rFont val="宋体"/>
        <charset val="134"/>
      </rPr>
      <t>预应力钢筋的应力松驰</t>
    </r>
    <r>
      <rPr>
        <sz val="10"/>
        <color theme="1"/>
        <rFont val="Times New Roman"/>
        <family val="1"/>
      </rPr>
      <t xml:space="preserve">σl4  
                                            </t>
    </r>
    <r>
      <rPr>
        <sz val="10"/>
        <color theme="1"/>
        <rFont val="宋体"/>
        <charset val="134"/>
      </rPr>
      <t>砼收缩和徐变</t>
    </r>
    <r>
      <rPr>
        <sz val="10"/>
        <color theme="1"/>
        <rFont val="Times New Roman"/>
        <family val="1"/>
      </rPr>
      <t xml:space="preserve">σl5  
</t>
    </r>
  </si>
  <si>
    <r>
      <rPr>
        <sz val="10"/>
        <color theme="1"/>
        <rFont val="宋体"/>
        <charset val="134"/>
      </rPr>
      <t>一次张拉、低松弛，</t>
    </r>
    <r>
      <rPr>
        <sz val="10"/>
        <color theme="1"/>
        <rFont val="Times New Roman"/>
        <family val="1"/>
      </rPr>
      <t>ψ=0.125</t>
    </r>
    <r>
      <rPr>
        <sz val="10"/>
        <color theme="1"/>
        <rFont val="宋体"/>
        <charset val="134"/>
      </rPr>
      <t>；</t>
    </r>
  </si>
  <si>
    <r>
      <rPr>
        <sz val="10"/>
        <color rgb="FFFF0000"/>
        <rFont val="宋体"/>
        <charset val="134"/>
      </rPr>
      <t>混凝土收缩和徐变引起的预应力损失值</t>
    </r>
    <r>
      <rPr>
        <sz val="10"/>
        <color rgb="FFFF0000"/>
        <rFont val="Times New Roman"/>
        <family val="1"/>
      </rPr>
      <t>σ</t>
    </r>
    <r>
      <rPr>
        <vertAlign val="subscript"/>
        <sz val="10"/>
        <color rgb="FFFF0000"/>
        <rFont val="Times New Roman"/>
        <family val="1"/>
      </rPr>
      <t>L5</t>
    </r>
    <r>
      <rPr>
        <sz val="10"/>
        <color rgb="FFFF0000"/>
        <rFont val="宋体"/>
        <charset val="134"/>
      </rPr>
      <t>：</t>
    </r>
  </si>
  <si>
    <t>受拉区第1排预应力合力点至净截面重心的距离ypn1=</t>
  </si>
  <si>
    <t>受拉区第2排预应力合力点至净截面重心的距离ypn2=</t>
  </si>
  <si>
    <t>受压区预应力合力点至净截面重心的距离ypn"=</t>
  </si>
  <si>
    <r>
      <rPr>
        <sz val="10"/>
        <color theme="1"/>
        <rFont val="宋体"/>
        <charset val="134"/>
      </rPr>
      <t>受拉区第</t>
    </r>
    <r>
      <rPr>
        <sz val="10"/>
        <color theme="1"/>
        <rFont val="Times New Roman"/>
        <family val="1"/>
      </rPr>
      <t>1</t>
    </r>
    <r>
      <rPr>
        <sz val="10"/>
        <color theme="1"/>
        <rFont val="宋体"/>
        <charset val="134"/>
      </rPr>
      <t>排预加力在受拉区产生的混凝土法向压应力</t>
    </r>
    <r>
      <rPr>
        <sz val="10"/>
        <color theme="1"/>
        <rFont val="Times New Roman"/>
        <family val="1"/>
      </rPr>
      <t>σ</t>
    </r>
    <r>
      <rPr>
        <vertAlign val="subscript"/>
        <sz val="10"/>
        <color theme="1"/>
        <rFont val="Times New Roman"/>
        <family val="1"/>
      </rPr>
      <t>pc</t>
    </r>
    <r>
      <rPr>
        <sz val="10"/>
        <color theme="1"/>
        <rFont val="Times New Roman"/>
        <family val="1"/>
      </rPr>
      <t>=</t>
    </r>
  </si>
  <si>
    <r>
      <rPr>
        <sz val="10"/>
        <color theme="1"/>
        <rFont val="宋体"/>
        <charset val="134"/>
      </rPr>
      <t>受压区预应力合力点混凝土法向压应力</t>
    </r>
    <r>
      <rPr>
        <sz val="10"/>
        <color theme="1"/>
        <rFont val="Times New Roman"/>
        <family val="1"/>
      </rPr>
      <t>σ</t>
    </r>
    <r>
      <rPr>
        <vertAlign val="subscript"/>
        <sz val="10"/>
        <color theme="1"/>
        <rFont val="Times New Roman"/>
        <family val="1"/>
      </rPr>
      <t>pc</t>
    </r>
    <r>
      <rPr>
        <sz val="10"/>
        <color theme="1"/>
        <rFont val="Times New Roman"/>
        <family val="1"/>
      </rPr>
      <t>=</t>
    </r>
  </si>
  <si>
    <r>
      <rPr>
        <b/>
        <sz val="10"/>
        <color theme="1"/>
        <rFont val="宋体"/>
        <charset val="134"/>
      </rPr>
      <t>受拉区第</t>
    </r>
    <r>
      <rPr>
        <b/>
        <sz val="10"/>
        <color theme="1"/>
        <rFont val="Times New Roman"/>
        <family val="1"/>
      </rPr>
      <t>1</t>
    </r>
    <r>
      <rPr>
        <b/>
        <sz val="10"/>
        <color theme="1"/>
        <rFont val="宋体"/>
        <charset val="134"/>
      </rPr>
      <t>排钢绞线的预应力损失</t>
    </r>
    <r>
      <rPr>
        <b/>
        <sz val="10"/>
        <color theme="1"/>
        <rFont val="Times New Roman"/>
        <family val="1"/>
      </rPr>
      <t xml:space="preserve"> </t>
    </r>
    <r>
      <rPr>
        <b/>
        <sz val="10"/>
        <color theme="1"/>
        <rFont val="Calibri"/>
        <charset val="161"/>
      </rPr>
      <t>σ</t>
    </r>
    <r>
      <rPr>
        <b/>
        <sz val="10"/>
        <color theme="1"/>
        <rFont val="Times New Roman"/>
        <family val="1"/>
      </rPr>
      <t>L5</t>
    </r>
  </si>
  <si>
    <r>
      <rPr>
        <b/>
        <sz val="10"/>
        <color theme="1"/>
        <rFont val="宋体"/>
        <charset val="134"/>
      </rPr>
      <t>受拉区第</t>
    </r>
    <r>
      <rPr>
        <b/>
        <sz val="10"/>
        <color theme="1"/>
        <rFont val="Times New Roman"/>
        <family val="1"/>
      </rPr>
      <t>2</t>
    </r>
    <r>
      <rPr>
        <b/>
        <sz val="10"/>
        <color theme="1"/>
        <rFont val="宋体"/>
        <charset val="134"/>
      </rPr>
      <t>排钢绞线的预应力损失</t>
    </r>
    <r>
      <rPr>
        <b/>
        <sz val="10"/>
        <color theme="1"/>
        <rFont val="Times New Roman"/>
        <family val="1"/>
      </rPr>
      <t xml:space="preserve"> </t>
    </r>
    <r>
      <rPr>
        <b/>
        <sz val="10"/>
        <color theme="1"/>
        <rFont val="Calibri"/>
        <charset val="161"/>
      </rPr>
      <t>σ</t>
    </r>
    <r>
      <rPr>
        <b/>
        <sz val="10"/>
        <color theme="1"/>
        <rFont val="Times New Roman"/>
        <family val="1"/>
      </rPr>
      <t>L5</t>
    </r>
  </si>
  <si>
    <r>
      <rPr>
        <b/>
        <sz val="10"/>
        <color theme="1"/>
        <rFont val="宋体"/>
        <charset val="134"/>
      </rPr>
      <t>受压区 钢绞线的预应力损失</t>
    </r>
    <r>
      <rPr>
        <b/>
        <sz val="10"/>
        <color theme="1"/>
        <rFont val="Times New Roman"/>
        <family val="1"/>
      </rPr>
      <t xml:space="preserve"> </t>
    </r>
    <r>
      <rPr>
        <b/>
        <sz val="10"/>
        <color theme="1"/>
        <rFont val="Calibri"/>
        <charset val="161"/>
      </rPr>
      <t>σ</t>
    </r>
    <r>
      <rPr>
        <b/>
        <sz val="10"/>
        <color theme="1"/>
        <rFont val="Times New Roman"/>
        <family val="1"/>
      </rPr>
      <t>L5</t>
    </r>
  </si>
  <si>
    <t>用纯混凝土截面初步估算</t>
  </si>
  <si>
    <r>
      <rPr>
        <sz val="10"/>
        <color rgb="FFFF0000"/>
        <rFont val="宋体"/>
        <charset val="134"/>
      </rPr>
      <t>初步估计</t>
    </r>
    <r>
      <rPr>
        <sz val="10"/>
        <color rgb="FFFF0000"/>
        <rFont val="Calibri"/>
        <charset val="161"/>
      </rPr>
      <t>σ</t>
    </r>
    <r>
      <rPr>
        <sz val="10"/>
        <color rgb="FFFF0000"/>
        <rFont val="宋体"/>
        <charset val="134"/>
      </rPr>
      <t>L5=</t>
    </r>
  </si>
  <si>
    <r>
      <rPr>
        <sz val="10"/>
        <color rgb="FFFF0000"/>
        <rFont val="宋体"/>
        <charset val="134"/>
      </rPr>
      <t>用纯初估混凝土截面预应力钢筋处</t>
    </r>
    <r>
      <rPr>
        <sz val="10"/>
        <color rgb="FFFF0000"/>
        <rFont val="Times New Roman"/>
        <family val="1"/>
      </rPr>
      <t>σpc=</t>
    </r>
  </si>
  <si>
    <t>当地平均湿度：</t>
  </si>
  <si>
    <t>大于40%</t>
  </si>
  <si>
    <t>西昌地区</t>
  </si>
  <si>
    <r>
      <rPr>
        <sz val="10"/>
        <color theme="1"/>
        <rFont val="宋体"/>
        <charset val="134"/>
      </rPr>
      <t>受拉区第1排钢绞线预应力损失：</t>
    </r>
    <r>
      <rPr>
        <sz val="10"/>
        <color theme="1"/>
        <rFont val="Times New Roman"/>
        <family val="1"/>
      </rPr>
      <t xml:space="preserve"> σl=</t>
    </r>
  </si>
  <si>
    <r>
      <rPr>
        <sz val="10"/>
        <color theme="1"/>
        <rFont val="宋体"/>
        <charset val="134"/>
      </rPr>
      <t>受拉区第</t>
    </r>
    <r>
      <rPr>
        <sz val="10"/>
        <color theme="1"/>
        <rFont val="Times New Roman"/>
        <family val="1"/>
      </rPr>
      <t>2</t>
    </r>
    <r>
      <rPr>
        <sz val="10"/>
        <color theme="1"/>
        <rFont val="宋体"/>
        <charset val="134"/>
      </rPr>
      <t>排钢绞线预应力损失：</t>
    </r>
    <r>
      <rPr>
        <sz val="10"/>
        <color theme="1"/>
        <rFont val="Times New Roman"/>
        <family val="1"/>
      </rPr>
      <t xml:space="preserve"> σl=</t>
    </r>
  </si>
  <si>
    <r>
      <rPr>
        <sz val="10"/>
        <color theme="1"/>
        <rFont val="宋体"/>
        <charset val="134"/>
      </rPr>
      <t>受压区预应力损失：</t>
    </r>
    <r>
      <rPr>
        <sz val="10"/>
        <color theme="1"/>
        <rFont val="Times New Roman"/>
        <family val="1"/>
      </rPr>
      <t xml:space="preserve"> σl=</t>
    </r>
  </si>
  <si>
    <t>表5 预应力损失全部出现后的构件应力分析</t>
  </si>
  <si>
    <r>
      <rPr>
        <sz val="10"/>
        <rFont val="宋体"/>
        <charset val="134"/>
      </rPr>
      <t>受拉区第</t>
    </r>
    <r>
      <rPr>
        <sz val="10"/>
        <rFont val="Times New Roman"/>
        <family val="1"/>
      </rPr>
      <t>1</t>
    </r>
    <r>
      <rPr>
        <sz val="10"/>
        <rFont val="宋体"/>
        <charset val="134"/>
      </rPr>
      <t>排钢绞线有效应力</t>
    </r>
    <r>
      <rPr>
        <sz val="10"/>
        <rFont val="Times New Roman"/>
        <family val="1"/>
      </rPr>
      <t>σ</t>
    </r>
    <r>
      <rPr>
        <sz val="10"/>
        <rFont val="Times New Roman"/>
        <family val="1"/>
      </rPr>
      <t>pe=</t>
    </r>
    <r>
      <rPr>
        <sz val="10"/>
        <rFont val="Times New Roman"/>
        <family val="1"/>
      </rPr>
      <t>σ</t>
    </r>
    <r>
      <rPr>
        <sz val="10"/>
        <rFont val="Times New Roman"/>
        <family val="1"/>
      </rPr>
      <t>pe=</t>
    </r>
    <r>
      <rPr>
        <sz val="10"/>
        <rFont val="Times New Roman"/>
        <family val="1"/>
      </rPr>
      <t>σ</t>
    </r>
    <r>
      <rPr>
        <sz val="10"/>
        <rFont val="Times New Roman"/>
        <family val="1"/>
      </rPr>
      <t>con-</t>
    </r>
    <r>
      <rPr>
        <sz val="10"/>
        <rFont val="Times New Roman"/>
        <family val="1"/>
      </rPr>
      <t>σ</t>
    </r>
    <r>
      <rPr>
        <sz val="10"/>
        <rFont val="Times New Roman"/>
        <family val="1"/>
      </rPr>
      <t>l=</t>
    </r>
  </si>
  <si>
    <r>
      <rPr>
        <sz val="10"/>
        <rFont val="宋体"/>
        <charset val="134"/>
      </rPr>
      <t>受拉区第</t>
    </r>
    <r>
      <rPr>
        <sz val="10"/>
        <rFont val="Times New Roman"/>
        <family val="1"/>
      </rPr>
      <t>2</t>
    </r>
    <r>
      <rPr>
        <sz val="10"/>
        <rFont val="宋体"/>
        <charset val="134"/>
      </rPr>
      <t>排钢绞线有效应力</t>
    </r>
    <r>
      <rPr>
        <sz val="10"/>
        <rFont val="Calibri"/>
        <charset val="161"/>
      </rPr>
      <t>σ</t>
    </r>
    <r>
      <rPr>
        <sz val="10"/>
        <rFont val="Times New Roman"/>
        <family val="1"/>
      </rPr>
      <t>pe=</t>
    </r>
    <r>
      <rPr>
        <sz val="10"/>
        <rFont val="Calibri"/>
        <charset val="161"/>
      </rPr>
      <t>σ</t>
    </r>
    <r>
      <rPr>
        <sz val="10"/>
        <rFont val="Times New Roman"/>
        <family val="1"/>
      </rPr>
      <t>pe=</t>
    </r>
    <r>
      <rPr>
        <sz val="10"/>
        <rFont val="Calibri"/>
        <charset val="161"/>
      </rPr>
      <t>σ</t>
    </r>
    <r>
      <rPr>
        <sz val="10"/>
        <rFont val="Times New Roman"/>
        <family val="1"/>
      </rPr>
      <t>con-</t>
    </r>
    <r>
      <rPr>
        <sz val="10"/>
        <rFont val="Calibri"/>
        <charset val="161"/>
      </rPr>
      <t>σ</t>
    </r>
    <r>
      <rPr>
        <sz val="10"/>
        <rFont val="Times New Roman"/>
        <family val="1"/>
      </rPr>
      <t>l=</t>
    </r>
  </si>
  <si>
    <r>
      <rPr>
        <sz val="10"/>
        <rFont val="宋体"/>
        <charset val="134"/>
      </rPr>
      <t>受压区预应力钢筋的有效应力</t>
    </r>
    <r>
      <rPr>
        <sz val="10"/>
        <rFont val="Times New Roman"/>
        <family val="1"/>
      </rPr>
      <t>σ</t>
    </r>
    <r>
      <rPr>
        <vertAlign val="superscript"/>
        <sz val="10"/>
        <rFont val="Times New Roman"/>
        <family val="1"/>
      </rPr>
      <t>'</t>
    </r>
    <r>
      <rPr>
        <vertAlign val="subscript"/>
        <sz val="10"/>
        <rFont val="Times New Roman"/>
        <family val="1"/>
      </rPr>
      <t>pe</t>
    </r>
    <r>
      <rPr>
        <sz val="10"/>
        <rFont val="Times New Roman"/>
        <family val="1"/>
      </rPr>
      <t>=σ</t>
    </r>
    <r>
      <rPr>
        <vertAlign val="subscript"/>
        <sz val="10"/>
        <rFont val="Times New Roman"/>
        <family val="1"/>
      </rPr>
      <t>pe</t>
    </r>
    <r>
      <rPr>
        <sz val="10"/>
        <rFont val="Times New Roman"/>
        <family val="1"/>
      </rPr>
      <t>=σ</t>
    </r>
    <r>
      <rPr>
        <vertAlign val="subscript"/>
        <sz val="10"/>
        <rFont val="Times New Roman"/>
        <family val="1"/>
      </rPr>
      <t>con</t>
    </r>
    <r>
      <rPr>
        <sz val="10"/>
        <rFont val="Times New Roman"/>
        <family val="1"/>
      </rPr>
      <t>-σ</t>
    </r>
    <r>
      <rPr>
        <vertAlign val="subscript"/>
        <sz val="10"/>
        <rFont val="Times New Roman"/>
        <family val="1"/>
      </rPr>
      <t>l</t>
    </r>
    <r>
      <rPr>
        <sz val="10"/>
        <rFont val="Times New Roman"/>
        <family val="1"/>
      </rPr>
      <t>=</t>
    </r>
  </si>
  <si>
    <r>
      <rPr>
        <sz val="10"/>
        <color theme="1"/>
        <rFont val="宋体"/>
        <charset val="134"/>
      </rPr>
      <t>受拉区第1排预应力钢绞线处的混凝土法向压应力</t>
    </r>
    <r>
      <rPr>
        <sz val="10"/>
        <color theme="1"/>
        <rFont val="Times New Roman"/>
        <family val="1"/>
      </rPr>
      <t>σpc</t>
    </r>
  </si>
  <si>
    <r>
      <rPr>
        <sz val="10"/>
        <rFont val="宋体"/>
        <charset val="134"/>
      </rPr>
      <t>受拉区第</t>
    </r>
    <r>
      <rPr>
        <sz val="10"/>
        <rFont val="Times New Roman"/>
        <family val="1"/>
      </rPr>
      <t>1</t>
    </r>
    <r>
      <rPr>
        <sz val="10"/>
        <rFont val="宋体"/>
        <charset val="134"/>
      </rPr>
      <t>排钢绞线有效应力</t>
    </r>
    <r>
      <rPr>
        <sz val="10"/>
        <rFont val="Times New Roman"/>
        <family val="1"/>
      </rPr>
      <t>σ</t>
    </r>
    <r>
      <rPr>
        <vertAlign val="subscript"/>
        <sz val="10"/>
        <rFont val="Times New Roman"/>
        <family val="1"/>
      </rPr>
      <t>p0</t>
    </r>
    <r>
      <rPr>
        <sz val="10"/>
        <rFont val="Times New Roman"/>
        <family val="1"/>
      </rPr>
      <t>=σ</t>
    </r>
    <r>
      <rPr>
        <vertAlign val="subscript"/>
        <sz val="10"/>
        <rFont val="Times New Roman"/>
        <family val="1"/>
      </rPr>
      <t>con</t>
    </r>
    <r>
      <rPr>
        <sz val="10"/>
        <rFont val="Times New Roman"/>
        <family val="1"/>
      </rPr>
      <t>-σ</t>
    </r>
    <r>
      <rPr>
        <vertAlign val="subscript"/>
        <sz val="10"/>
        <rFont val="Times New Roman"/>
        <family val="1"/>
      </rPr>
      <t>L</t>
    </r>
    <r>
      <rPr>
        <sz val="10"/>
        <rFont val="Times New Roman"/>
        <family val="1"/>
      </rPr>
      <t>+α</t>
    </r>
    <r>
      <rPr>
        <vertAlign val="superscript"/>
        <sz val="10"/>
        <rFont val="Times New Roman"/>
        <family val="1"/>
      </rPr>
      <t>'</t>
    </r>
    <r>
      <rPr>
        <vertAlign val="subscript"/>
        <sz val="10"/>
        <rFont val="Times New Roman"/>
        <family val="1"/>
      </rPr>
      <t>p</t>
    </r>
    <r>
      <rPr>
        <sz val="10"/>
        <rFont val="Times New Roman"/>
        <family val="1"/>
      </rPr>
      <t>σ</t>
    </r>
    <r>
      <rPr>
        <vertAlign val="subscript"/>
        <sz val="10"/>
        <rFont val="Times New Roman"/>
        <family val="1"/>
      </rPr>
      <t>pc</t>
    </r>
    <r>
      <rPr>
        <sz val="10"/>
        <rFont val="Times New Roman"/>
        <family val="1"/>
      </rPr>
      <t>=</t>
    </r>
  </si>
  <si>
    <t>ζb=</t>
  </si>
  <si>
    <r>
      <rPr>
        <sz val="10"/>
        <rFont val="宋体"/>
        <charset val="134"/>
      </rPr>
      <t>受拉区第</t>
    </r>
    <r>
      <rPr>
        <sz val="10"/>
        <rFont val="Times New Roman"/>
        <family val="1"/>
      </rPr>
      <t>2</t>
    </r>
    <r>
      <rPr>
        <sz val="10"/>
        <rFont val="宋体"/>
        <charset val="134"/>
      </rPr>
      <t>排钢绞线有效应力</t>
    </r>
    <r>
      <rPr>
        <sz val="10"/>
        <rFont val="Times New Roman"/>
        <family val="1"/>
      </rPr>
      <t>σ</t>
    </r>
    <r>
      <rPr>
        <vertAlign val="subscript"/>
        <sz val="10"/>
        <rFont val="Times New Roman"/>
        <family val="1"/>
      </rPr>
      <t>p0</t>
    </r>
    <r>
      <rPr>
        <sz val="10"/>
        <rFont val="Times New Roman"/>
        <family val="1"/>
      </rPr>
      <t>=σ</t>
    </r>
    <r>
      <rPr>
        <vertAlign val="subscript"/>
        <sz val="10"/>
        <rFont val="Times New Roman"/>
        <family val="1"/>
      </rPr>
      <t>con</t>
    </r>
    <r>
      <rPr>
        <sz val="10"/>
        <rFont val="Times New Roman"/>
        <family val="1"/>
      </rPr>
      <t>-σ</t>
    </r>
    <r>
      <rPr>
        <vertAlign val="subscript"/>
        <sz val="10"/>
        <rFont val="Times New Roman"/>
        <family val="1"/>
      </rPr>
      <t>L</t>
    </r>
    <r>
      <rPr>
        <sz val="10"/>
        <rFont val="Times New Roman"/>
        <family val="1"/>
      </rPr>
      <t>+α</t>
    </r>
    <r>
      <rPr>
        <vertAlign val="superscript"/>
        <sz val="10"/>
        <rFont val="Times New Roman"/>
        <family val="1"/>
      </rPr>
      <t>'</t>
    </r>
    <r>
      <rPr>
        <vertAlign val="subscript"/>
        <sz val="10"/>
        <rFont val="Times New Roman"/>
        <family val="1"/>
      </rPr>
      <t>p</t>
    </r>
    <r>
      <rPr>
        <sz val="10"/>
        <rFont val="Times New Roman"/>
        <family val="1"/>
      </rPr>
      <t>σ</t>
    </r>
    <r>
      <rPr>
        <vertAlign val="subscript"/>
        <sz val="10"/>
        <rFont val="Times New Roman"/>
        <family val="1"/>
      </rPr>
      <t>pc</t>
    </r>
    <r>
      <rPr>
        <sz val="10"/>
        <rFont val="Times New Roman"/>
        <family val="1"/>
      </rPr>
      <t>=</t>
    </r>
  </si>
  <si>
    <r>
      <rPr>
        <sz val="10"/>
        <rFont val="宋体"/>
        <charset val="134"/>
      </rPr>
      <t>钢绞线</t>
    </r>
    <r>
      <rPr>
        <sz val="10"/>
        <rFont val="Calibri"/>
        <charset val="161"/>
      </rPr>
      <t>ζ</t>
    </r>
    <r>
      <rPr>
        <sz val="10"/>
        <rFont val="Times New Roman"/>
        <family val="1"/>
      </rPr>
      <t>b=</t>
    </r>
  </si>
  <si>
    <t>表5  抗弯及抗剪承载力计算表</t>
  </si>
  <si>
    <r>
      <rPr>
        <sz val="10"/>
        <rFont val="宋体"/>
        <charset val="134"/>
      </rPr>
      <t>建筑物</t>
    </r>
  </si>
  <si>
    <r>
      <rPr>
        <sz val="10"/>
        <rFont val="宋体"/>
        <charset val="134"/>
      </rPr>
      <t>建筑物级别</t>
    </r>
  </si>
  <si>
    <t>2级</t>
  </si>
  <si>
    <r>
      <rPr>
        <sz val="10"/>
        <rFont val="宋体"/>
        <charset val="134"/>
      </rPr>
      <t>钢筋砼承载力安全系数</t>
    </r>
    <r>
      <rPr>
        <sz val="10"/>
        <rFont val="Times New Roman"/>
        <family val="1"/>
      </rPr>
      <t>K</t>
    </r>
  </si>
  <si>
    <r>
      <rPr>
        <sz val="10"/>
        <rFont val="宋体"/>
        <charset val="134"/>
      </rPr>
      <t>钢筋及混凝土参数</t>
    </r>
  </si>
  <si>
    <r>
      <rPr>
        <sz val="10"/>
        <rFont val="宋体"/>
        <charset val="134"/>
      </rPr>
      <t>砼标号：</t>
    </r>
  </si>
  <si>
    <r>
      <rPr>
        <sz val="10"/>
        <rFont val="宋体"/>
        <charset val="134"/>
      </rPr>
      <t>钢筋标号：</t>
    </r>
  </si>
  <si>
    <r>
      <rPr>
        <sz val="10"/>
        <rFont val="宋体"/>
        <charset val="134"/>
      </rPr>
      <t>抗压强度设计值</t>
    </r>
    <r>
      <rPr>
        <sz val="10"/>
        <rFont val="Times New Roman"/>
        <family val="1"/>
      </rPr>
      <t>fc(MPa)=</t>
    </r>
  </si>
  <si>
    <r>
      <rPr>
        <sz val="10"/>
        <rFont val="宋体"/>
        <charset val="134"/>
      </rPr>
      <t>轴心抗拉强度设计值</t>
    </r>
    <r>
      <rPr>
        <sz val="10"/>
        <rFont val="Times New Roman"/>
        <family val="1"/>
      </rPr>
      <t>ft(MPa)=</t>
    </r>
  </si>
  <si>
    <r>
      <rPr>
        <sz val="10"/>
        <rFont val="宋体"/>
        <charset val="134"/>
      </rPr>
      <t>钢筋弹性模量</t>
    </r>
    <r>
      <rPr>
        <sz val="10"/>
        <rFont val="Times New Roman"/>
        <family val="1"/>
      </rPr>
      <t>Es(MPa)=</t>
    </r>
  </si>
  <si>
    <r>
      <rPr>
        <sz val="10"/>
        <rFont val="宋体"/>
        <charset val="134"/>
      </rPr>
      <t>抗拉强度设计值</t>
    </r>
    <r>
      <rPr>
        <sz val="10"/>
        <rFont val="Times New Roman"/>
        <family val="1"/>
      </rPr>
      <t>fy(MPa)=</t>
    </r>
  </si>
  <si>
    <r>
      <rPr>
        <sz val="10"/>
        <rFont val="宋体"/>
        <charset val="134"/>
      </rPr>
      <t>抗压强度设计值</t>
    </r>
    <r>
      <rPr>
        <sz val="10"/>
        <rFont val="Times New Roman"/>
        <family val="1"/>
      </rPr>
      <t>f'</t>
    </r>
    <r>
      <rPr>
        <vertAlign val="subscript"/>
        <sz val="10"/>
        <rFont val="Times New Roman"/>
        <family val="1"/>
      </rPr>
      <t>y</t>
    </r>
    <r>
      <rPr>
        <sz val="10"/>
        <rFont val="Times New Roman"/>
        <family val="1"/>
      </rPr>
      <t>(MPa)=</t>
    </r>
  </si>
  <si>
    <r>
      <rPr>
        <sz val="10"/>
        <rFont val="宋体"/>
        <charset val="134"/>
      </rPr>
      <t>受拉钢筋保护层</t>
    </r>
    <r>
      <rPr>
        <sz val="10"/>
        <rFont val="Times New Roman"/>
        <family val="1"/>
      </rPr>
      <t>as(m)=</t>
    </r>
  </si>
  <si>
    <r>
      <rPr>
        <sz val="10"/>
        <rFont val="宋体"/>
        <charset val="134"/>
      </rPr>
      <t>受压钢筋保护层</t>
    </r>
    <r>
      <rPr>
        <sz val="10"/>
        <rFont val="Times New Roman"/>
        <family val="1"/>
      </rPr>
      <t>as'(m)=</t>
    </r>
  </si>
  <si>
    <r>
      <rPr>
        <sz val="10"/>
        <rFont val="宋体"/>
        <charset val="134"/>
      </rPr>
      <t>相对界限受压区计算高度</t>
    </r>
    <r>
      <rPr>
        <sz val="10"/>
        <rFont val="Times New Roman"/>
        <family val="1"/>
      </rPr>
      <t>ξb=</t>
    </r>
  </si>
  <si>
    <r>
      <t>φ</t>
    </r>
    <r>
      <rPr>
        <vertAlign val="superscript"/>
        <sz val="10"/>
        <rFont val="Times New Roman"/>
        <family val="1"/>
      </rPr>
      <t>s</t>
    </r>
    <r>
      <rPr>
        <sz val="10"/>
        <rFont val="Times New Roman"/>
        <family val="1"/>
      </rPr>
      <t>1×7-15.2-1860</t>
    </r>
  </si>
  <si>
    <r>
      <rPr>
        <sz val="10"/>
        <rFont val="宋体"/>
        <charset val="134"/>
      </rPr>
      <t>预应力钢绞线强度标准值</t>
    </r>
    <r>
      <rPr>
        <sz val="10"/>
        <rFont val="Times New Roman"/>
        <family val="1"/>
      </rPr>
      <t>f</t>
    </r>
    <r>
      <rPr>
        <vertAlign val="subscript"/>
        <sz val="10"/>
        <rFont val="Times New Roman"/>
        <family val="1"/>
      </rPr>
      <t>ptk</t>
    </r>
    <r>
      <rPr>
        <sz val="10"/>
        <rFont val="Times New Roman"/>
        <family val="1"/>
      </rPr>
      <t>(MPa)=</t>
    </r>
  </si>
  <si>
    <r>
      <rPr>
        <sz val="10"/>
        <rFont val="宋体"/>
        <charset val="134"/>
      </rPr>
      <t>抗拉强度设计值</t>
    </r>
    <r>
      <rPr>
        <sz val="10"/>
        <rFont val="Times New Roman"/>
        <family val="1"/>
      </rPr>
      <t>f</t>
    </r>
    <r>
      <rPr>
        <vertAlign val="subscript"/>
        <sz val="10"/>
        <rFont val="Times New Roman"/>
        <family val="1"/>
      </rPr>
      <t>py</t>
    </r>
    <r>
      <rPr>
        <sz val="10"/>
        <rFont val="Times New Roman"/>
        <family val="1"/>
      </rPr>
      <t>(MPa)=</t>
    </r>
  </si>
  <si>
    <r>
      <rPr>
        <sz val="10"/>
        <rFont val="宋体"/>
        <charset val="134"/>
      </rPr>
      <t>抗压强度设计值</t>
    </r>
    <r>
      <rPr>
        <sz val="10"/>
        <rFont val="Times New Roman"/>
        <family val="1"/>
      </rPr>
      <t>f</t>
    </r>
    <r>
      <rPr>
        <vertAlign val="superscript"/>
        <sz val="10"/>
        <rFont val="Times New Roman"/>
        <family val="1"/>
      </rPr>
      <t>′</t>
    </r>
    <r>
      <rPr>
        <vertAlign val="subscript"/>
        <sz val="10"/>
        <rFont val="Times New Roman"/>
        <family val="1"/>
      </rPr>
      <t>py</t>
    </r>
    <r>
      <rPr>
        <sz val="10"/>
        <rFont val="Times New Roman"/>
        <family val="1"/>
      </rPr>
      <t>(MPa)=</t>
    </r>
  </si>
  <si>
    <r>
      <rPr>
        <sz val="10"/>
        <rFont val="宋体"/>
        <charset val="134"/>
      </rPr>
      <t>钢绞线弹模</t>
    </r>
    <r>
      <rPr>
        <sz val="10"/>
        <rFont val="Times New Roman"/>
        <family val="1"/>
      </rPr>
      <t>E</t>
    </r>
    <r>
      <rPr>
        <sz val="10"/>
        <rFont val="Times New Roman"/>
        <family val="1"/>
      </rPr>
      <t>′</t>
    </r>
    <r>
      <rPr>
        <vertAlign val="subscript"/>
        <sz val="10"/>
        <rFont val="Times New Roman"/>
        <family val="1"/>
      </rPr>
      <t>p</t>
    </r>
    <r>
      <rPr>
        <sz val="10"/>
        <rFont val="Times New Roman"/>
        <family val="1"/>
      </rPr>
      <t>(MPa)=</t>
    </r>
  </si>
  <si>
    <r>
      <rPr>
        <sz val="10"/>
        <rFont val="宋体"/>
        <charset val="134"/>
      </rPr>
      <t>截面参数</t>
    </r>
  </si>
  <si>
    <r>
      <rPr>
        <sz val="10"/>
        <rFont val="宋体"/>
        <charset val="134"/>
      </rPr>
      <t>编号</t>
    </r>
  </si>
  <si>
    <r>
      <rPr>
        <sz val="10"/>
        <rFont val="宋体"/>
        <charset val="134"/>
      </rPr>
      <t>截面类型：</t>
    </r>
  </si>
  <si>
    <r>
      <rPr>
        <sz val="10"/>
        <rFont val="宋体"/>
        <charset val="134"/>
      </rPr>
      <t>矩形</t>
    </r>
  </si>
  <si>
    <r>
      <t>T</t>
    </r>
    <r>
      <rPr>
        <sz val="10"/>
        <rFont val="宋体"/>
        <charset val="134"/>
      </rPr>
      <t>形</t>
    </r>
  </si>
  <si>
    <r>
      <rPr>
        <sz val="10"/>
        <rFont val="宋体"/>
        <charset val="134"/>
      </rPr>
      <t>截面高度</t>
    </r>
    <r>
      <rPr>
        <sz val="10"/>
        <rFont val="Times New Roman"/>
        <family val="1"/>
      </rPr>
      <t>h=</t>
    </r>
  </si>
  <si>
    <r>
      <rPr>
        <sz val="10"/>
        <rFont val="宋体"/>
        <charset val="134"/>
      </rPr>
      <t>截面宽度</t>
    </r>
    <r>
      <rPr>
        <sz val="10"/>
        <rFont val="Times New Roman"/>
        <family val="1"/>
      </rPr>
      <t>b=</t>
    </r>
  </si>
  <si>
    <r>
      <rPr>
        <sz val="10"/>
        <rFont val="宋体"/>
        <charset val="134"/>
      </rPr>
      <t>顶宽度</t>
    </r>
    <r>
      <rPr>
        <sz val="10"/>
        <rFont val="Times New Roman"/>
        <family val="1"/>
      </rPr>
      <t>bf"=</t>
    </r>
  </si>
  <si>
    <r>
      <rPr>
        <sz val="10"/>
        <rFont val="宋体"/>
        <charset val="134"/>
      </rPr>
      <t>翼缘高度</t>
    </r>
    <r>
      <rPr>
        <sz val="10"/>
        <rFont val="Times New Roman"/>
        <family val="1"/>
      </rPr>
      <t>hf"=</t>
    </r>
  </si>
  <si>
    <r>
      <rPr>
        <sz val="10"/>
        <rFont val="宋体"/>
        <charset val="134"/>
      </rPr>
      <t>配筋信息</t>
    </r>
    <r>
      <rPr>
        <sz val="10"/>
        <rFont val="Times New Roman"/>
        <family val="1"/>
      </rPr>
      <t xml:space="preserve">
</t>
    </r>
    <r>
      <rPr>
        <sz val="10"/>
        <rFont val="宋体"/>
        <charset val="134"/>
      </rPr>
      <t>（单位</t>
    </r>
    <r>
      <rPr>
        <sz val="10"/>
        <rFont val="Times New Roman"/>
        <family val="1"/>
      </rPr>
      <t xml:space="preserve"> mm</t>
    </r>
    <r>
      <rPr>
        <vertAlign val="superscript"/>
        <sz val="10"/>
        <rFont val="Times New Roman"/>
        <family val="1"/>
      </rPr>
      <t>2</t>
    </r>
    <r>
      <rPr>
        <sz val="10"/>
        <rFont val="宋体"/>
        <charset val="134"/>
      </rPr>
      <t>）</t>
    </r>
  </si>
  <si>
    <r>
      <rPr>
        <sz val="10"/>
        <rFont val="宋体"/>
        <charset val="134"/>
      </rPr>
      <t>受拉区第</t>
    </r>
    <r>
      <rPr>
        <sz val="10"/>
        <rFont val="Times New Roman"/>
        <family val="1"/>
      </rPr>
      <t>1</t>
    </r>
    <r>
      <rPr>
        <sz val="10"/>
        <rFont val="宋体"/>
        <charset val="134"/>
      </rPr>
      <t>排预应力钢筋面积</t>
    </r>
    <r>
      <rPr>
        <sz val="10"/>
        <rFont val="Times New Roman"/>
        <family val="1"/>
      </rPr>
      <t>AP=</t>
    </r>
  </si>
  <si>
    <r>
      <rPr>
        <sz val="10"/>
        <rFont val="宋体"/>
        <charset val="134"/>
      </rPr>
      <t>受拉区第</t>
    </r>
    <r>
      <rPr>
        <sz val="10"/>
        <rFont val="Times New Roman"/>
        <family val="1"/>
      </rPr>
      <t>2</t>
    </r>
    <r>
      <rPr>
        <sz val="10"/>
        <rFont val="宋体"/>
        <charset val="134"/>
      </rPr>
      <t>排预应力钢筋面积</t>
    </r>
    <r>
      <rPr>
        <sz val="10"/>
        <rFont val="Times New Roman"/>
        <family val="1"/>
      </rPr>
      <t>AP=</t>
    </r>
  </si>
  <si>
    <r>
      <rPr>
        <sz val="10"/>
        <rFont val="宋体"/>
        <charset val="134"/>
      </rPr>
      <t>受压区预应力钢筋面积</t>
    </r>
    <r>
      <rPr>
        <sz val="10"/>
        <rFont val="Times New Roman"/>
        <family val="1"/>
      </rPr>
      <t>AP'=</t>
    </r>
  </si>
  <si>
    <r>
      <rPr>
        <sz val="10"/>
        <rFont val="宋体"/>
        <charset val="134"/>
      </rPr>
      <t>受压区预应力钢筋距离受压区边缘距离</t>
    </r>
    <r>
      <rPr>
        <sz val="10"/>
        <rFont val="Times New Roman"/>
        <family val="1"/>
      </rPr>
      <t>ap"(m)=</t>
    </r>
  </si>
  <si>
    <r>
      <rPr>
        <sz val="10"/>
        <rFont val="宋体"/>
        <charset val="134"/>
      </rPr>
      <t>受拉区普通钢筋面积</t>
    </r>
    <r>
      <rPr>
        <sz val="10"/>
        <rFont val="Times New Roman"/>
        <family val="1"/>
      </rPr>
      <t>As=</t>
    </r>
  </si>
  <si>
    <r>
      <rPr>
        <sz val="10"/>
        <rFont val="宋体"/>
        <charset val="134"/>
      </rPr>
      <t>受压区普通钢筋面积</t>
    </r>
    <r>
      <rPr>
        <sz val="10"/>
        <rFont val="Times New Roman"/>
        <family val="1"/>
      </rPr>
      <t>As'=</t>
    </r>
  </si>
  <si>
    <r>
      <rPr>
        <sz val="10"/>
        <rFont val="宋体"/>
        <charset val="134"/>
      </rPr>
      <t>内力</t>
    </r>
  </si>
  <si>
    <r>
      <rPr>
        <sz val="10"/>
        <rFont val="宋体"/>
        <charset val="134"/>
      </rPr>
      <t>弯矩设计值</t>
    </r>
    <r>
      <rPr>
        <sz val="10"/>
        <rFont val="Times New Roman"/>
        <family val="1"/>
      </rPr>
      <t>M</t>
    </r>
    <r>
      <rPr>
        <sz val="10"/>
        <rFont val="宋体"/>
        <charset val="134"/>
      </rPr>
      <t>（不分正负）</t>
    </r>
    <r>
      <rPr>
        <sz val="10"/>
        <rFont val="Times New Roman"/>
        <family val="1"/>
      </rPr>
      <t>(KN·m)=</t>
    </r>
  </si>
  <si>
    <r>
      <rPr>
        <sz val="10"/>
        <rFont val="宋体"/>
        <charset val="134"/>
      </rPr>
      <t>轴力设计值</t>
    </r>
    <r>
      <rPr>
        <sz val="10"/>
        <rFont val="Times New Roman"/>
        <family val="1"/>
      </rPr>
      <t>(</t>
    </r>
    <r>
      <rPr>
        <sz val="10"/>
        <rFont val="宋体"/>
        <charset val="134"/>
      </rPr>
      <t>受压为</t>
    </r>
    <r>
      <rPr>
        <sz val="10"/>
        <rFont val="Times New Roman"/>
        <family val="1"/>
      </rPr>
      <t>+)N(KN)=</t>
    </r>
  </si>
  <si>
    <r>
      <rPr>
        <sz val="10"/>
        <rFont val="宋体"/>
        <charset val="134"/>
      </rPr>
      <t>剪力设计值</t>
    </r>
    <r>
      <rPr>
        <sz val="10"/>
        <rFont val="Times New Roman"/>
        <family val="1"/>
      </rPr>
      <t>(</t>
    </r>
    <r>
      <rPr>
        <sz val="10"/>
        <rFont val="宋体"/>
        <charset val="134"/>
      </rPr>
      <t>受压为</t>
    </r>
    <r>
      <rPr>
        <sz val="10"/>
        <rFont val="Times New Roman"/>
        <family val="1"/>
      </rPr>
      <t>+)N(KN)=</t>
    </r>
  </si>
  <si>
    <r>
      <rPr>
        <sz val="10"/>
        <rFont val="宋体"/>
        <charset val="134"/>
      </rPr>
      <t>中间变量</t>
    </r>
  </si>
  <si>
    <r>
      <rPr>
        <sz val="10"/>
        <color theme="1"/>
        <rFont val="宋体"/>
        <charset val="134"/>
      </rPr>
      <t>受压区预应力钢筋的有效应力</t>
    </r>
    <r>
      <rPr>
        <sz val="10"/>
        <color theme="1"/>
        <rFont val="Times New Roman"/>
        <family val="1"/>
      </rPr>
      <t>σ'p0=σcon-σL+α'pσ’pc=</t>
    </r>
  </si>
  <si>
    <r>
      <rPr>
        <sz val="10"/>
        <rFont val="宋体"/>
        <charset val="134"/>
      </rPr>
      <t>受压区高度初步计算值</t>
    </r>
    <r>
      <rPr>
        <sz val="10"/>
        <rFont val="Times New Roman"/>
        <family val="1"/>
      </rPr>
      <t>x(m)=</t>
    </r>
  </si>
  <si>
    <r>
      <rPr>
        <sz val="10"/>
        <rFont val="宋体"/>
        <charset val="134"/>
      </rPr>
      <t>截面类型判别：</t>
    </r>
  </si>
  <si>
    <r>
      <t>h</t>
    </r>
    <r>
      <rPr>
        <vertAlign val="subscript"/>
        <sz val="10"/>
        <rFont val="Times New Roman"/>
        <family val="1"/>
      </rPr>
      <t>0</t>
    </r>
  </si>
  <si>
    <r>
      <t>0.85ξ</t>
    </r>
    <r>
      <rPr>
        <vertAlign val="subscript"/>
        <sz val="10"/>
        <rFont val="Times New Roman"/>
        <family val="1"/>
      </rPr>
      <t>b</t>
    </r>
    <r>
      <rPr>
        <sz val="10"/>
        <rFont val="Times New Roman"/>
        <family val="1"/>
      </rPr>
      <t>h</t>
    </r>
    <r>
      <rPr>
        <vertAlign val="subscript"/>
        <sz val="10"/>
        <rFont val="Times New Roman"/>
        <family val="1"/>
      </rPr>
      <t>0</t>
    </r>
  </si>
  <si>
    <t>2a"</t>
  </si>
  <si>
    <r>
      <rPr>
        <sz val="10"/>
        <rFont val="宋体"/>
        <charset val="134"/>
      </rPr>
      <t>重新计算受压区高度</t>
    </r>
    <r>
      <rPr>
        <sz val="10"/>
        <rFont val="Times New Roman"/>
        <family val="1"/>
      </rPr>
      <t>x(m)=</t>
    </r>
  </si>
  <si>
    <r>
      <rPr>
        <sz val="10"/>
        <rFont val="宋体"/>
        <charset val="134"/>
      </rPr>
      <t>受压区高度判别：</t>
    </r>
  </si>
  <si>
    <r>
      <rPr>
        <sz val="10"/>
        <rFont val="宋体"/>
        <charset val="134"/>
      </rPr>
      <t>截面抗弯承载力</t>
    </r>
    <r>
      <rPr>
        <sz val="10"/>
        <rFont val="Times New Roman"/>
        <family val="1"/>
      </rPr>
      <t>Mc(KN·m)=</t>
    </r>
  </si>
  <si>
    <r>
      <t>h</t>
    </r>
    <r>
      <rPr>
        <vertAlign val="subscript"/>
        <sz val="10"/>
        <rFont val="Times New Roman"/>
        <family val="1"/>
      </rPr>
      <t>w</t>
    </r>
    <r>
      <rPr>
        <sz val="10"/>
        <rFont val="Times New Roman"/>
        <family val="1"/>
      </rPr>
      <t>/b=</t>
    </r>
  </si>
  <si>
    <r>
      <t>ηf</t>
    </r>
    <r>
      <rPr>
        <vertAlign val="subscript"/>
        <sz val="10"/>
        <color rgb="FF000000"/>
        <rFont val="Times New Roman"/>
        <family val="1"/>
      </rPr>
      <t>c</t>
    </r>
    <r>
      <rPr>
        <sz val="10"/>
        <color rgb="FF000000"/>
        <rFont val="Times New Roman"/>
        <family val="1"/>
      </rPr>
      <t>bh</t>
    </r>
    <r>
      <rPr>
        <vertAlign val="subscript"/>
        <sz val="10"/>
        <color rgb="FF000000"/>
        <rFont val="Times New Roman"/>
        <family val="1"/>
      </rPr>
      <t>0</t>
    </r>
    <r>
      <rPr>
        <sz val="10"/>
        <color rgb="FF000000"/>
        <rFont val="Times New Roman"/>
        <family val="1"/>
      </rPr>
      <t>=</t>
    </r>
  </si>
  <si>
    <r>
      <rPr>
        <sz val="10"/>
        <rFont val="宋体"/>
        <charset val="134"/>
      </rPr>
      <t>抗剪截面判别：</t>
    </r>
  </si>
  <si>
    <r>
      <t>0.3f</t>
    </r>
    <r>
      <rPr>
        <vertAlign val="subscript"/>
        <sz val="10"/>
        <color theme="1"/>
        <rFont val="Times New Roman"/>
        <family val="1"/>
      </rPr>
      <t>c</t>
    </r>
    <r>
      <rPr>
        <sz val="10"/>
        <color theme="1"/>
        <rFont val="Times New Roman"/>
        <family val="1"/>
      </rPr>
      <t>A</t>
    </r>
    <r>
      <rPr>
        <vertAlign val="subscript"/>
        <sz val="10"/>
        <color theme="1"/>
        <rFont val="Times New Roman"/>
        <family val="1"/>
      </rPr>
      <t>o</t>
    </r>
    <r>
      <rPr>
        <sz val="10"/>
        <color theme="1"/>
        <rFont val="Times New Roman"/>
        <family val="1"/>
      </rPr>
      <t>=</t>
    </r>
  </si>
  <si>
    <r>
      <t>N</t>
    </r>
    <r>
      <rPr>
        <vertAlign val="subscript"/>
        <sz val="10"/>
        <color theme="1"/>
        <rFont val="Times New Roman"/>
        <family val="1"/>
      </rPr>
      <t>p0</t>
    </r>
    <r>
      <rPr>
        <sz val="10"/>
        <color theme="1"/>
        <rFont val="Times New Roman"/>
        <family val="1"/>
      </rPr>
      <t>=</t>
    </r>
  </si>
  <si>
    <r>
      <rPr>
        <sz val="10"/>
        <rFont val="宋体"/>
        <charset val="134"/>
      </rPr>
      <t>箍筋配置情况</t>
    </r>
  </si>
  <si>
    <r>
      <t>A</t>
    </r>
    <r>
      <rPr>
        <vertAlign val="subscript"/>
        <sz val="10"/>
        <color theme="1"/>
        <rFont val="Times New Roman"/>
        <family val="1"/>
      </rPr>
      <t>sv</t>
    </r>
    <r>
      <rPr>
        <sz val="10"/>
        <color theme="1"/>
        <rFont val="Times New Roman"/>
        <family val="1"/>
      </rPr>
      <t>=</t>
    </r>
  </si>
  <si>
    <r>
      <rPr>
        <sz val="10"/>
        <rFont val="宋体"/>
        <charset val="134"/>
      </rPr>
      <t>箍筋抗拉强度设计值</t>
    </r>
    <r>
      <rPr>
        <sz val="10"/>
        <rFont val="Times New Roman"/>
        <family val="1"/>
      </rPr>
      <t>f</t>
    </r>
    <r>
      <rPr>
        <vertAlign val="subscript"/>
        <sz val="10"/>
        <rFont val="Times New Roman"/>
        <family val="1"/>
      </rPr>
      <t>yv</t>
    </r>
    <r>
      <rPr>
        <sz val="10"/>
        <rFont val="宋体"/>
        <charset val="134"/>
      </rPr>
      <t>（</t>
    </r>
    <r>
      <rPr>
        <sz val="10"/>
        <rFont val="Times New Roman"/>
        <family val="1"/>
      </rPr>
      <t>MPa</t>
    </r>
    <r>
      <rPr>
        <sz val="10"/>
        <rFont val="宋体"/>
        <charset val="134"/>
      </rPr>
      <t>）</t>
    </r>
    <r>
      <rPr>
        <sz val="10"/>
        <rFont val="Times New Roman"/>
        <family val="1"/>
      </rPr>
      <t>=</t>
    </r>
  </si>
  <si>
    <r>
      <rPr>
        <sz val="10"/>
        <color theme="1"/>
        <rFont val="宋体"/>
        <charset val="134"/>
      </rPr>
      <t>抗剪承载力：</t>
    </r>
    <r>
      <rPr>
        <sz val="10"/>
        <color theme="1"/>
        <rFont val="Times New Roman"/>
        <family val="1"/>
      </rPr>
      <t>Vc+Vp+Vsv=</t>
    </r>
  </si>
  <si>
    <r>
      <rPr>
        <sz val="10"/>
        <color theme="1"/>
        <rFont val="宋体"/>
        <charset val="134"/>
      </rPr>
      <t>计算结果</t>
    </r>
  </si>
  <si>
    <r>
      <rPr>
        <sz val="10"/>
        <color theme="1"/>
        <rFont val="宋体"/>
        <charset val="134"/>
      </rPr>
      <t>截面类型：</t>
    </r>
  </si>
  <si>
    <r>
      <rPr>
        <sz val="10"/>
        <color theme="1"/>
        <rFont val="宋体"/>
        <charset val="134"/>
      </rPr>
      <t>受压区高度</t>
    </r>
    <r>
      <rPr>
        <sz val="10"/>
        <color theme="1"/>
        <rFont val="Times New Roman"/>
        <family val="1"/>
      </rPr>
      <t>x(m)=</t>
    </r>
  </si>
  <si>
    <r>
      <rPr>
        <sz val="10"/>
        <rFont val="宋体"/>
        <charset val="134"/>
      </rPr>
      <t>抗弯承载力：</t>
    </r>
  </si>
  <si>
    <r>
      <rPr>
        <sz val="10"/>
        <color theme="1"/>
        <rFont val="宋体"/>
        <charset val="134"/>
      </rPr>
      <t>截面抗剪承载力</t>
    </r>
    <r>
      <rPr>
        <sz val="10"/>
        <color theme="1"/>
        <rFont val="Times New Roman"/>
        <family val="1"/>
      </rPr>
      <t>(KN)</t>
    </r>
    <r>
      <rPr>
        <sz val="10"/>
        <color theme="1"/>
        <rFont val="宋体"/>
        <charset val="134"/>
      </rPr>
      <t>：</t>
    </r>
  </si>
  <si>
    <r>
      <rPr>
        <sz val="10"/>
        <color theme="1"/>
        <rFont val="宋体"/>
        <charset val="134"/>
      </rPr>
      <t>抗剪承载力：</t>
    </r>
  </si>
  <si>
    <t>表 6 正截面抗裂验算表</t>
  </si>
  <si>
    <r>
      <t>净截面重心至第</t>
    </r>
    <r>
      <rPr>
        <sz val="10"/>
        <color theme="1"/>
        <rFont val="Times New Roman"/>
        <family val="1"/>
      </rPr>
      <t>1</t>
    </r>
    <r>
      <rPr>
        <sz val="10"/>
        <color theme="1"/>
        <rFont val="宋体"/>
        <charset val="134"/>
      </rPr>
      <t>验算点距离</t>
    </r>
    <r>
      <rPr>
        <sz val="10"/>
        <color theme="1"/>
        <rFont val="Times New Roman"/>
        <family val="1"/>
      </rPr>
      <t>yn1</t>
    </r>
    <r>
      <rPr>
        <sz val="10"/>
        <color theme="1"/>
        <rFont val="宋体"/>
        <charset val="134"/>
      </rPr>
      <t>（</t>
    </r>
    <r>
      <rPr>
        <sz val="10"/>
        <color theme="1"/>
        <rFont val="Times New Roman"/>
        <family val="1"/>
      </rPr>
      <t>m</t>
    </r>
    <r>
      <rPr>
        <sz val="10"/>
        <color theme="1"/>
        <rFont val="宋体"/>
        <charset val="134"/>
      </rPr>
      <t>）</t>
    </r>
  </si>
  <si>
    <t>槽底</t>
  </si>
  <si>
    <r>
      <t>净截面重心至第</t>
    </r>
    <r>
      <rPr>
        <sz val="10"/>
        <color theme="1"/>
        <rFont val="Times New Roman"/>
        <family val="1"/>
      </rPr>
      <t>2</t>
    </r>
    <r>
      <rPr>
        <sz val="10"/>
        <color theme="1"/>
        <rFont val="宋体"/>
        <charset val="134"/>
      </rPr>
      <t>验算点距离</t>
    </r>
    <r>
      <rPr>
        <sz val="10"/>
        <color theme="1"/>
        <rFont val="Times New Roman"/>
        <family val="1"/>
      </rPr>
      <t>yn2</t>
    </r>
    <r>
      <rPr>
        <sz val="10"/>
        <color theme="1"/>
        <rFont val="宋体"/>
        <charset val="134"/>
      </rPr>
      <t>（</t>
    </r>
    <r>
      <rPr>
        <sz val="10"/>
        <color theme="1"/>
        <rFont val="Times New Roman"/>
        <family val="1"/>
      </rPr>
      <t>m</t>
    </r>
    <r>
      <rPr>
        <sz val="10"/>
        <color theme="1"/>
        <rFont val="宋体"/>
        <charset val="134"/>
      </rPr>
      <t>）</t>
    </r>
  </si>
  <si>
    <t>下缘</t>
  </si>
  <si>
    <r>
      <t>净截面重心至第</t>
    </r>
    <r>
      <rPr>
        <sz val="10"/>
        <color theme="1"/>
        <rFont val="Times New Roman"/>
        <family val="1"/>
      </rPr>
      <t>3</t>
    </r>
    <r>
      <rPr>
        <sz val="10"/>
        <color theme="1"/>
        <rFont val="宋体"/>
        <charset val="134"/>
      </rPr>
      <t>验算点距离</t>
    </r>
    <r>
      <rPr>
        <sz val="10"/>
        <color theme="1"/>
        <rFont val="Times New Roman"/>
        <family val="1"/>
      </rPr>
      <t>yn3</t>
    </r>
    <r>
      <rPr>
        <sz val="10"/>
        <color theme="1"/>
        <rFont val="宋体"/>
        <charset val="134"/>
      </rPr>
      <t>（</t>
    </r>
    <r>
      <rPr>
        <sz val="10"/>
        <color theme="1"/>
        <rFont val="Times New Roman"/>
        <family val="1"/>
      </rPr>
      <t>m</t>
    </r>
    <r>
      <rPr>
        <sz val="10"/>
        <color theme="1"/>
        <rFont val="宋体"/>
        <charset val="134"/>
      </rPr>
      <t>）</t>
    </r>
  </si>
  <si>
    <t>上缘</t>
  </si>
  <si>
    <r>
      <t>净截面面积</t>
    </r>
    <r>
      <rPr>
        <sz val="10"/>
        <color theme="1"/>
        <rFont val="Times New Roman"/>
        <family val="1"/>
      </rPr>
      <t>An</t>
    </r>
    <r>
      <rPr>
        <sz val="10"/>
        <color theme="1"/>
        <rFont val="宋体"/>
        <charset val="134"/>
      </rPr>
      <t>（</t>
    </r>
    <r>
      <rPr>
        <sz val="10"/>
        <color theme="1"/>
        <rFont val="Times New Roman"/>
        <family val="1"/>
      </rPr>
      <t>m</t>
    </r>
    <r>
      <rPr>
        <vertAlign val="superscript"/>
        <sz val="10"/>
        <color theme="1"/>
        <rFont val="Times New Roman"/>
        <family val="1"/>
      </rPr>
      <t>2</t>
    </r>
    <r>
      <rPr>
        <sz val="10"/>
        <color theme="1"/>
        <rFont val="宋体"/>
        <charset val="134"/>
      </rPr>
      <t>）</t>
    </r>
    <r>
      <rPr>
        <sz val="10"/>
        <color theme="1"/>
        <rFont val="Times New Roman"/>
        <family val="1"/>
      </rPr>
      <t>=</t>
    </r>
  </si>
  <si>
    <r>
      <t>净截面惯性矩</t>
    </r>
    <r>
      <rPr>
        <sz val="10"/>
        <color theme="1"/>
        <rFont val="Times New Roman"/>
        <family val="1"/>
      </rPr>
      <t>In</t>
    </r>
    <r>
      <rPr>
        <sz val="10"/>
        <color theme="1"/>
        <rFont val="宋体"/>
        <charset val="134"/>
      </rPr>
      <t>（</t>
    </r>
    <r>
      <rPr>
        <sz val="10"/>
        <color theme="1"/>
        <rFont val="Times New Roman"/>
        <family val="1"/>
      </rPr>
      <t>m</t>
    </r>
    <r>
      <rPr>
        <vertAlign val="superscript"/>
        <sz val="10"/>
        <color theme="1"/>
        <rFont val="Times New Roman"/>
        <family val="1"/>
      </rPr>
      <t>4</t>
    </r>
    <r>
      <rPr>
        <sz val="10"/>
        <color theme="1"/>
        <rFont val="宋体"/>
        <charset val="134"/>
      </rPr>
      <t>）</t>
    </r>
    <r>
      <rPr>
        <sz val="10"/>
        <color theme="1"/>
        <rFont val="Times New Roman"/>
        <family val="1"/>
      </rPr>
      <t>=</t>
    </r>
  </si>
  <si>
    <r>
      <t>净截面重心至预应力钢筋及非预应力钢筋合力点的距离</t>
    </r>
    <r>
      <rPr>
        <sz val="10"/>
        <color theme="1"/>
        <rFont val="Times New Roman"/>
        <family val="1"/>
      </rPr>
      <t>e</t>
    </r>
    <r>
      <rPr>
        <vertAlign val="subscript"/>
        <sz val="10"/>
        <color theme="1"/>
        <rFont val="Times New Roman"/>
        <family val="1"/>
      </rPr>
      <t>pn</t>
    </r>
    <r>
      <rPr>
        <sz val="10"/>
        <color theme="1"/>
        <rFont val="宋体"/>
        <charset val="134"/>
      </rPr>
      <t>（</t>
    </r>
    <r>
      <rPr>
        <sz val="10"/>
        <color theme="1"/>
        <rFont val="Times New Roman"/>
        <family val="1"/>
      </rPr>
      <t>m</t>
    </r>
    <r>
      <rPr>
        <sz val="10"/>
        <color theme="1"/>
        <rFont val="宋体"/>
        <charset val="134"/>
      </rPr>
      <t>）</t>
    </r>
    <r>
      <rPr>
        <sz val="10"/>
        <color theme="1"/>
        <rFont val="Times New Roman"/>
        <family val="1"/>
      </rPr>
      <t>=</t>
    </r>
  </si>
  <si>
    <r>
      <t>预应力钢筋及非预应力钢筋合力</t>
    </r>
    <r>
      <rPr>
        <sz val="10"/>
        <color theme="1"/>
        <rFont val="Times New Roman"/>
        <family val="1"/>
      </rPr>
      <t>N</t>
    </r>
    <r>
      <rPr>
        <vertAlign val="subscript"/>
        <sz val="10"/>
        <color theme="1"/>
        <rFont val="Times New Roman"/>
        <family val="1"/>
      </rPr>
      <t>p</t>
    </r>
    <r>
      <rPr>
        <sz val="10"/>
        <color theme="1"/>
        <rFont val="Times New Roman"/>
        <family val="1"/>
      </rPr>
      <t>(KN)=</t>
    </r>
  </si>
  <si>
    <r>
      <t>第2验算点混凝土法向应力</t>
    </r>
    <r>
      <rPr>
        <sz val="10"/>
        <color theme="1"/>
        <rFont val="Times New Roman"/>
        <family val="1"/>
      </rPr>
      <t>σ</t>
    </r>
    <r>
      <rPr>
        <vertAlign val="subscript"/>
        <sz val="10"/>
        <color theme="1"/>
        <rFont val="Times New Roman"/>
        <family val="1"/>
      </rPr>
      <t>pc2</t>
    </r>
    <r>
      <rPr>
        <sz val="10"/>
        <color theme="1"/>
        <rFont val="Times New Roman"/>
        <family val="1"/>
      </rPr>
      <t>(KPa)=</t>
    </r>
  </si>
  <si>
    <r>
      <t>第3验算点混凝土法向应力</t>
    </r>
    <r>
      <rPr>
        <sz val="10"/>
        <color theme="1"/>
        <rFont val="Times New Roman"/>
        <family val="1"/>
      </rPr>
      <t>σ</t>
    </r>
    <r>
      <rPr>
        <vertAlign val="subscript"/>
        <sz val="10"/>
        <color theme="1"/>
        <rFont val="Times New Roman"/>
        <family val="1"/>
      </rPr>
      <t>pc3</t>
    </r>
    <r>
      <rPr>
        <sz val="10"/>
        <color theme="1"/>
        <rFont val="Times New Roman"/>
        <family val="1"/>
      </rPr>
      <t>(KPa)=</t>
    </r>
  </si>
  <si>
    <t>内力标准值：</t>
  </si>
  <si>
    <r>
      <t>弯矩标准值M</t>
    </r>
    <r>
      <rPr>
        <vertAlign val="subscript"/>
        <sz val="10"/>
        <color theme="1"/>
        <rFont val="宋体"/>
        <charset val="134"/>
      </rPr>
      <t>k</t>
    </r>
    <r>
      <rPr>
        <sz val="10"/>
        <color theme="1"/>
        <rFont val="宋体"/>
        <charset val="134"/>
      </rPr>
      <t>（KN·m）（下部受拉为正）：</t>
    </r>
  </si>
  <si>
    <r>
      <t>轴力标准值N</t>
    </r>
    <r>
      <rPr>
        <vertAlign val="subscript"/>
        <sz val="10"/>
        <color theme="1"/>
        <rFont val="宋体"/>
        <charset val="134"/>
      </rPr>
      <t>k</t>
    </r>
    <r>
      <rPr>
        <sz val="10"/>
        <color theme="1"/>
        <rFont val="宋体"/>
        <charset val="134"/>
      </rPr>
      <t>（KN）（受压为正）：</t>
    </r>
  </si>
  <si>
    <r>
      <t>换算面面积</t>
    </r>
    <r>
      <rPr>
        <sz val="10"/>
        <color theme="1"/>
        <rFont val="Times New Roman"/>
        <family val="1"/>
      </rPr>
      <t>A0</t>
    </r>
    <r>
      <rPr>
        <sz val="10"/>
        <color theme="1"/>
        <rFont val="宋体"/>
        <charset val="134"/>
      </rPr>
      <t>（</t>
    </r>
    <r>
      <rPr>
        <sz val="10"/>
        <color theme="1"/>
        <rFont val="Times New Roman"/>
        <family val="1"/>
      </rPr>
      <t>m</t>
    </r>
    <r>
      <rPr>
        <vertAlign val="superscript"/>
        <sz val="10"/>
        <color theme="1"/>
        <rFont val="Times New Roman"/>
        <family val="1"/>
      </rPr>
      <t>2</t>
    </r>
    <r>
      <rPr>
        <sz val="10"/>
        <color theme="1"/>
        <rFont val="宋体"/>
        <charset val="134"/>
      </rPr>
      <t>）</t>
    </r>
    <r>
      <rPr>
        <sz val="10"/>
        <color theme="1"/>
        <rFont val="Times New Roman"/>
        <family val="1"/>
      </rPr>
      <t>=</t>
    </r>
  </si>
  <si>
    <r>
      <t>换算截面惯性矩</t>
    </r>
    <r>
      <rPr>
        <sz val="10"/>
        <color theme="1"/>
        <rFont val="Times New Roman"/>
        <family val="1"/>
      </rPr>
      <t>I0</t>
    </r>
    <r>
      <rPr>
        <sz val="10"/>
        <color theme="1"/>
        <rFont val="宋体"/>
        <charset val="134"/>
      </rPr>
      <t>（</t>
    </r>
    <r>
      <rPr>
        <sz val="10"/>
        <color theme="1"/>
        <rFont val="Times New Roman"/>
        <family val="1"/>
      </rPr>
      <t>m</t>
    </r>
    <r>
      <rPr>
        <vertAlign val="superscript"/>
        <sz val="10"/>
        <color theme="1"/>
        <rFont val="Times New Roman"/>
        <family val="1"/>
      </rPr>
      <t>4</t>
    </r>
    <r>
      <rPr>
        <sz val="10"/>
        <color theme="1"/>
        <rFont val="宋体"/>
        <charset val="134"/>
      </rPr>
      <t>）</t>
    </r>
    <r>
      <rPr>
        <sz val="10"/>
        <color theme="1"/>
        <rFont val="Times New Roman"/>
        <family val="1"/>
      </rPr>
      <t>=</t>
    </r>
  </si>
  <si>
    <r>
      <t>第</t>
    </r>
    <r>
      <rPr>
        <sz val="10"/>
        <color theme="1"/>
        <rFont val="Times New Roman"/>
        <family val="1"/>
      </rPr>
      <t>1</t>
    </r>
    <r>
      <rPr>
        <sz val="10"/>
        <color theme="1"/>
        <rFont val="宋体"/>
        <charset val="134"/>
      </rPr>
      <t>验算点混凝土法向应力</t>
    </r>
    <r>
      <rPr>
        <sz val="10"/>
        <color theme="1"/>
        <rFont val="Times New Roman"/>
        <family val="1"/>
      </rPr>
      <t>σ</t>
    </r>
    <r>
      <rPr>
        <vertAlign val="subscript"/>
        <sz val="10"/>
        <color theme="1"/>
        <rFont val="宋体"/>
        <charset val="134"/>
      </rPr>
      <t>ck</t>
    </r>
    <r>
      <rPr>
        <vertAlign val="subscript"/>
        <sz val="10"/>
        <color theme="1"/>
        <rFont val="Times New Roman"/>
        <family val="1"/>
      </rPr>
      <t>1</t>
    </r>
    <r>
      <rPr>
        <sz val="10"/>
        <color theme="1"/>
        <rFont val="Times New Roman"/>
        <family val="1"/>
      </rPr>
      <t>(KPa)=</t>
    </r>
  </si>
  <si>
    <r>
      <t>第2验算点混凝土法向应力</t>
    </r>
    <r>
      <rPr>
        <sz val="10"/>
        <color theme="1"/>
        <rFont val="Times New Roman"/>
        <family val="1"/>
      </rPr>
      <t>σ</t>
    </r>
    <r>
      <rPr>
        <vertAlign val="subscript"/>
        <sz val="10"/>
        <color theme="1"/>
        <rFont val="Times New Roman"/>
        <family val="1"/>
      </rPr>
      <t>ck2</t>
    </r>
    <r>
      <rPr>
        <sz val="10"/>
        <color theme="1"/>
        <rFont val="Times New Roman"/>
        <family val="1"/>
      </rPr>
      <t>(KPa)=</t>
    </r>
  </si>
  <si>
    <r>
      <t>第3验算点混凝土法向应力</t>
    </r>
    <r>
      <rPr>
        <sz val="10"/>
        <color theme="1"/>
        <rFont val="Times New Roman"/>
        <family val="1"/>
      </rPr>
      <t>σ</t>
    </r>
    <r>
      <rPr>
        <vertAlign val="subscript"/>
        <sz val="10"/>
        <color theme="1"/>
        <rFont val="Times New Roman"/>
        <family val="1"/>
      </rPr>
      <t>ck3</t>
    </r>
    <r>
      <rPr>
        <sz val="10"/>
        <color theme="1"/>
        <rFont val="Times New Roman"/>
        <family val="1"/>
      </rPr>
      <t>(KPa)=</t>
    </r>
  </si>
  <si>
    <t>受拉区砼塑性影响系数γm=</t>
  </si>
  <si>
    <t>修正受拉区砼塑性影响系数γ=</t>
  </si>
  <si>
    <t>混凝土拉应力限制系数αct=</t>
  </si>
  <si>
    <t>一般不出现裂缝构件的应力控制标准：</t>
  </si>
  <si>
    <r>
      <t>第</t>
    </r>
    <r>
      <rPr>
        <sz val="10"/>
        <color theme="1"/>
        <rFont val="Times New Roman"/>
        <family val="1"/>
      </rPr>
      <t>1</t>
    </r>
    <r>
      <rPr>
        <sz val="10"/>
        <color theme="1"/>
        <rFont val="宋体"/>
        <charset val="134"/>
      </rPr>
      <t>验算点混凝土法向应力</t>
    </r>
    <r>
      <rPr>
        <sz val="10"/>
        <color theme="1"/>
        <rFont val="Times New Roman"/>
        <family val="1"/>
      </rPr>
      <t>σ</t>
    </r>
    <r>
      <rPr>
        <vertAlign val="subscript"/>
        <sz val="10"/>
        <color theme="1"/>
        <rFont val="Times New Roman"/>
        <family val="1"/>
      </rPr>
      <t>ck1</t>
    </r>
    <r>
      <rPr>
        <sz val="10"/>
        <color theme="1"/>
        <rFont val="Times New Roman"/>
        <family val="1"/>
      </rPr>
      <t>-σ</t>
    </r>
    <r>
      <rPr>
        <vertAlign val="subscript"/>
        <sz val="10"/>
        <color theme="1"/>
        <rFont val="Times New Roman"/>
        <family val="1"/>
      </rPr>
      <t>pc1</t>
    </r>
    <r>
      <rPr>
        <sz val="10"/>
        <color theme="1"/>
        <rFont val="Times New Roman"/>
        <family val="1"/>
      </rPr>
      <t>(KPa)=</t>
    </r>
  </si>
  <si>
    <r>
      <t>第2验算点混凝土法向应力</t>
    </r>
    <r>
      <rPr>
        <sz val="10"/>
        <color theme="1"/>
        <rFont val="Times New Roman"/>
        <family val="1"/>
      </rPr>
      <t>σ</t>
    </r>
    <r>
      <rPr>
        <vertAlign val="subscript"/>
        <sz val="10"/>
        <color theme="1"/>
        <rFont val="Times New Roman"/>
        <family val="1"/>
      </rPr>
      <t>ck2</t>
    </r>
    <r>
      <rPr>
        <sz val="10"/>
        <color theme="1"/>
        <rFont val="Times New Roman"/>
        <family val="1"/>
      </rPr>
      <t>-σ</t>
    </r>
    <r>
      <rPr>
        <vertAlign val="subscript"/>
        <sz val="10"/>
        <color theme="1"/>
        <rFont val="Times New Roman"/>
        <family val="1"/>
      </rPr>
      <t>pc2</t>
    </r>
    <r>
      <rPr>
        <sz val="10"/>
        <color theme="1"/>
        <rFont val="Times New Roman"/>
        <family val="1"/>
      </rPr>
      <t>(KPa)=</t>
    </r>
  </si>
  <si>
    <r>
      <t>第3验算点混凝土法向应力</t>
    </r>
    <r>
      <rPr>
        <sz val="10"/>
        <color theme="1"/>
        <rFont val="Times New Roman"/>
        <family val="1"/>
      </rPr>
      <t>σ</t>
    </r>
    <r>
      <rPr>
        <vertAlign val="subscript"/>
        <sz val="10"/>
        <color theme="1"/>
        <rFont val="Times New Roman"/>
        <family val="1"/>
      </rPr>
      <t>ck3</t>
    </r>
    <r>
      <rPr>
        <sz val="10"/>
        <color theme="1"/>
        <rFont val="Times New Roman"/>
        <family val="1"/>
      </rPr>
      <t>-σ</t>
    </r>
    <r>
      <rPr>
        <vertAlign val="subscript"/>
        <sz val="10"/>
        <color theme="1"/>
        <rFont val="Times New Roman"/>
        <family val="1"/>
      </rPr>
      <t>pc3</t>
    </r>
    <r>
      <rPr>
        <sz val="10"/>
        <color theme="1"/>
        <rFont val="Times New Roman"/>
        <family val="1"/>
      </rPr>
      <t>(KPa)=</t>
    </r>
  </si>
  <si>
    <t>构件信息</t>
  </si>
  <si>
    <t>截面编号：</t>
  </si>
  <si>
    <t>弯矩标准值M(KN·m)</t>
  </si>
  <si>
    <t>轴力标准值N(KN)</t>
  </si>
  <si>
    <t>截面类型：</t>
  </si>
  <si>
    <t>矩形</t>
  </si>
  <si>
    <t>截面高h（m）</t>
  </si>
  <si>
    <t>截面宽b（m）</t>
  </si>
  <si>
    <t>翼缘宽bf</t>
  </si>
  <si>
    <t>翼缘高hf</t>
  </si>
  <si>
    <r>
      <rPr>
        <sz val="11"/>
        <color theme="1"/>
        <rFont val="宋体"/>
        <charset val="134"/>
        <scheme val="minor"/>
      </rPr>
      <t>钢筋弹性模量Es（MPa</t>
    </r>
    <r>
      <rPr>
        <sz val="12"/>
        <rFont val="宋体"/>
        <charset val="134"/>
      </rPr>
      <t>）</t>
    </r>
  </si>
  <si>
    <t>砼弹性模量Ec（MPa）</t>
  </si>
  <si>
    <t>受拉钢筋到截面最近边缘的距离as（m）</t>
  </si>
  <si>
    <t>受压钢筋到截面最近边缘的距离as'（m）</t>
  </si>
  <si>
    <t>截面抵抗矩塑性系数γm</t>
  </si>
  <si>
    <t>修正后截面抵抗矩塑性系数γm</t>
  </si>
  <si>
    <t>混凝土拉应力限制系数αct</t>
  </si>
  <si>
    <r>
      <rPr>
        <sz val="11"/>
        <color theme="1"/>
        <rFont val="宋体"/>
        <charset val="134"/>
        <scheme val="minor"/>
      </rPr>
      <t>混凝土抗拉强度标准值ftk（MPa</t>
    </r>
    <r>
      <rPr>
        <sz val="12"/>
        <rFont val="宋体"/>
        <charset val="134"/>
      </rPr>
      <t>）</t>
    </r>
  </si>
  <si>
    <r>
      <rPr>
        <sz val="11"/>
        <color theme="1"/>
        <rFont val="宋体"/>
        <charset val="134"/>
        <scheme val="minor"/>
      </rPr>
      <t>受拉截面面积As（mm</t>
    </r>
    <r>
      <rPr>
        <vertAlign val="superscript"/>
        <sz val="11"/>
        <color indexed="8"/>
        <rFont val="宋体"/>
        <charset val="134"/>
      </rPr>
      <t>2</t>
    </r>
    <r>
      <rPr>
        <sz val="12"/>
        <rFont val="宋体"/>
        <charset val="134"/>
      </rPr>
      <t>）</t>
    </r>
  </si>
  <si>
    <r>
      <rPr>
        <sz val="11"/>
        <color theme="1"/>
        <rFont val="宋体"/>
        <charset val="134"/>
        <scheme val="minor"/>
      </rPr>
      <t>受压截面面积As'（mm</t>
    </r>
    <r>
      <rPr>
        <vertAlign val="superscript"/>
        <sz val="11"/>
        <color indexed="8"/>
        <rFont val="宋体"/>
        <charset val="134"/>
      </rPr>
      <t>2</t>
    </r>
    <r>
      <rPr>
        <sz val="12"/>
        <rFont val="宋体"/>
        <charset val="134"/>
      </rPr>
      <t>）</t>
    </r>
  </si>
  <si>
    <t>弹模比值αE</t>
  </si>
  <si>
    <r>
      <rPr>
        <sz val="11"/>
        <color theme="1"/>
        <rFont val="宋体"/>
        <charset val="134"/>
        <scheme val="minor"/>
      </rPr>
      <t>轴向力对截面重心的偏心距e</t>
    </r>
    <r>
      <rPr>
        <vertAlign val="subscript"/>
        <sz val="11"/>
        <color indexed="8"/>
        <rFont val="宋体"/>
        <charset val="134"/>
      </rPr>
      <t>0</t>
    </r>
    <r>
      <rPr>
        <sz val="12"/>
        <rFont val="宋体"/>
        <charset val="134"/>
      </rPr>
      <t>（m）</t>
    </r>
  </si>
  <si>
    <r>
      <rPr>
        <sz val="11"/>
        <color theme="1"/>
        <rFont val="宋体"/>
        <charset val="134"/>
        <scheme val="minor"/>
      </rPr>
      <t>截面的有效高度h</t>
    </r>
    <r>
      <rPr>
        <vertAlign val="subscript"/>
        <sz val="11"/>
        <color indexed="8"/>
        <rFont val="宋体"/>
        <charset val="134"/>
      </rPr>
      <t>0</t>
    </r>
    <r>
      <rPr>
        <sz val="12"/>
        <rFont val="宋体"/>
        <charset val="134"/>
      </rPr>
      <t>（m）</t>
    </r>
  </si>
  <si>
    <r>
      <rPr>
        <sz val="11"/>
        <color theme="1"/>
        <rFont val="宋体"/>
        <charset val="134"/>
        <scheme val="minor"/>
      </rPr>
      <t>混凝土截面面积A</t>
    </r>
    <r>
      <rPr>
        <vertAlign val="subscript"/>
        <sz val="11"/>
        <color indexed="8"/>
        <rFont val="宋体"/>
        <charset val="134"/>
      </rPr>
      <t>c</t>
    </r>
    <r>
      <rPr>
        <sz val="12"/>
        <rFont val="宋体"/>
        <charset val="134"/>
      </rPr>
      <t>（m</t>
    </r>
    <r>
      <rPr>
        <vertAlign val="superscript"/>
        <sz val="12"/>
        <rFont val="宋体"/>
        <charset val="134"/>
      </rPr>
      <t>2</t>
    </r>
    <r>
      <rPr>
        <sz val="12"/>
        <rFont val="宋体"/>
        <charset val="134"/>
      </rPr>
      <t>）</t>
    </r>
  </si>
  <si>
    <r>
      <rPr>
        <sz val="11"/>
        <color theme="1"/>
        <rFont val="宋体"/>
        <charset val="134"/>
        <scheme val="minor"/>
      </rPr>
      <t>砼截面对其本身重心轴的惯性矩I</t>
    </r>
    <r>
      <rPr>
        <vertAlign val="subscript"/>
        <sz val="11"/>
        <color indexed="8"/>
        <rFont val="宋体"/>
        <charset val="134"/>
      </rPr>
      <t>c</t>
    </r>
    <r>
      <rPr>
        <sz val="12"/>
        <rFont val="宋体"/>
        <charset val="134"/>
      </rPr>
      <t>（m</t>
    </r>
    <r>
      <rPr>
        <vertAlign val="superscript"/>
        <sz val="11"/>
        <color indexed="8"/>
        <rFont val="宋体"/>
        <charset val="134"/>
      </rPr>
      <t>4</t>
    </r>
    <r>
      <rPr>
        <sz val="12"/>
        <rFont val="宋体"/>
        <charset val="134"/>
      </rPr>
      <t>）</t>
    </r>
  </si>
  <si>
    <r>
      <rPr>
        <sz val="11"/>
        <color theme="1"/>
        <rFont val="宋体"/>
        <charset val="134"/>
        <scheme val="minor"/>
      </rPr>
      <t>混凝土截面重心至受压边缘的距离y</t>
    </r>
    <r>
      <rPr>
        <vertAlign val="subscript"/>
        <sz val="11"/>
        <color indexed="8"/>
        <rFont val="宋体"/>
        <charset val="134"/>
      </rPr>
      <t>c</t>
    </r>
    <r>
      <rPr>
        <sz val="12"/>
        <rFont val="宋体"/>
        <charset val="134"/>
      </rPr>
      <t>'（m）</t>
    </r>
  </si>
  <si>
    <r>
      <rPr>
        <sz val="11"/>
        <color theme="1"/>
        <rFont val="宋体"/>
        <charset val="134"/>
        <scheme val="minor"/>
      </rPr>
      <t>换算截面面积A</t>
    </r>
    <r>
      <rPr>
        <vertAlign val="subscript"/>
        <sz val="11"/>
        <color indexed="8"/>
        <rFont val="宋体"/>
        <charset val="134"/>
      </rPr>
      <t>0</t>
    </r>
    <r>
      <rPr>
        <sz val="12"/>
        <rFont val="宋体"/>
        <charset val="134"/>
      </rPr>
      <t>（m</t>
    </r>
    <r>
      <rPr>
        <vertAlign val="superscript"/>
        <sz val="11"/>
        <color indexed="8"/>
        <rFont val="宋体"/>
        <charset val="134"/>
      </rPr>
      <t>2</t>
    </r>
    <r>
      <rPr>
        <sz val="12"/>
        <rFont val="宋体"/>
        <charset val="134"/>
      </rPr>
      <t>）</t>
    </r>
  </si>
  <si>
    <r>
      <rPr>
        <sz val="11"/>
        <color theme="1"/>
        <rFont val="宋体"/>
        <charset val="134"/>
        <scheme val="minor"/>
      </rPr>
      <t>换算截面重心至受压边缘的距离y</t>
    </r>
    <r>
      <rPr>
        <vertAlign val="subscript"/>
        <sz val="11"/>
        <color indexed="8"/>
        <rFont val="宋体"/>
        <charset val="134"/>
      </rPr>
      <t>0</t>
    </r>
    <r>
      <rPr>
        <sz val="12"/>
        <rFont val="宋体"/>
        <charset val="134"/>
      </rPr>
      <t>（m）</t>
    </r>
  </si>
  <si>
    <r>
      <rPr>
        <sz val="11"/>
        <color theme="1"/>
        <rFont val="宋体"/>
        <charset val="134"/>
        <scheme val="minor"/>
      </rPr>
      <t>换算截面对其重心轴的惯性矩I</t>
    </r>
    <r>
      <rPr>
        <vertAlign val="subscript"/>
        <sz val="11"/>
        <color indexed="8"/>
        <rFont val="宋体"/>
        <charset val="134"/>
      </rPr>
      <t>0</t>
    </r>
    <r>
      <rPr>
        <sz val="12"/>
        <rFont val="宋体"/>
        <charset val="134"/>
      </rPr>
      <t>（m</t>
    </r>
    <r>
      <rPr>
        <vertAlign val="superscript"/>
        <sz val="11"/>
        <color indexed="8"/>
        <rFont val="宋体"/>
        <charset val="134"/>
      </rPr>
      <t>4</t>
    </r>
    <r>
      <rPr>
        <sz val="12"/>
        <rFont val="宋体"/>
        <charset val="134"/>
      </rPr>
      <t>）</t>
    </r>
  </si>
  <si>
    <r>
      <rPr>
        <sz val="11"/>
        <color theme="1"/>
        <rFont val="宋体"/>
        <charset val="134"/>
        <scheme val="minor"/>
      </rPr>
      <t>换算截面受拉边缘的弹性抵抗矩W</t>
    </r>
    <r>
      <rPr>
        <vertAlign val="subscript"/>
        <sz val="11"/>
        <color indexed="8"/>
        <rFont val="宋体"/>
        <charset val="134"/>
      </rPr>
      <t>0</t>
    </r>
  </si>
  <si>
    <t>构件类型</t>
  </si>
  <si>
    <r>
      <rPr>
        <sz val="11"/>
        <color indexed="8"/>
        <rFont val="宋体"/>
        <charset val="134"/>
      </rPr>
      <t>截面抗裂安全系数K=</t>
    </r>
    <r>
      <rPr>
        <sz val="11"/>
        <color rgb="FF000000"/>
        <rFont val="Calibri"/>
        <charset val="161"/>
      </rPr>
      <t>γ</t>
    </r>
    <r>
      <rPr>
        <vertAlign val="subscript"/>
        <sz val="11"/>
        <color indexed="8"/>
        <rFont val="宋体"/>
        <charset val="134"/>
      </rPr>
      <t>m</t>
    </r>
    <r>
      <rPr>
        <sz val="11"/>
        <color rgb="FF000000"/>
        <rFont val="Calibri"/>
        <charset val="161"/>
      </rPr>
      <t>α</t>
    </r>
    <r>
      <rPr>
        <vertAlign val="subscript"/>
        <sz val="11"/>
        <color indexed="8"/>
        <rFont val="宋体"/>
        <charset val="134"/>
      </rPr>
      <t>ct</t>
    </r>
    <r>
      <rPr>
        <sz val="11"/>
        <color indexed="8"/>
        <rFont val="宋体"/>
        <charset val="134"/>
      </rPr>
      <t>f</t>
    </r>
    <r>
      <rPr>
        <vertAlign val="subscript"/>
        <sz val="11"/>
        <color indexed="8"/>
        <rFont val="宋体"/>
        <charset val="134"/>
      </rPr>
      <t>tk</t>
    </r>
    <r>
      <rPr>
        <sz val="11"/>
        <color indexed="8"/>
        <rFont val="宋体"/>
        <charset val="134"/>
      </rPr>
      <t>W</t>
    </r>
    <r>
      <rPr>
        <vertAlign val="subscript"/>
        <sz val="11"/>
        <color indexed="8"/>
        <rFont val="宋体"/>
        <charset val="134"/>
      </rPr>
      <t>0</t>
    </r>
    <r>
      <rPr>
        <sz val="11"/>
        <color indexed="8"/>
        <rFont val="宋体"/>
        <charset val="134"/>
      </rPr>
      <t>/M</t>
    </r>
    <r>
      <rPr>
        <vertAlign val="subscript"/>
        <sz val="11"/>
        <color indexed="8"/>
        <rFont val="宋体"/>
        <charset val="134"/>
      </rPr>
      <t>K</t>
    </r>
  </si>
  <si>
    <t>判别：</t>
  </si>
  <si>
    <t>建筑物</t>
  </si>
  <si>
    <r>
      <rPr>
        <sz val="12"/>
        <rFont val="宋体"/>
        <charset val="134"/>
      </rPr>
      <t>建筑物级别</t>
    </r>
  </si>
  <si>
    <r>
      <rPr>
        <sz val="12"/>
        <rFont val="宋体"/>
        <charset val="134"/>
      </rPr>
      <t>环境类别</t>
    </r>
  </si>
  <si>
    <t>二</t>
  </si>
  <si>
    <t>混凝土参数</t>
  </si>
  <si>
    <r>
      <rPr>
        <sz val="12"/>
        <rFont val="宋体"/>
        <charset val="134"/>
      </rPr>
      <t>砼标号：</t>
    </r>
  </si>
  <si>
    <r>
      <rPr>
        <sz val="12"/>
        <rFont val="宋体"/>
        <charset val="134"/>
      </rPr>
      <t>钢筋标号：</t>
    </r>
  </si>
  <si>
    <r>
      <t>砼抗压强度设计值</t>
    </r>
    <r>
      <rPr>
        <sz val="12"/>
        <rFont val="Times New Roman"/>
        <family val="1"/>
      </rPr>
      <t>fc(MPa)=</t>
    </r>
  </si>
  <si>
    <r>
      <rPr>
        <sz val="12"/>
        <rFont val="宋体"/>
        <charset val="134"/>
      </rPr>
      <t>砼弹性模量</t>
    </r>
    <r>
      <rPr>
        <sz val="12"/>
        <rFont val="Times New Roman"/>
        <family val="1"/>
      </rPr>
      <t>Ec(MPa)=</t>
    </r>
  </si>
  <si>
    <t>普通钢筋参数</t>
  </si>
  <si>
    <r>
      <rPr>
        <sz val="12"/>
        <rFont val="宋体"/>
        <charset val="134"/>
      </rPr>
      <t>钢筋弹性模量</t>
    </r>
    <r>
      <rPr>
        <sz val="12"/>
        <rFont val="Times New Roman"/>
        <family val="1"/>
      </rPr>
      <t>Es(MPa)=</t>
    </r>
  </si>
  <si>
    <r>
      <rPr>
        <sz val="12"/>
        <rFont val="宋体"/>
        <charset val="134"/>
      </rPr>
      <t>钢筋抗拉强度设计值</t>
    </r>
    <r>
      <rPr>
        <sz val="12"/>
        <rFont val="Times New Roman"/>
        <family val="1"/>
      </rPr>
      <t>fy(MPa)=</t>
    </r>
  </si>
  <si>
    <r>
      <rPr>
        <sz val="12"/>
        <rFont val="宋体"/>
        <charset val="134"/>
      </rPr>
      <t>钢筋抗压强度设计值</t>
    </r>
    <r>
      <rPr>
        <sz val="12"/>
        <rFont val="Times New Roman"/>
        <family val="1"/>
      </rPr>
      <t>f'</t>
    </r>
    <r>
      <rPr>
        <vertAlign val="subscript"/>
        <sz val="12"/>
        <rFont val="Times New Roman"/>
        <family val="1"/>
      </rPr>
      <t>y</t>
    </r>
    <r>
      <rPr>
        <sz val="12"/>
        <rFont val="Times New Roman"/>
        <family val="1"/>
      </rPr>
      <t>(MPa)=</t>
    </r>
  </si>
  <si>
    <r>
      <rPr>
        <sz val="12"/>
        <rFont val="宋体"/>
        <charset val="134"/>
      </rPr>
      <t>槽壳内壁侧钢筋保护层</t>
    </r>
    <r>
      <rPr>
        <sz val="12"/>
        <rFont val="Times New Roman"/>
        <family val="1"/>
      </rPr>
      <t>as(m)=</t>
    </r>
  </si>
  <si>
    <r>
      <rPr>
        <sz val="12"/>
        <rFont val="宋体"/>
        <charset val="134"/>
      </rPr>
      <t>槽壳外壁侧钢筋保护层</t>
    </r>
    <r>
      <rPr>
        <sz val="12"/>
        <rFont val="Times New Roman"/>
        <family val="1"/>
      </rPr>
      <t>as'(m)=</t>
    </r>
  </si>
  <si>
    <r>
      <rPr>
        <sz val="12"/>
        <rFont val="宋体"/>
        <charset val="134"/>
      </rPr>
      <t>相对界限受压区计算高度</t>
    </r>
    <r>
      <rPr>
        <sz val="12"/>
        <rFont val="Times New Roman"/>
        <family val="1"/>
      </rPr>
      <t>ξb=</t>
    </r>
  </si>
  <si>
    <t>预应力钢绞线参数</t>
  </si>
  <si>
    <r>
      <rPr>
        <sz val="12"/>
        <rFont val="宋体"/>
        <charset val="134"/>
      </rPr>
      <t>钢绞线型号：</t>
    </r>
  </si>
  <si>
    <r>
      <rPr>
        <sz val="12"/>
        <rFont val="宋体"/>
        <charset val="134"/>
      </rPr>
      <t>单根钢绞线面积</t>
    </r>
    <r>
      <rPr>
        <sz val="12"/>
        <rFont val="Times New Roman"/>
        <family val="1"/>
      </rPr>
      <t>Sn(mm</t>
    </r>
    <r>
      <rPr>
        <vertAlign val="superscript"/>
        <sz val="12"/>
        <rFont val="Times New Roman"/>
        <family val="1"/>
      </rPr>
      <t>2</t>
    </r>
    <r>
      <rPr>
        <sz val="12"/>
        <rFont val="Times New Roman"/>
        <family val="1"/>
      </rPr>
      <t>)=</t>
    </r>
  </si>
  <si>
    <r>
      <rPr>
        <sz val="12"/>
        <rFont val="宋体"/>
        <charset val="134"/>
      </rPr>
      <t>单束钢绞线根数</t>
    </r>
    <r>
      <rPr>
        <sz val="12"/>
        <rFont val="Times New Roman"/>
        <family val="1"/>
      </rPr>
      <t>n=</t>
    </r>
  </si>
  <si>
    <r>
      <rPr>
        <sz val="12"/>
        <rFont val="宋体"/>
        <charset val="134"/>
      </rPr>
      <t>单束钢绞线面积</t>
    </r>
    <r>
      <rPr>
        <sz val="12"/>
        <rFont val="Times New Roman"/>
        <family val="1"/>
      </rPr>
      <t>S=nSn(mm</t>
    </r>
    <r>
      <rPr>
        <vertAlign val="superscript"/>
        <sz val="12"/>
        <rFont val="Times New Roman"/>
        <family val="1"/>
      </rPr>
      <t>2</t>
    </r>
    <r>
      <rPr>
        <sz val="12"/>
        <rFont val="Times New Roman"/>
        <family val="1"/>
      </rPr>
      <t>)=</t>
    </r>
  </si>
  <si>
    <r>
      <rPr>
        <sz val="12"/>
        <rFont val="宋体"/>
        <charset val="134"/>
      </rPr>
      <t>环向预应力钢筋束数量</t>
    </r>
    <r>
      <rPr>
        <sz val="12"/>
        <rFont val="Times New Roman"/>
        <family val="1"/>
      </rPr>
      <t xml:space="preserve"> N=</t>
    </r>
  </si>
  <si>
    <t>3</t>
  </si>
  <si>
    <r>
      <rPr>
        <sz val="12"/>
        <rFont val="宋体"/>
        <charset val="134"/>
      </rPr>
      <t>环向预应力钢筋间距</t>
    </r>
    <r>
      <rPr>
        <sz val="12"/>
        <rFont val="Times New Roman"/>
        <family val="1"/>
      </rPr>
      <t>dl(m)=</t>
    </r>
  </si>
  <si>
    <r>
      <rPr>
        <sz val="12"/>
        <rFont val="宋体"/>
        <charset val="134"/>
      </rPr>
      <t>预应力钢筋面积</t>
    </r>
    <r>
      <rPr>
        <sz val="12"/>
        <rFont val="Times New Roman"/>
        <family val="1"/>
      </rPr>
      <t>AP=SN(mm</t>
    </r>
    <r>
      <rPr>
        <vertAlign val="superscript"/>
        <sz val="12"/>
        <rFont val="Times New Roman"/>
        <family val="1"/>
      </rPr>
      <t>2</t>
    </r>
    <r>
      <rPr>
        <sz val="12"/>
        <rFont val="Times New Roman"/>
        <family val="1"/>
      </rPr>
      <t>)=</t>
    </r>
  </si>
  <si>
    <r>
      <rPr>
        <sz val="12"/>
        <rFont val="Times New Roman"/>
        <family val="1"/>
      </rPr>
      <t>φs1×7</t>
    </r>
    <r>
      <rPr>
        <sz val="12"/>
        <rFont val="宋体"/>
        <charset val="134"/>
      </rPr>
      <t>预应力钢绞线强度标准值</t>
    </r>
    <r>
      <rPr>
        <sz val="12"/>
        <rFont val="Times New Roman"/>
        <family val="1"/>
      </rPr>
      <t>fptk</t>
    </r>
    <r>
      <rPr>
        <sz val="12"/>
        <rFont val="宋体"/>
        <charset val="134"/>
      </rPr>
      <t>（</t>
    </r>
    <r>
      <rPr>
        <sz val="12"/>
        <rFont val="Times New Roman"/>
        <family val="1"/>
      </rPr>
      <t>MPa</t>
    </r>
    <r>
      <rPr>
        <sz val="12"/>
        <rFont val="宋体"/>
        <charset val="134"/>
      </rPr>
      <t>）</t>
    </r>
    <r>
      <rPr>
        <sz val="12"/>
        <rFont val="Times New Roman"/>
        <family val="1"/>
      </rPr>
      <t>=</t>
    </r>
  </si>
  <si>
    <t>1860</t>
  </si>
  <si>
    <r>
      <rPr>
        <sz val="12"/>
        <rFont val="宋体"/>
        <charset val="134"/>
      </rPr>
      <t>抗拉强度设计值</t>
    </r>
    <r>
      <rPr>
        <sz val="12"/>
        <rFont val="Times New Roman"/>
        <family val="1"/>
      </rPr>
      <t>fpy</t>
    </r>
    <r>
      <rPr>
        <sz val="12"/>
        <rFont val="宋体"/>
        <charset val="134"/>
      </rPr>
      <t>（</t>
    </r>
    <r>
      <rPr>
        <sz val="12"/>
        <rFont val="Times New Roman"/>
        <family val="1"/>
      </rPr>
      <t>MPa</t>
    </r>
    <r>
      <rPr>
        <sz val="12"/>
        <rFont val="宋体"/>
        <charset val="134"/>
      </rPr>
      <t>）</t>
    </r>
    <r>
      <rPr>
        <sz val="12"/>
        <rFont val="Times New Roman"/>
        <family val="1"/>
      </rPr>
      <t>=</t>
    </r>
  </si>
  <si>
    <t>1320</t>
  </si>
  <si>
    <r>
      <rPr>
        <sz val="12"/>
        <rFont val="宋体"/>
        <charset val="134"/>
      </rPr>
      <t>抗压强度设计值</t>
    </r>
    <r>
      <rPr>
        <sz val="12"/>
        <rFont val="Times New Roman"/>
        <family val="1"/>
      </rPr>
      <t>f</t>
    </r>
    <r>
      <rPr>
        <sz val="12"/>
        <rFont val="宋体"/>
        <charset val="134"/>
      </rPr>
      <t>′</t>
    </r>
    <r>
      <rPr>
        <sz val="12"/>
        <rFont val="Times New Roman"/>
        <family val="1"/>
      </rPr>
      <t>py</t>
    </r>
    <r>
      <rPr>
        <sz val="12"/>
        <rFont val="宋体"/>
        <charset val="134"/>
      </rPr>
      <t>（</t>
    </r>
    <r>
      <rPr>
        <sz val="12"/>
        <rFont val="Times New Roman"/>
        <family val="1"/>
      </rPr>
      <t>MPa</t>
    </r>
    <r>
      <rPr>
        <sz val="12"/>
        <rFont val="宋体"/>
        <charset val="134"/>
      </rPr>
      <t>）</t>
    </r>
    <r>
      <rPr>
        <sz val="12"/>
        <rFont val="Times New Roman"/>
        <family val="1"/>
      </rPr>
      <t>=</t>
    </r>
  </si>
  <si>
    <t>390</t>
  </si>
  <si>
    <r>
      <rPr>
        <sz val="12"/>
        <rFont val="宋体"/>
        <charset val="134"/>
      </rPr>
      <t>钢绞线弹模</t>
    </r>
    <r>
      <rPr>
        <sz val="12"/>
        <rFont val="Times New Roman"/>
        <family val="1"/>
      </rPr>
      <t>E</t>
    </r>
    <r>
      <rPr>
        <sz val="12"/>
        <rFont val="宋体"/>
        <charset val="134"/>
      </rPr>
      <t>′</t>
    </r>
    <r>
      <rPr>
        <sz val="12"/>
        <rFont val="Times New Roman"/>
        <family val="1"/>
      </rPr>
      <t>p</t>
    </r>
    <r>
      <rPr>
        <sz val="12"/>
        <rFont val="宋体"/>
        <charset val="134"/>
      </rPr>
      <t>（</t>
    </r>
    <r>
      <rPr>
        <sz val="12"/>
        <rFont val="Times New Roman"/>
        <family val="1"/>
      </rPr>
      <t>MPa</t>
    </r>
    <r>
      <rPr>
        <sz val="12"/>
        <rFont val="宋体"/>
        <charset val="134"/>
      </rPr>
      <t>）</t>
    </r>
    <r>
      <rPr>
        <sz val="12"/>
        <rFont val="Times New Roman"/>
        <family val="1"/>
      </rPr>
      <t>=</t>
    </r>
  </si>
  <si>
    <t>195000</t>
  </si>
  <si>
    <t>截面参数</t>
  </si>
  <si>
    <r>
      <rPr>
        <sz val="12"/>
        <rFont val="宋体"/>
        <charset val="134"/>
      </rPr>
      <t>槽身角度</t>
    </r>
    <r>
      <rPr>
        <sz val="12"/>
        <rFont val="Times New Roman"/>
        <family val="1"/>
      </rPr>
      <t>Φ</t>
    </r>
  </si>
  <si>
    <r>
      <rPr>
        <sz val="12"/>
        <rFont val="宋体"/>
        <charset val="134"/>
      </rPr>
      <t>截面高度</t>
    </r>
    <r>
      <rPr>
        <sz val="12"/>
        <rFont val="Times New Roman"/>
        <family val="1"/>
      </rPr>
      <t>h=</t>
    </r>
  </si>
  <si>
    <r>
      <rPr>
        <sz val="12"/>
        <rFont val="宋体"/>
        <charset val="134"/>
      </rPr>
      <t>截面宽度</t>
    </r>
    <r>
      <rPr>
        <sz val="12"/>
        <rFont val="Times New Roman"/>
        <family val="1"/>
      </rPr>
      <t>b=</t>
    </r>
  </si>
  <si>
    <t>配筋信息</t>
  </si>
  <si>
    <r>
      <rPr>
        <sz val="12"/>
        <rFont val="宋体"/>
        <charset val="134"/>
      </rPr>
      <t>外壁侧钢筋直径</t>
    </r>
    <r>
      <rPr>
        <sz val="12"/>
        <rFont val="Times New Roman"/>
        <family val="1"/>
      </rPr>
      <t>d1(m)=</t>
    </r>
  </si>
  <si>
    <r>
      <rPr>
        <sz val="12"/>
        <rFont val="宋体"/>
        <charset val="134"/>
      </rPr>
      <t>外壁侧钢筋间距</t>
    </r>
    <r>
      <rPr>
        <sz val="12"/>
        <rFont val="Times New Roman"/>
        <family val="1"/>
      </rPr>
      <t>l1(m)=</t>
    </r>
  </si>
  <si>
    <r>
      <rPr>
        <sz val="12"/>
        <rFont val="宋体"/>
        <charset val="134"/>
      </rPr>
      <t>外壁侧钢筋配筋面积</t>
    </r>
    <r>
      <rPr>
        <sz val="12"/>
        <rFont val="Times New Roman"/>
        <family val="1"/>
      </rPr>
      <t>As</t>
    </r>
    <r>
      <rPr>
        <sz val="12"/>
        <rFont val="宋体"/>
        <charset val="134"/>
      </rPr>
      <t>（</t>
    </r>
    <r>
      <rPr>
        <sz val="12"/>
        <rFont val="Times New Roman"/>
        <family val="1"/>
      </rPr>
      <t>m</t>
    </r>
    <r>
      <rPr>
        <vertAlign val="superscript"/>
        <sz val="12"/>
        <rFont val="Times New Roman"/>
        <family val="1"/>
      </rPr>
      <t>2</t>
    </r>
    <r>
      <rPr>
        <sz val="12"/>
        <rFont val="宋体"/>
        <charset val="134"/>
      </rPr>
      <t>）</t>
    </r>
    <r>
      <rPr>
        <sz val="12"/>
        <rFont val="Times New Roman"/>
        <family val="1"/>
      </rPr>
      <t>=</t>
    </r>
  </si>
  <si>
    <r>
      <rPr>
        <sz val="12"/>
        <rFont val="宋体"/>
        <charset val="134"/>
      </rPr>
      <t>内壁侧钢筋直径</t>
    </r>
    <r>
      <rPr>
        <sz val="12"/>
        <rFont val="Times New Roman"/>
        <family val="1"/>
      </rPr>
      <t>d2(m)=</t>
    </r>
  </si>
  <si>
    <r>
      <rPr>
        <sz val="12"/>
        <rFont val="宋体"/>
        <charset val="134"/>
      </rPr>
      <t>内壁侧钢筋间距</t>
    </r>
    <r>
      <rPr>
        <sz val="12"/>
        <rFont val="Times New Roman"/>
        <family val="1"/>
      </rPr>
      <t>l2(m)=</t>
    </r>
  </si>
  <si>
    <r>
      <rPr>
        <sz val="12"/>
        <rFont val="宋体"/>
        <charset val="134"/>
      </rPr>
      <t>内壁侧钢筋配筋面积</t>
    </r>
    <r>
      <rPr>
        <sz val="12"/>
        <rFont val="Times New Roman"/>
        <family val="1"/>
      </rPr>
      <t>As</t>
    </r>
    <r>
      <rPr>
        <sz val="12"/>
        <rFont val="宋体"/>
        <charset val="134"/>
      </rPr>
      <t>（</t>
    </r>
    <r>
      <rPr>
        <sz val="12"/>
        <rFont val="Times New Roman"/>
        <family val="1"/>
      </rPr>
      <t>m</t>
    </r>
    <r>
      <rPr>
        <vertAlign val="superscript"/>
        <sz val="12"/>
        <rFont val="Times New Roman"/>
        <family val="1"/>
      </rPr>
      <t>2</t>
    </r>
    <r>
      <rPr>
        <sz val="12"/>
        <rFont val="宋体"/>
        <charset val="134"/>
      </rPr>
      <t>）</t>
    </r>
    <r>
      <rPr>
        <sz val="12"/>
        <rFont val="Times New Roman"/>
        <family val="1"/>
      </rPr>
      <t>=</t>
    </r>
  </si>
  <si>
    <r>
      <rPr>
        <sz val="12"/>
        <rFont val="宋体"/>
        <charset val="134"/>
      </rPr>
      <t>预应力钢绞线距内壁距离</t>
    </r>
    <r>
      <rPr>
        <sz val="12"/>
        <rFont val="Times New Roman"/>
        <family val="1"/>
      </rPr>
      <t>d3(m)=</t>
    </r>
  </si>
  <si>
    <r>
      <rPr>
        <sz val="12"/>
        <rFont val="宋体"/>
        <charset val="134"/>
      </rPr>
      <t>单束孔道直径</t>
    </r>
    <r>
      <rPr>
        <sz val="12"/>
        <rFont val="Times New Roman"/>
        <family val="1"/>
      </rPr>
      <t>d4(m)=</t>
    </r>
  </si>
  <si>
    <r>
      <rPr>
        <sz val="12"/>
        <rFont val="宋体"/>
        <charset val="134"/>
      </rPr>
      <t>预应力钢筋配筋面积</t>
    </r>
    <r>
      <rPr>
        <sz val="12"/>
        <rFont val="Times New Roman"/>
        <family val="1"/>
      </rPr>
      <t>Ap</t>
    </r>
    <r>
      <rPr>
        <sz val="12"/>
        <rFont val="宋体"/>
        <charset val="134"/>
      </rPr>
      <t>（</t>
    </r>
    <r>
      <rPr>
        <sz val="12"/>
        <rFont val="Times New Roman"/>
        <family val="1"/>
      </rPr>
      <t>m</t>
    </r>
    <r>
      <rPr>
        <vertAlign val="superscript"/>
        <sz val="12"/>
        <rFont val="Times New Roman"/>
        <family val="1"/>
      </rPr>
      <t>2</t>
    </r>
    <r>
      <rPr>
        <sz val="12"/>
        <rFont val="宋体"/>
        <charset val="134"/>
      </rPr>
      <t>）</t>
    </r>
  </si>
  <si>
    <t>内力标准值</t>
  </si>
  <si>
    <r>
      <t>弯矩设计值</t>
    </r>
    <r>
      <rPr>
        <sz val="12"/>
        <rFont val="Times New Roman"/>
        <family val="1"/>
      </rPr>
      <t>M</t>
    </r>
    <r>
      <rPr>
        <sz val="12"/>
        <rFont val="宋体"/>
        <charset val="134"/>
      </rPr>
      <t>（外壁受拉为正）(KN·m)</t>
    </r>
    <r>
      <rPr>
        <sz val="12"/>
        <rFont val="Times New Roman"/>
        <family val="1"/>
      </rPr>
      <t>=</t>
    </r>
  </si>
  <si>
    <r>
      <t>轴力设计值</t>
    </r>
    <r>
      <rPr>
        <sz val="12"/>
        <rFont val="Times New Roman"/>
        <family val="1"/>
      </rPr>
      <t>(</t>
    </r>
    <r>
      <rPr>
        <sz val="12"/>
        <rFont val="宋体"/>
        <charset val="134"/>
      </rPr>
      <t>受压为</t>
    </r>
    <r>
      <rPr>
        <sz val="12"/>
        <rFont val="Times New Roman"/>
        <family val="1"/>
      </rPr>
      <t>+)N(KN)=</t>
    </r>
  </si>
  <si>
    <t>抗裂验算</t>
  </si>
  <si>
    <r>
      <t>环向预应力损失</t>
    </r>
    <r>
      <rPr>
        <sz val="12"/>
        <rFont val="Times New Roman"/>
        <family val="1"/>
      </rPr>
      <t>(</t>
    </r>
    <r>
      <rPr>
        <sz val="12"/>
        <rFont val="宋体"/>
        <charset val="134"/>
      </rPr>
      <t>按</t>
    </r>
    <r>
      <rPr>
        <sz val="12"/>
        <rFont val="Times New Roman"/>
        <family val="1"/>
      </rPr>
      <t>40%</t>
    </r>
    <r>
      <rPr>
        <sz val="12"/>
        <rFont val="宋体"/>
        <charset val="134"/>
      </rPr>
      <t>估算</t>
    </r>
    <r>
      <rPr>
        <sz val="12"/>
        <rFont val="Times New Roman"/>
        <family val="1"/>
      </rPr>
      <t>)σl</t>
    </r>
    <r>
      <rPr>
        <sz val="12"/>
        <rFont val="宋体"/>
        <charset val="134"/>
      </rPr>
      <t>（</t>
    </r>
    <r>
      <rPr>
        <sz val="12"/>
        <rFont val="Times New Roman"/>
        <family val="1"/>
      </rPr>
      <t>MPa</t>
    </r>
    <r>
      <rPr>
        <sz val="12"/>
        <rFont val="宋体"/>
        <charset val="134"/>
      </rPr>
      <t>）</t>
    </r>
    <r>
      <rPr>
        <sz val="12"/>
        <rFont val="Times New Roman"/>
        <family val="1"/>
      </rPr>
      <t>=</t>
    </r>
  </si>
  <si>
    <r>
      <t>有效应力</t>
    </r>
    <r>
      <rPr>
        <sz val="12"/>
        <rFont val="Times New Roman"/>
        <family val="1"/>
      </rPr>
      <t>σpe=σ'con-σL(MPa)=</t>
    </r>
  </si>
  <si>
    <r>
      <rPr>
        <sz val="12"/>
        <rFont val="宋体"/>
        <charset val="134"/>
      </rPr>
      <t>截面净截面面积</t>
    </r>
    <r>
      <rPr>
        <sz val="12"/>
        <rFont val="Times New Roman"/>
        <family val="1"/>
      </rPr>
      <t>An</t>
    </r>
    <r>
      <rPr>
        <sz val="12"/>
        <rFont val="宋体"/>
        <charset val="134"/>
      </rPr>
      <t>（</t>
    </r>
    <r>
      <rPr>
        <sz val="12"/>
        <rFont val="Times New Roman"/>
        <family val="1"/>
      </rPr>
      <t>m</t>
    </r>
    <r>
      <rPr>
        <vertAlign val="superscript"/>
        <sz val="12"/>
        <rFont val="Times New Roman"/>
        <family val="1"/>
      </rPr>
      <t>2</t>
    </r>
    <r>
      <rPr>
        <sz val="12"/>
        <rFont val="宋体"/>
        <charset val="134"/>
      </rPr>
      <t>）</t>
    </r>
    <r>
      <rPr>
        <sz val="12"/>
        <rFont val="Times New Roman"/>
        <family val="1"/>
      </rPr>
      <t>=</t>
    </r>
  </si>
  <si>
    <r>
      <rPr>
        <sz val="12"/>
        <rFont val="宋体"/>
        <charset val="134"/>
      </rPr>
      <t>换算截面重心距离内壁距离</t>
    </r>
    <r>
      <rPr>
        <sz val="12"/>
        <rFont val="Times New Roman"/>
        <family val="1"/>
      </rPr>
      <t>yn1</t>
    </r>
    <r>
      <rPr>
        <sz val="12"/>
        <rFont val="宋体"/>
        <charset val="134"/>
      </rPr>
      <t>（</t>
    </r>
    <r>
      <rPr>
        <sz val="12"/>
        <rFont val="Times New Roman"/>
        <family val="1"/>
      </rPr>
      <t>m</t>
    </r>
    <r>
      <rPr>
        <sz val="12"/>
        <rFont val="宋体"/>
        <charset val="134"/>
      </rPr>
      <t>）</t>
    </r>
    <r>
      <rPr>
        <sz val="12"/>
        <rFont val="Times New Roman"/>
        <family val="1"/>
      </rPr>
      <t>=</t>
    </r>
  </si>
  <si>
    <r>
      <rPr>
        <sz val="12"/>
        <rFont val="宋体"/>
        <charset val="134"/>
      </rPr>
      <t>换算截面形心距离几何中心轴距离（</t>
    </r>
    <r>
      <rPr>
        <sz val="12"/>
        <rFont val="Times New Roman"/>
        <family val="1"/>
      </rPr>
      <t>m</t>
    </r>
    <r>
      <rPr>
        <sz val="12"/>
        <rFont val="宋体"/>
        <charset val="134"/>
      </rPr>
      <t>）</t>
    </r>
    <r>
      <rPr>
        <sz val="12"/>
        <rFont val="Times New Roman"/>
        <family val="1"/>
      </rPr>
      <t>=</t>
    </r>
  </si>
  <si>
    <r>
      <rPr>
        <sz val="12"/>
        <rFont val="宋体"/>
        <charset val="134"/>
      </rPr>
      <t>净截面的面积矩</t>
    </r>
    <r>
      <rPr>
        <sz val="12"/>
        <rFont val="Times New Roman"/>
        <family val="1"/>
      </rPr>
      <t>In(m</t>
    </r>
    <r>
      <rPr>
        <vertAlign val="superscript"/>
        <sz val="12"/>
        <rFont val="Times New Roman"/>
        <family val="1"/>
      </rPr>
      <t>4</t>
    </r>
    <r>
      <rPr>
        <sz val="12"/>
        <rFont val="Times New Roman"/>
        <family val="1"/>
      </rPr>
      <t>)=</t>
    </r>
  </si>
  <si>
    <r>
      <rPr>
        <sz val="12"/>
        <rFont val="宋体"/>
        <charset val="134"/>
      </rPr>
      <t>合力至净截面中心轴的偏心距</t>
    </r>
    <r>
      <rPr>
        <sz val="12"/>
        <rFont val="Times New Roman"/>
        <family val="1"/>
      </rPr>
      <t>epn</t>
    </r>
    <r>
      <rPr>
        <sz val="12"/>
        <rFont val="宋体"/>
        <charset val="134"/>
      </rPr>
      <t>Ⅰ</t>
    </r>
    <r>
      <rPr>
        <sz val="12"/>
        <rFont val="Times New Roman"/>
        <family val="1"/>
      </rPr>
      <t>(m)=</t>
    </r>
  </si>
  <si>
    <r>
      <t>σpc</t>
    </r>
    <r>
      <rPr>
        <sz val="12"/>
        <rFont val="宋体"/>
        <charset val="134"/>
      </rPr>
      <t>Ⅰ</t>
    </r>
    <r>
      <rPr>
        <sz val="12"/>
        <rFont val="Times New Roman"/>
        <family val="1"/>
      </rPr>
      <t>(MPa)=</t>
    </r>
  </si>
  <si>
    <r>
      <t>因换算形心轴靠近几何重心故近似取</t>
    </r>
    <r>
      <rPr>
        <sz val="12"/>
        <rFont val="Times New Roman"/>
        <family val="1"/>
      </rPr>
      <t>σl‘5=σl5</t>
    </r>
    <r>
      <rPr>
        <sz val="12"/>
        <rFont val="宋体"/>
        <charset val="134"/>
      </rPr>
      <t>(MPa)</t>
    </r>
    <r>
      <rPr>
        <sz val="12"/>
        <rFont val="Times New Roman"/>
        <family val="1"/>
      </rPr>
      <t>=</t>
    </r>
  </si>
  <si>
    <r>
      <t>预应力钢筋与非预应力钢筋的合力</t>
    </r>
    <r>
      <rPr>
        <sz val="12"/>
        <rFont val="Times New Roman"/>
        <family val="1"/>
      </rPr>
      <t>Np</t>
    </r>
    <r>
      <rPr>
        <sz val="12"/>
        <rFont val="宋体"/>
        <charset val="134"/>
      </rPr>
      <t>Ⅱ（</t>
    </r>
    <r>
      <rPr>
        <sz val="12"/>
        <rFont val="Times New Roman"/>
        <family val="1"/>
      </rPr>
      <t>KN</t>
    </r>
    <r>
      <rPr>
        <sz val="12"/>
        <rFont val="宋体"/>
        <charset val="134"/>
      </rPr>
      <t>）</t>
    </r>
    <r>
      <rPr>
        <sz val="12"/>
        <rFont val="Times New Roman"/>
        <family val="1"/>
      </rPr>
      <t>=</t>
    </r>
  </si>
  <si>
    <r>
      <rPr>
        <sz val="12"/>
        <rFont val="宋体"/>
        <charset val="134"/>
      </rPr>
      <t>合力至净截面中心轴的偏心距</t>
    </r>
    <r>
      <rPr>
        <sz val="12"/>
        <rFont val="Times New Roman"/>
        <family val="1"/>
      </rPr>
      <t>epn</t>
    </r>
    <r>
      <rPr>
        <sz val="12"/>
        <rFont val="宋体"/>
        <charset val="134"/>
      </rPr>
      <t>Ⅱ</t>
    </r>
    <r>
      <rPr>
        <sz val="12"/>
        <rFont val="Times New Roman"/>
        <family val="1"/>
      </rPr>
      <t>(m)=</t>
    </r>
  </si>
  <si>
    <r>
      <t>内壁侧砼应力</t>
    </r>
    <r>
      <rPr>
        <sz val="12"/>
        <rFont val="Times New Roman"/>
        <family val="1"/>
      </rPr>
      <t>σpc</t>
    </r>
    <r>
      <rPr>
        <sz val="12"/>
        <rFont val="宋体"/>
        <charset val="134"/>
      </rPr>
      <t>Ⅱ</t>
    </r>
    <r>
      <rPr>
        <sz val="12"/>
        <rFont val="Times New Roman"/>
        <family val="1"/>
      </rPr>
      <t>(KPa)=</t>
    </r>
  </si>
  <si>
    <r>
      <t>外壁侧砼应力</t>
    </r>
    <r>
      <rPr>
        <sz val="12"/>
        <rFont val="Times New Roman"/>
        <family val="1"/>
      </rPr>
      <t>σpc</t>
    </r>
    <r>
      <rPr>
        <sz val="12"/>
        <rFont val="宋体"/>
        <charset val="134"/>
      </rPr>
      <t>Ⅱ（(KPa)</t>
    </r>
    <r>
      <rPr>
        <sz val="12"/>
        <rFont val="Times New Roman"/>
        <family val="1"/>
      </rPr>
      <t>=</t>
    </r>
  </si>
  <si>
    <r>
      <rPr>
        <sz val="12"/>
        <rFont val="宋体"/>
        <charset val="134"/>
      </rPr>
      <t>截面换算面积</t>
    </r>
    <r>
      <rPr>
        <sz val="12"/>
        <rFont val="Times New Roman"/>
        <family val="1"/>
      </rPr>
      <t>A0</t>
    </r>
    <r>
      <rPr>
        <sz val="12"/>
        <rFont val="宋体"/>
        <charset val="134"/>
      </rPr>
      <t>（</t>
    </r>
    <r>
      <rPr>
        <sz val="12"/>
        <rFont val="Times New Roman"/>
        <family val="1"/>
      </rPr>
      <t>m</t>
    </r>
    <r>
      <rPr>
        <vertAlign val="superscript"/>
        <sz val="12"/>
        <rFont val="Times New Roman"/>
        <family val="1"/>
      </rPr>
      <t>2</t>
    </r>
    <r>
      <rPr>
        <sz val="12"/>
        <rFont val="宋体"/>
        <charset val="134"/>
      </rPr>
      <t>）</t>
    </r>
    <r>
      <rPr>
        <sz val="12"/>
        <rFont val="Times New Roman"/>
        <family val="1"/>
      </rPr>
      <t>=</t>
    </r>
  </si>
  <si>
    <r>
      <rPr>
        <sz val="12"/>
        <rFont val="宋体"/>
        <charset val="134"/>
      </rPr>
      <t>换算截面重心距离内壁距离</t>
    </r>
    <r>
      <rPr>
        <sz val="12"/>
        <rFont val="Times New Roman"/>
        <family val="1"/>
      </rPr>
      <t>y01</t>
    </r>
    <r>
      <rPr>
        <sz val="12"/>
        <rFont val="宋体"/>
        <charset val="134"/>
      </rPr>
      <t>（</t>
    </r>
    <r>
      <rPr>
        <sz val="12"/>
        <rFont val="Times New Roman"/>
        <family val="1"/>
      </rPr>
      <t>m</t>
    </r>
    <r>
      <rPr>
        <sz val="12"/>
        <rFont val="宋体"/>
        <charset val="134"/>
      </rPr>
      <t>）</t>
    </r>
    <r>
      <rPr>
        <sz val="12"/>
        <rFont val="Times New Roman"/>
        <family val="1"/>
      </rPr>
      <t>=</t>
    </r>
  </si>
  <si>
    <r>
      <rPr>
        <sz val="12"/>
        <rFont val="宋体"/>
        <charset val="134"/>
      </rPr>
      <t>净截面的面积矩</t>
    </r>
    <r>
      <rPr>
        <sz val="12"/>
        <rFont val="Times New Roman"/>
        <family val="1"/>
      </rPr>
      <t>I0(m</t>
    </r>
    <r>
      <rPr>
        <vertAlign val="superscript"/>
        <sz val="12"/>
        <rFont val="Times New Roman"/>
        <family val="1"/>
      </rPr>
      <t>4</t>
    </r>
    <r>
      <rPr>
        <sz val="12"/>
        <rFont val="Times New Roman"/>
        <family val="1"/>
      </rPr>
      <t>)=</t>
    </r>
  </si>
  <si>
    <r>
      <t>水荷载作用下内壁侧砼压力</t>
    </r>
    <r>
      <rPr>
        <sz val="12"/>
        <rFont val="Times New Roman"/>
        <family val="1"/>
      </rPr>
      <t>σck</t>
    </r>
    <r>
      <rPr>
        <sz val="12"/>
        <rFont val="宋体"/>
        <charset val="134"/>
      </rPr>
      <t>(KPa)</t>
    </r>
    <r>
      <rPr>
        <sz val="12"/>
        <rFont val="Times New Roman"/>
        <family val="1"/>
      </rPr>
      <t>=</t>
    </r>
  </si>
  <si>
    <r>
      <t>水荷载作用下外壁侧砼压力</t>
    </r>
    <r>
      <rPr>
        <sz val="12"/>
        <rFont val="Times New Roman"/>
        <family val="1"/>
      </rPr>
      <t>σck</t>
    </r>
    <r>
      <rPr>
        <sz val="12"/>
        <rFont val="宋体"/>
        <charset val="134"/>
      </rPr>
      <t>(KMPa)</t>
    </r>
    <r>
      <rPr>
        <sz val="12"/>
        <rFont val="Times New Roman"/>
        <family val="1"/>
      </rPr>
      <t>=</t>
    </r>
  </si>
  <si>
    <r>
      <t>内壁侧砼应力</t>
    </r>
    <r>
      <rPr>
        <sz val="12"/>
        <rFont val="Times New Roman"/>
        <family val="1"/>
      </rPr>
      <t>σck</t>
    </r>
    <r>
      <rPr>
        <sz val="12"/>
        <rFont val="宋体"/>
        <charset val="134"/>
      </rPr>
      <t>(MPa)</t>
    </r>
    <r>
      <rPr>
        <sz val="12"/>
        <rFont val="Times New Roman"/>
        <family val="1"/>
      </rPr>
      <t>=</t>
    </r>
  </si>
  <si>
    <r>
      <t>外壁侧砼应力</t>
    </r>
    <r>
      <rPr>
        <sz val="12"/>
        <rFont val="Times New Roman"/>
        <family val="1"/>
      </rPr>
      <t>σck</t>
    </r>
    <r>
      <rPr>
        <sz val="12"/>
        <rFont val="宋体"/>
        <charset val="134"/>
      </rPr>
      <t>(MPa)</t>
    </r>
    <r>
      <rPr>
        <sz val="12"/>
        <rFont val="Times New Roman"/>
        <family val="1"/>
      </rPr>
      <t>=</t>
    </r>
  </si>
  <si>
    <t>结果</t>
  </si>
  <si>
    <t>截面编号：</t>
    <phoneticPr fontId="143" type="noConversion"/>
  </si>
  <si>
    <t>验算点至换算截面重心距离y0（m）=</t>
    <phoneticPr fontId="143" type="noConversion"/>
  </si>
  <si>
    <r>
      <t>换算截面惯性矩</t>
    </r>
    <r>
      <rPr>
        <sz val="10"/>
        <color theme="1"/>
        <rFont val="Times New Roman"/>
        <family val="1"/>
      </rPr>
      <t>I0</t>
    </r>
    <r>
      <rPr>
        <sz val="10"/>
        <color theme="1"/>
        <rFont val="宋体"/>
        <charset val="134"/>
      </rPr>
      <t>（</t>
    </r>
    <r>
      <rPr>
        <sz val="10"/>
        <color theme="1"/>
        <rFont val="Times New Roman"/>
        <family val="1"/>
      </rPr>
      <t>m</t>
    </r>
    <r>
      <rPr>
        <vertAlign val="superscript"/>
        <sz val="10"/>
        <color theme="1"/>
        <rFont val="Times New Roman"/>
        <family val="1"/>
      </rPr>
      <t>4</t>
    </r>
    <r>
      <rPr>
        <sz val="10"/>
        <color theme="1"/>
        <rFont val="宋体"/>
        <charset val="134"/>
      </rPr>
      <t>）</t>
    </r>
    <r>
      <rPr>
        <sz val="10"/>
        <color theme="1"/>
        <rFont val="Times New Roman"/>
        <family val="1"/>
      </rPr>
      <t>=</t>
    </r>
    <phoneticPr fontId="143" type="noConversion"/>
  </si>
  <si>
    <r>
      <t>第</t>
    </r>
    <r>
      <rPr>
        <sz val="10"/>
        <color theme="1"/>
        <rFont val="宋体"/>
        <family val="1"/>
        <charset val="134"/>
      </rPr>
      <t>1</t>
    </r>
    <r>
      <rPr>
        <sz val="10"/>
        <color theme="1"/>
        <rFont val="宋体"/>
        <charset val="134"/>
      </rPr>
      <t>验算点混凝土法向应力</t>
    </r>
    <r>
      <rPr>
        <sz val="10"/>
        <color theme="1"/>
        <rFont val="宋体"/>
        <family val="1"/>
        <charset val="134"/>
      </rPr>
      <t>σ</t>
    </r>
    <r>
      <rPr>
        <vertAlign val="subscript"/>
        <sz val="10"/>
        <color theme="1"/>
        <rFont val="宋体"/>
        <family val="1"/>
        <charset val="134"/>
      </rPr>
      <t>pc1</t>
    </r>
    <r>
      <rPr>
        <sz val="10"/>
        <color theme="1"/>
        <rFont val="宋体"/>
        <family val="1"/>
        <charset val="134"/>
      </rPr>
      <t>(KPa)=</t>
    </r>
    <phoneticPr fontId="143" type="noConversion"/>
  </si>
  <si>
    <r>
      <t>混凝土法向应力</t>
    </r>
    <r>
      <rPr>
        <sz val="11"/>
        <color theme="1"/>
        <rFont val="Calibri"/>
        <family val="2"/>
      </rPr>
      <t>σ</t>
    </r>
    <r>
      <rPr>
        <sz val="11"/>
        <color theme="1"/>
        <rFont val="宋体"/>
        <charset val="134"/>
        <scheme val="minor"/>
      </rPr>
      <t>pc(KPa)=</t>
    </r>
    <phoneticPr fontId="143" type="noConversion"/>
  </si>
  <si>
    <r>
      <t>验算点以上S</t>
    </r>
    <r>
      <rPr>
        <vertAlign val="subscript"/>
        <sz val="11"/>
        <color theme="1"/>
        <rFont val="宋体"/>
        <family val="3"/>
        <charset val="134"/>
        <scheme val="minor"/>
      </rPr>
      <t>0</t>
    </r>
    <r>
      <rPr>
        <sz val="11"/>
        <color theme="1"/>
        <rFont val="宋体"/>
        <family val="3"/>
        <charset val="134"/>
        <scheme val="minor"/>
      </rPr>
      <t>（m4）（CAD查询）=</t>
    </r>
    <phoneticPr fontId="143" type="noConversion"/>
  </si>
  <si>
    <t>σx(KPa)=</t>
    <phoneticPr fontId="143" type="noConversion"/>
  </si>
  <si>
    <r>
      <t>净截面重心至第</t>
    </r>
    <r>
      <rPr>
        <sz val="10"/>
        <color theme="1"/>
        <rFont val="Times New Roman"/>
        <family val="1"/>
      </rPr>
      <t>3</t>
    </r>
    <r>
      <rPr>
        <sz val="10"/>
        <color theme="1"/>
        <rFont val="宋体"/>
        <charset val="134"/>
      </rPr>
      <t>验算点距离</t>
    </r>
    <r>
      <rPr>
        <sz val="10"/>
        <color theme="1"/>
        <rFont val="Times New Roman"/>
        <family val="1"/>
      </rPr>
      <t>yn4</t>
    </r>
    <r>
      <rPr>
        <sz val="10"/>
        <color theme="1"/>
        <rFont val="宋体"/>
        <charset val="134"/>
      </rPr>
      <t>（</t>
    </r>
    <r>
      <rPr>
        <sz val="10"/>
        <color theme="1"/>
        <rFont val="Times New Roman"/>
        <family val="1"/>
      </rPr>
      <t>m</t>
    </r>
    <r>
      <rPr>
        <sz val="10"/>
        <color theme="1"/>
        <rFont val="宋体"/>
        <charset val="134"/>
      </rPr>
      <t>）</t>
    </r>
    <phoneticPr fontId="143" type="noConversion"/>
  </si>
  <si>
    <t>重心</t>
    <phoneticPr fontId="143" type="noConversion"/>
  </si>
  <si>
    <r>
      <t>第4验算点混凝土法向应力</t>
    </r>
    <r>
      <rPr>
        <sz val="10"/>
        <color theme="1"/>
        <rFont val="Times New Roman"/>
        <family val="1"/>
      </rPr>
      <t>σ</t>
    </r>
    <r>
      <rPr>
        <vertAlign val="subscript"/>
        <sz val="10"/>
        <color theme="1"/>
        <rFont val="Times New Roman"/>
        <family val="1"/>
      </rPr>
      <t>pc4(KPa)=</t>
    </r>
    <phoneticPr fontId="143" type="noConversion"/>
  </si>
  <si>
    <r>
      <t>第4验算点混凝土法向应力</t>
    </r>
    <r>
      <rPr>
        <sz val="10"/>
        <color theme="1"/>
        <rFont val="宋体"/>
        <family val="1"/>
        <charset val="134"/>
      </rPr>
      <t>σ</t>
    </r>
    <r>
      <rPr>
        <vertAlign val="subscript"/>
        <sz val="10"/>
        <color theme="1"/>
        <rFont val="宋体"/>
        <family val="1"/>
        <charset val="134"/>
      </rPr>
      <t>ck4(KPa)=</t>
    </r>
    <phoneticPr fontId="143" type="noConversion"/>
  </si>
  <si>
    <r>
      <t>第4验算点混凝土法向应力</t>
    </r>
    <r>
      <rPr>
        <sz val="10"/>
        <color theme="1"/>
        <rFont val="Times New Roman"/>
        <family val="1"/>
      </rPr>
      <t>σ</t>
    </r>
    <r>
      <rPr>
        <vertAlign val="subscript"/>
        <sz val="10"/>
        <color theme="1"/>
        <rFont val="Times New Roman"/>
        <family val="1"/>
      </rPr>
      <t>ck4</t>
    </r>
    <r>
      <rPr>
        <sz val="10"/>
        <color theme="1"/>
        <rFont val="Times New Roman"/>
        <family val="1"/>
      </rPr>
      <t>-σ</t>
    </r>
    <r>
      <rPr>
        <vertAlign val="subscript"/>
        <sz val="10"/>
        <color theme="1"/>
        <rFont val="Times New Roman"/>
        <family val="1"/>
      </rPr>
      <t>pc4(KPa)=</t>
    </r>
    <phoneticPr fontId="143" type="noConversion"/>
  </si>
  <si>
    <r>
      <t>σ</t>
    </r>
    <r>
      <rPr>
        <sz val="11"/>
        <color theme="1"/>
        <rFont val="宋体"/>
        <family val="2"/>
        <charset val="134"/>
      </rPr>
      <t>y</t>
    </r>
    <r>
      <rPr>
        <sz val="11"/>
        <color theme="1"/>
        <rFont val="Calibri"/>
        <family val="2"/>
      </rPr>
      <t>(KPa)=</t>
    </r>
    <phoneticPr fontId="143" type="noConversion"/>
  </si>
  <si>
    <t>弯矩标准值Mk(KN·m)=</t>
    <phoneticPr fontId="143" type="noConversion"/>
  </si>
  <si>
    <t>剪力标准值Vk（KN）=</t>
    <phoneticPr fontId="143" type="noConversion"/>
  </si>
  <si>
    <t>集中荷载标准值Fk（KN）=</t>
    <phoneticPr fontId="143" type="noConversion"/>
  </si>
  <si>
    <t>截面宽度b(m)=</t>
    <phoneticPr fontId="143" type="noConversion"/>
  </si>
  <si>
    <t>τ(KPa)=</t>
    <phoneticPr fontId="143" type="noConversion"/>
  </si>
  <si>
    <r>
      <t>截面主拉应力</t>
    </r>
    <r>
      <rPr>
        <sz val="11"/>
        <color theme="1"/>
        <rFont val="Calibri"/>
        <family val="3"/>
        <charset val="161"/>
      </rPr>
      <t>σ</t>
    </r>
    <r>
      <rPr>
        <sz val="11"/>
        <color theme="1"/>
        <rFont val="宋体"/>
        <family val="3"/>
        <charset val="134"/>
        <scheme val="minor"/>
      </rPr>
      <t>tp(KPa)</t>
    </r>
    <phoneticPr fontId="143" type="noConversion"/>
  </si>
  <si>
    <r>
      <t>截面主压应力</t>
    </r>
    <r>
      <rPr>
        <sz val="11"/>
        <color theme="1"/>
        <rFont val="Calibri"/>
        <family val="3"/>
        <charset val="161"/>
      </rPr>
      <t>σ</t>
    </r>
    <r>
      <rPr>
        <sz val="11"/>
        <color theme="1"/>
        <rFont val="宋体"/>
        <family val="3"/>
        <charset val="134"/>
        <scheme val="minor"/>
      </rPr>
      <t>cp(KPa)</t>
    </r>
    <phoneticPr fontId="143" type="noConversion"/>
  </si>
  <si>
    <t>钢绞线型号：</t>
    <phoneticPr fontId="143" type="noConversion"/>
  </si>
  <si>
    <t>预应力钢绞线强度标准值fptk(MPa)=</t>
    <phoneticPr fontId="143" type="noConversion"/>
  </si>
  <si>
    <r>
      <rPr>
        <sz val="10"/>
        <rFont val="宋体"/>
        <charset val="134"/>
      </rPr>
      <t>张拉控制应力值</t>
    </r>
    <r>
      <rPr>
        <sz val="10"/>
        <rFont val="Times New Roman"/>
        <family val="1"/>
      </rPr>
      <t>σ</t>
    </r>
    <r>
      <rPr>
        <vertAlign val="subscript"/>
        <sz val="10"/>
        <rFont val="Times New Roman"/>
        <family val="1"/>
      </rPr>
      <t>con</t>
    </r>
    <r>
      <rPr>
        <sz val="10"/>
        <rFont val="Times New Roman"/>
        <family val="1"/>
      </rPr>
      <t>=0.7f</t>
    </r>
    <r>
      <rPr>
        <vertAlign val="subscript"/>
        <sz val="10"/>
        <rFont val="Times New Roman"/>
        <family val="1"/>
      </rPr>
      <t>ptk</t>
    </r>
    <r>
      <rPr>
        <sz val="10"/>
        <rFont val="Times New Roman"/>
        <family val="1"/>
      </rPr>
      <t>=</t>
    </r>
    <phoneticPr fontId="143" type="noConversion"/>
  </si>
  <si>
    <t>张拉控制系数：</t>
    <phoneticPr fontId="143" type="noConversion"/>
  </si>
  <si>
    <r>
      <t>mm</t>
    </r>
    <r>
      <rPr>
        <vertAlign val="superscript"/>
        <sz val="10"/>
        <rFont val="Times New Roman"/>
        <family val="1"/>
      </rPr>
      <t>2</t>
    </r>
    <phoneticPr fontId="143" type="noConversion"/>
  </si>
  <si>
    <t>单束钢绞线面积S(mm2)=：</t>
    <phoneticPr fontId="143" type="noConversion"/>
  </si>
  <si>
    <r>
      <rPr>
        <sz val="10"/>
        <rFont val="宋体"/>
        <family val="3"/>
        <charset val="134"/>
      </rPr>
      <t>表13</t>
    </r>
    <r>
      <rPr>
        <sz val="10"/>
        <rFont val="Times New Roman"/>
        <family val="1"/>
      </rPr>
      <t xml:space="preserve"> </t>
    </r>
    <r>
      <rPr>
        <sz val="10"/>
        <rFont val="宋体"/>
        <family val="3"/>
        <charset val="134"/>
      </rPr>
      <t>纵向钢绞线锚固端砼局部受压承载力计算</t>
    </r>
  </si>
  <si>
    <r>
      <rPr>
        <sz val="10"/>
        <rFont val="宋体"/>
        <family val="3"/>
        <charset val="134"/>
      </rPr>
      <t>承载力安全系数</t>
    </r>
    <r>
      <rPr>
        <sz val="10"/>
        <rFont val="Times New Roman"/>
        <family val="1"/>
      </rPr>
      <t>:K=</t>
    </r>
  </si>
  <si>
    <r>
      <rPr>
        <sz val="10"/>
        <color theme="1"/>
        <rFont val="宋体"/>
        <family val="3"/>
        <charset val="134"/>
      </rPr>
      <t>局部压力设计值</t>
    </r>
    <r>
      <rPr>
        <sz val="10"/>
        <color theme="1"/>
        <rFont val="Times New Roman"/>
        <family val="1"/>
      </rPr>
      <t>F</t>
    </r>
    <r>
      <rPr>
        <vertAlign val="subscript"/>
        <sz val="10"/>
        <color theme="1"/>
        <rFont val="Times New Roman"/>
        <family val="1"/>
      </rPr>
      <t>l</t>
    </r>
    <r>
      <rPr>
        <sz val="10"/>
        <color theme="1"/>
        <rFont val="Times New Roman"/>
        <family val="1"/>
      </rPr>
      <t>(KN)=</t>
    </r>
    <r>
      <rPr>
        <sz val="10"/>
        <color theme="1"/>
        <rFont val="宋体"/>
        <family val="3"/>
        <charset val="134"/>
      </rPr>
      <t>：</t>
    </r>
    <phoneticPr fontId="143" type="noConversion"/>
  </si>
  <si>
    <t>锚具型号：</t>
    <phoneticPr fontId="143" type="noConversion"/>
  </si>
  <si>
    <t>YJM15-6</t>
    <phoneticPr fontId="143" type="noConversion"/>
  </si>
  <si>
    <r>
      <rPr>
        <sz val="10"/>
        <rFont val="宋体"/>
        <charset val="134"/>
      </rPr>
      <t>宽</t>
    </r>
    <r>
      <rPr>
        <sz val="10"/>
        <rFont val="Times New Roman"/>
        <family val="1"/>
      </rPr>
      <t>b</t>
    </r>
    <r>
      <rPr>
        <vertAlign val="subscript"/>
        <sz val="10"/>
        <rFont val="宋体"/>
        <charset val="134"/>
      </rPr>
      <t>局</t>
    </r>
    <r>
      <rPr>
        <sz val="10"/>
        <rFont val="Times New Roman"/>
        <family val="1"/>
      </rPr>
      <t>(m)=</t>
    </r>
    <phoneticPr fontId="143" type="noConversion"/>
  </si>
  <si>
    <t>1级</t>
  </si>
  <si>
    <r>
      <rPr>
        <sz val="10"/>
        <rFont val="宋体"/>
        <charset val="134"/>
      </rPr>
      <t>长</t>
    </r>
    <r>
      <rPr>
        <sz val="10"/>
        <rFont val="Times New Roman"/>
        <family val="1"/>
      </rPr>
      <t>L</t>
    </r>
    <r>
      <rPr>
        <vertAlign val="subscript"/>
        <sz val="10"/>
        <rFont val="宋体"/>
        <charset val="134"/>
      </rPr>
      <t>局</t>
    </r>
    <r>
      <rPr>
        <sz val="10"/>
        <rFont val="宋体"/>
        <family val="3"/>
        <charset val="134"/>
      </rPr>
      <t>(</t>
    </r>
    <r>
      <rPr>
        <sz val="10"/>
        <rFont val="Times New Roman"/>
        <family val="3"/>
      </rPr>
      <t>m</t>
    </r>
    <r>
      <rPr>
        <sz val="10"/>
        <rFont val="宋体"/>
        <family val="3"/>
        <charset val="134"/>
      </rPr>
      <t>)=</t>
    </r>
    <phoneticPr fontId="143" type="noConversion"/>
  </si>
  <si>
    <r>
      <rPr>
        <sz val="10"/>
        <rFont val="宋体"/>
        <charset val="134"/>
      </rPr>
      <t>局部受压时计算底面积</t>
    </r>
    <r>
      <rPr>
        <sz val="10"/>
        <rFont val="Times New Roman"/>
        <family val="1"/>
      </rPr>
      <t>A</t>
    </r>
    <r>
      <rPr>
        <vertAlign val="subscript"/>
        <sz val="10"/>
        <rFont val="Times New Roman"/>
        <family val="1"/>
      </rPr>
      <t>b</t>
    </r>
    <r>
      <rPr>
        <sz val="10"/>
        <rFont val="Times New Roman"/>
        <family val="1"/>
      </rPr>
      <t>=</t>
    </r>
    <phoneticPr fontId="143" type="noConversion"/>
  </si>
  <si>
    <r>
      <t>体积配筋率</t>
    </r>
    <r>
      <rPr>
        <sz val="11"/>
        <color theme="1"/>
        <rFont val="Calibri"/>
        <family val="2"/>
      </rPr>
      <t>ρ</t>
    </r>
    <r>
      <rPr>
        <sz val="11"/>
        <color theme="1"/>
        <rFont val="宋体"/>
        <charset val="134"/>
        <scheme val="minor"/>
      </rPr>
      <t>v</t>
    </r>
    <phoneticPr fontId="143" type="noConversion"/>
  </si>
  <si>
    <t>采用方格网片配筋，d=10mm，间距5cm，4层</t>
    <phoneticPr fontId="143" type="noConversion"/>
  </si>
  <si>
    <t>净面积Aln=</t>
    <phoneticPr fontId="143" type="noConversion"/>
  </si>
  <si>
    <r>
      <t>(</t>
    </r>
    <r>
      <rPr>
        <sz val="11"/>
        <color theme="1"/>
        <rFont val="Calibri"/>
        <family val="3"/>
        <charset val="161"/>
      </rPr>
      <t>β</t>
    </r>
    <r>
      <rPr>
        <sz val="11"/>
        <color theme="1"/>
        <rFont val="宋体"/>
        <family val="3"/>
        <charset val="134"/>
        <scheme val="minor"/>
      </rPr>
      <t>Lfc+2</t>
    </r>
    <r>
      <rPr>
        <sz val="11"/>
        <color theme="1"/>
        <rFont val="Calibri"/>
        <family val="3"/>
        <charset val="161"/>
      </rPr>
      <t>ρ</t>
    </r>
    <r>
      <rPr>
        <sz val="11"/>
        <color theme="1"/>
        <rFont val="宋体"/>
        <family val="3"/>
        <charset val="134"/>
        <scheme val="minor"/>
      </rPr>
      <t>v</t>
    </r>
    <r>
      <rPr>
        <sz val="11"/>
        <color theme="1"/>
        <rFont val="Calibri"/>
        <family val="3"/>
        <charset val="161"/>
      </rPr>
      <t>β</t>
    </r>
    <r>
      <rPr>
        <sz val="11"/>
        <color theme="1"/>
        <rFont val="宋体"/>
        <family val="3"/>
        <charset val="134"/>
        <scheme val="minor"/>
      </rPr>
      <t>corfy)AL=</t>
    </r>
    <phoneticPr fontId="143" type="noConversion"/>
  </si>
  <si>
    <r>
      <t>1.5β</t>
    </r>
    <r>
      <rPr>
        <vertAlign val="subscript"/>
        <sz val="10"/>
        <rFont val="Times New Roman"/>
        <family val="1"/>
      </rPr>
      <t>L</t>
    </r>
    <r>
      <rPr>
        <sz val="10"/>
        <rFont val="Times New Roman"/>
        <family val="1"/>
      </rPr>
      <t>f</t>
    </r>
    <r>
      <rPr>
        <vertAlign val="subscript"/>
        <sz val="10"/>
        <rFont val="Times New Roman"/>
        <family val="1"/>
      </rPr>
      <t>c</t>
    </r>
    <r>
      <rPr>
        <sz val="10"/>
        <rFont val="Times New Roman"/>
        <family val="1"/>
      </rPr>
      <t>A</t>
    </r>
    <r>
      <rPr>
        <vertAlign val="subscript"/>
        <sz val="10"/>
        <rFont val="Times New Roman"/>
        <family val="1"/>
      </rPr>
      <t>L</t>
    </r>
    <r>
      <rPr>
        <sz val="10"/>
        <rFont val="Times New Roman"/>
        <family val="1"/>
      </rPr>
      <t>=</t>
    </r>
    <phoneticPr fontId="143" type="noConversion"/>
  </si>
  <si>
    <r>
      <rPr>
        <sz val="10"/>
        <rFont val="宋体"/>
        <charset val="134"/>
      </rPr>
      <t>砼轴心抗压强度设计值</t>
    </r>
    <r>
      <rPr>
        <sz val="10"/>
        <rFont val="Times New Roman"/>
        <family val="1"/>
      </rPr>
      <t>fc(MPa)=</t>
    </r>
    <phoneticPr fontId="143" type="noConversion"/>
  </si>
  <si>
    <r>
      <rPr>
        <sz val="10"/>
        <rFont val="宋体"/>
        <charset val="134"/>
      </rPr>
      <t>间接钢筋强度设计值</t>
    </r>
    <r>
      <rPr>
        <sz val="10"/>
        <rFont val="Times New Roman"/>
        <family val="1"/>
      </rPr>
      <t>f</t>
    </r>
    <r>
      <rPr>
        <vertAlign val="subscript"/>
        <sz val="10"/>
        <rFont val="Times New Roman"/>
        <family val="1"/>
      </rPr>
      <t>y</t>
    </r>
    <r>
      <rPr>
        <sz val="10"/>
        <rFont val="Times New Roman"/>
        <family val="1"/>
      </rPr>
      <t>(MPa)=</t>
    </r>
    <phoneticPr fontId="143" type="noConversion"/>
  </si>
  <si>
    <t xml:space="preserve">钢绞线束N= </t>
    <phoneticPr fontId="143" type="noConversion"/>
  </si>
  <si>
    <t>建筑物级别：</t>
    <phoneticPr fontId="143" type="noConversion"/>
  </si>
  <si>
    <t>C50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</si>
</sst>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176" formatCode="0.000_ "/>
    <numFmt numFmtId="177" formatCode="0.00_);[Red]\(0.00\)"/>
    <numFmt numFmtId="178" formatCode="0.00_ "/>
    <numFmt numFmtId="179" formatCode="0_ "/>
    <numFmt numFmtId="180" formatCode="0&quot; °&quot;"/>
    <numFmt numFmtId="181" formatCode="0.00&quot;  m&quot;"/>
    <numFmt numFmtId="182" formatCode="0.0000_);[Red]\(0.0000\)"/>
    <numFmt numFmtId="183" formatCode="0.000_);[Red]\(0.000\)"/>
    <numFmt numFmtId="184" formatCode="0.0"/>
    <numFmt numFmtId="185" formatCode="0.0000_ "/>
    <numFmt numFmtId="186" formatCode="0;_곿"/>
    <numFmt numFmtId="187" formatCode="0.0_ "/>
    <numFmt numFmtId="188" formatCode="0&quot; KN/m³&quot;"/>
    <numFmt numFmtId="189" formatCode="0.00000_ "/>
    <numFmt numFmtId="190" formatCode="0.0&quot; m&quot;"/>
    <numFmt numFmtId="191" formatCode="0&quot; MPa&quot;"/>
    <numFmt numFmtId="192" formatCode="0.00&quot; MPa&quot;"/>
    <numFmt numFmtId="193" formatCode="0.0&quot; MPa&quot;"/>
    <numFmt numFmtId="194" formatCode="0.0&quot;  KN&quot;"/>
    <numFmt numFmtId="195" formatCode="0.0&quot;  KN/m&quot;"/>
    <numFmt numFmtId="196" formatCode="0.000"/>
    <numFmt numFmtId="197" formatCode="0.000000000_ "/>
    <numFmt numFmtId="198" formatCode="0.0;_ﰀ"/>
    <numFmt numFmtId="199" formatCode="0.0000000"/>
  </numFmts>
  <fonts count="158" x14ac:knownFonts="1">
    <font>
      <sz val="11"/>
      <color theme="1"/>
      <name val="宋体"/>
      <charset val="134"/>
      <scheme val="minor"/>
    </font>
    <font>
      <sz val="12"/>
      <name val="宋体"/>
      <charset val="134"/>
    </font>
    <font>
      <sz val="12"/>
      <name val="Times New Roman"/>
      <family val="1"/>
    </font>
    <font>
      <sz val="12"/>
      <name val="Times New Roman"/>
      <family val="1"/>
    </font>
    <font>
      <b/>
      <sz val="10"/>
      <color rgb="FF0033CC"/>
      <name val="Times New Roman"/>
      <family val="1"/>
    </font>
    <font>
      <sz val="10"/>
      <name val="Times New Roman"/>
      <family val="1"/>
    </font>
    <font>
      <sz val="12"/>
      <name val="宋体"/>
      <charset val="134"/>
    </font>
    <font>
      <sz val="11"/>
      <color theme="1"/>
      <name val="宋体"/>
      <charset val="134"/>
      <scheme val="minor"/>
    </font>
    <font>
      <sz val="11"/>
      <name val="宋体"/>
      <charset val="134"/>
    </font>
    <font>
      <sz val="11"/>
      <color indexed="8"/>
      <name val="宋体"/>
      <charset val="134"/>
    </font>
    <font>
      <b/>
      <sz val="15"/>
      <name val="宋体"/>
      <charset val="134"/>
    </font>
    <font>
      <sz val="10"/>
      <color theme="1"/>
      <name val="宋体"/>
      <charset val="134"/>
    </font>
    <font>
      <sz val="10"/>
      <color theme="1"/>
      <name val="Times New Roman"/>
      <family val="1"/>
    </font>
    <font>
      <sz val="12"/>
      <name val="黑体"/>
      <charset val="134"/>
    </font>
    <font>
      <sz val="10"/>
      <name val="宋体"/>
      <charset val="134"/>
    </font>
    <font>
      <sz val="10"/>
      <color theme="1"/>
      <name val="Times New Roman"/>
      <family val="1"/>
    </font>
    <font>
      <sz val="10"/>
      <name val="Times New Roman"/>
      <family val="1"/>
    </font>
    <font>
      <sz val="10"/>
      <color theme="1"/>
      <name val="Times New Roman"/>
      <family val="1"/>
    </font>
    <font>
      <sz val="10"/>
      <name val="宋体"/>
      <charset val="134"/>
    </font>
    <font>
      <b/>
      <sz val="10"/>
      <color rgb="FFFF0000"/>
      <name val="Times New Roman"/>
      <family val="1"/>
    </font>
    <font>
      <b/>
      <sz val="10"/>
      <name val="宋体"/>
      <charset val="134"/>
      <scheme val="minor"/>
    </font>
    <font>
      <sz val="10"/>
      <name val="宋体"/>
      <charset val="134"/>
      <scheme val="minor"/>
    </font>
    <font>
      <sz val="10"/>
      <color theme="1"/>
      <name val="宋体"/>
      <charset val="134"/>
      <scheme val="minor"/>
    </font>
    <font>
      <sz val="10"/>
      <name val="Times New Roman"/>
      <charset val="161"/>
    </font>
    <font>
      <sz val="10"/>
      <color rgb="FFFF0000"/>
      <name val="Times New Roman"/>
      <family val="1"/>
    </font>
    <font>
      <sz val="10"/>
      <color rgb="FFFF0000"/>
      <name val="Times New Roman"/>
      <family val="1"/>
    </font>
    <font>
      <b/>
      <sz val="10"/>
      <color theme="1"/>
      <name val="Times New Roman"/>
      <family val="1"/>
    </font>
    <font>
      <b/>
      <sz val="10"/>
      <color theme="1"/>
      <name val="Times New Roman"/>
      <family val="1"/>
    </font>
    <font>
      <sz val="10"/>
      <color rgb="FFFF0000"/>
      <name val="宋体"/>
      <charset val="134"/>
    </font>
    <font>
      <sz val="10"/>
      <color rgb="FFFF0000"/>
      <name val="宋体"/>
      <charset val="134"/>
    </font>
    <font>
      <sz val="11"/>
      <name val="Times New Roman"/>
      <family val="1"/>
    </font>
    <font>
      <sz val="11"/>
      <name val="宋体"/>
      <charset val="134"/>
    </font>
    <font>
      <b/>
      <sz val="11"/>
      <color rgb="FF0033CC"/>
      <name val="Times New Roman"/>
      <family val="1"/>
    </font>
    <font>
      <sz val="11"/>
      <color theme="1"/>
      <name val="Times New Roman"/>
      <family val="1"/>
    </font>
    <font>
      <b/>
      <sz val="11"/>
      <color rgb="FFFF0000"/>
      <name val="Times New Roman"/>
      <family val="1"/>
    </font>
    <font>
      <sz val="11"/>
      <color rgb="FFFF0000"/>
      <name val="Times New Roman"/>
      <family val="1"/>
    </font>
    <font>
      <sz val="11"/>
      <color rgb="FFFF0000"/>
      <name val="Times New Roman"/>
      <family val="1"/>
    </font>
    <font>
      <sz val="11"/>
      <name val="Times New Roman"/>
      <family val="1"/>
    </font>
    <font>
      <sz val="10"/>
      <color rgb="FF0000FF"/>
      <name val="黑体"/>
      <charset val="134"/>
    </font>
    <font>
      <b/>
      <sz val="10"/>
      <color rgb="FF0033CC"/>
      <name val="宋体"/>
      <charset val="134"/>
    </font>
    <font>
      <sz val="14"/>
      <name val="黑体"/>
      <charset val="134"/>
    </font>
    <font>
      <b/>
      <sz val="12"/>
      <name val="Times New Roman"/>
      <family val="1"/>
    </font>
    <font>
      <sz val="14"/>
      <color theme="1"/>
      <name val="黑体"/>
      <charset val="134"/>
    </font>
    <font>
      <sz val="8"/>
      <color theme="1"/>
      <name val="Times New Roman"/>
      <family val="1"/>
    </font>
    <font>
      <sz val="10"/>
      <color theme="1"/>
      <name val="宋体"/>
      <charset val="134"/>
    </font>
    <font>
      <sz val="10"/>
      <color theme="1"/>
      <name val="宋体"/>
      <charset val="134"/>
      <scheme val="minor"/>
    </font>
    <font>
      <sz val="10"/>
      <color theme="1"/>
      <name val="宋体"/>
      <charset val="134"/>
    </font>
    <font>
      <b/>
      <sz val="10"/>
      <color rgb="FFFF0000"/>
      <name val="宋体"/>
      <charset val="134"/>
      <scheme val="minor"/>
    </font>
    <font>
      <sz val="11"/>
      <color rgb="FF0033CC"/>
      <name val="Times New Roman"/>
      <family val="1"/>
    </font>
    <font>
      <sz val="11"/>
      <color rgb="FF0000FF"/>
      <name val="宋体"/>
      <charset val="134"/>
      <scheme val="minor"/>
    </font>
    <font>
      <sz val="9"/>
      <name val="Times New Roman"/>
      <family val="1"/>
    </font>
    <font>
      <sz val="9"/>
      <name val="Times New Roman"/>
      <family val="1"/>
    </font>
    <font>
      <b/>
      <sz val="10"/>
      <color rgb="FF0000FF"/>
      <name val="宋体"/>
      <charset val="134"/>
    </font>
    <font>
      <sz val="11"/>
      <name val="宋体"/>
      <charset val="134"/>
      <scheme val="minor"/>
    </font>
    <font>
      <sz val="11"/>
      <color theme="1"/>
      <name val="黑体"/>
      <charset val="134"/>
    </font>
    <font>
      <sz val="11"/>
      <name val="黑体"/>
      <charset val="134"/>
    </font>
    <font>
      <b/>
      <sz val="10"/>
      <color rgb="FF0000FF"/>
      <name val="Times New Roman"/>
      <family val="1"/>
    </font>
    <font>
      <vertAlign val="superscript"/>
      <sz val="11"/>
      <color rgb="FF000000"/>
      <name val="Calibri"/>
      <family val="2"/>
    </font>
    <font>
      <sz val="10"/>
      <color rgb="FF000000"/>
      <name val="Times New Roman"/>
      <family val="1"/>
    </font>
    <font>
      <sz val="11"/>
      <color theme="1"/>
      <name val="宋体"/>
      <charset val="134"/>
    </font>
    <font>
      <sz val="11"/>
      <color rgb="FF0033CC"/>
      <name val="宋体"/>
      <charset val="134"/>
      <scheme val="minor"/>
    </font>
    <font>
      <b/>
      <sz val="12"/>
      <name val="宋体"/>
      <charset val="134"/>
    </font>
    <font>
      <b/>
      <sz val="11"/>
      <name val="宋体"/>
      <charset val="134"/>
    </font>
    <font>
      <sz val="10.5"/>
      <color theme="1"/>
      <name val="Calibri"/>
      <family val="2"/>
    </font>
    <font>
      <sz val="12"/>
      <name val="华文楷体"/>
      <charset val="134"/>
    </font>
    <font>
      <sz val="11"/>
      <name val="华文楷体"/>
      <charset val="134"/>
    </font>
    <font>
      <sz val="11"/>
      <color rgb="FF0000FF"/>
      <name val="黑体"/>
      <charset val="134"/>
    </font>
    <font>
      <b/>
      <sz val="11"/>
      <color rgb="FF0000FF"/>
      <name val="宋体"/>
      <charset val="134"/>
    </font>
    <font>
      <u/>
      <sz val="11"/>
      <name val="宋体"/>
      <charset val="134"/>
    </font>
    <font>
      <sz val="11"/>
      <color rgb="FF000000"/>
      <name val="Calibri"/>
      <family val="2"/>
    </font>
    <font>
      <sz val="9"/>
      <color theme="1"/>
      <name val="宋体"/>
      <charset val="134"/>
      <scheme val="minor"/>
    </font>
    <font>
      <sz val="9"/>
      <name val="宋体"/>
      <charset val="134"/>
    </font>
    <font>
      <sz val="11"/>
      <color rgb="FFFF0000"/>
      <name val="宋体"/>
      <charset val="134"/>
      <scheme val="minor"/>
    </font>
    <font>
      <sz val="11"/>
      <color theme="1"/>
      <name val="宋体"/>
      <charset val="134"/>
      <scheme val="major"/>
    </font>
    <font>
      <sz val="14"/>
      <name val="Times New Roman"/>
      <family val="1"/>
    </font>
    <font>
      <b/>
      <sz val="11"/>
      <name val="Times New Roman"/>
      <family val="1"/>
    </font>
    <font>
      <sz val="14"/>
      <color theme="1"/>
      <name val="Times New Roman"/>
      <family val="1"/>
    </font>
    <font>
      <sz val="10.5"/>
      <color theme="1"/>
      <name val="Times New Roman"/>
      <family val="1"/>
    </font>
    <font>
      <sz val="11"/>
      <color rgb="FF0000FF"/>
      <name val="Times New Roman"/>
      <family val="1"/>
    </font>
    <font>
      <vertAlign val="superscript"/>
      <sz val="11"/>
      <color rgb="FF000000"/>
      <name val="Times New Roman"/>
      <family val="1"/>
    </font>
    <font>
      <b/>
      <sz val="11"/>
      <color rgb="FF0000FF"/>
      <name val="Times New Roman"/>
      <family val="1"/>
    </font>
    <font>
      <u/>
      <sz val="11"/>
      <name val="Times New Roman"/>
      <family val="1"/>
    </font>
    <font>
      <sz val="11"/>
      <color rgb="FF000000"/>
      <name val="Times New Roman"/>
      <family val="1"/>
    </font>
    <font>
      <sz val="9"/>
      <color theme="1"/>
      <name val="Times New Roman"/>
      <family val="1"/>
    </font>
    <font>
      <vertAlign val="subscript"/>
      <sz val="12"/>
      <name val="Times New Roman"/>
      <family val="1"/>
    </font>
    <font>
      <vertAlign val="superscript"/>
      <sz val="12"/>
      <name val="Times New Roman"/>
      <family val="1"/>
    </font>
    <font>
      <vertAlign val="superscript"/>
      <sz val="11"/>
      <color indexed="8"/>
      <name val="宋体"/>
      <charset val="134"/>
    </font>
    <font>
      <vertAlign val="subscript"/>
      <sz val="11"/>
      <color indexed="8"/>
      <name val="宋体"/>
      <charset val="134"/>
    </font>
    <font>
      <vertAlign val="superscript"/>
      <sz val="12"/>
      <name val="宋体"/>
      <charset val="134"/>
    </font>
    <font>
      <sz val="11"/>
      <color rgb="FF000000"/>
      <name val="Calibri"/>
      <charset val="161"/>
    </font>
    <font>
      <vertAlign val="superscript"/>
      <sz val="10"/>
      <color theme="1"/>
      <name val="Times New Roman"/>
      <family val="1"/>
    </font>
    <font>
      <vertAlign val="subscript"/>
      <sz val="10"/>
      <color theme="1"/>
      <name val="Times New Roman"/>
      <family val="1"/>
    </font>
    <font>
      <vertAlign val="subscript"/>
      <sz val="10"/>
      <color theme="1"/>
      <name val="宋体"/>
      <charset val="134"/>
    </font>
    <font>
      <sz val="10"/>
      <name val="黑体"/>
      <charset val="134"/>
    </font>
    <font>
      <vertAlign val="subscript"/>
      <sz val="10"/>
      <name val="Times New Roman"/>
      <family val="1"/>
    </font>
    <font>
      <vertAlign val="superscript"/>
      <sz val="10"/>
      <name val="Times New Roman"/>
      <family val="1"/>
    </font>
    <font>
      <u/>
      <sz val="10"/>
      <name val="Times New Roman"/>
      <family val="1"/>
    </font>
    <font>
      <vertAlign val="subscript"/>
      <sz val="10"/>
      <name val="宋体"/>
      <charset val="134"/>
      <scheme val="minor"/>
    </font>
    <font>
      <vertAlign val="superscript"/>
      <sz val="10"/>
      <name val="宋体"/>
      <charset val="134"/>
      <scheme val="minor"/>
    </font>
    <font>
      <vertAlign val="subscript"/>
      <sz val="10"/>
      <color theme="1"/>
      <name val="宋体"/>
      <charset val="134"/>
      <scheme val="minor"/>
    </font>
    <font>
      <vertAlign val="superscript"/>
      <sz val="10"/>
      <color theme="1"/>
      <name val="宋体"/>
      <charset val="134"/>
      <scheme val="minor"/>
    </font>
    <font>
      <vertAlign val="subscript"/>
      <sz val="10"/>
      <color rgb="FF000000"/>
      <name val="Times New Roman"/>
      <family val="1"/>
    </font>
    <font>
      <vertAlign val="subscript"/>
      <sz val="10"/>
      <color rgb="FFFF0000"/>
      <name val="Times New Roman"/>
      <family val="1"/>
    </font>
    <font>
      <b/>
      <sz val="10"/>
      <color theme="1"/>
      <name val="宋体"/>
      <charset val="134"/>
    </font>
    <font>
      <b/>
      <sz val="10"/>
      <color theme="1"/>
      <name val="Calibri"/>
      <charset val="161"/>
    </font>
    <font>
      <sz val="10"/>
      <color rgb="FFFF0000"/>
      <name val="Calibri"/>
      <charset val="161"/>
    </font>
    <font>
      <sz val="10"/>
      <name val="Calibri"/>
      <charset val="161"/>
    </font>
    <font>
      <vertAlign val="subscript"/>
      <sz val="11"/>
      <name val="Times New Roman"/>
      <family val="1"/>
    </font>
    <font>
      <sz val="11"/>
      <color rgb="FFFF0000"/>
      <name val="宋体"/>
      <charset val="134"/>
    </font>
    <font>
      <vertAlign val="superscript"/>
      <sz val="11"/>
      <name val="宋体"/>
      <charset val="134"/>
    </font>
    <font>
      <vertAlign val="subscript"/>
      <sz val="10"/>
      <name val="宋体"/>
      <charset val="134"/>
    </font>
    <font>
      <vertAlign val="superscript"/>
      <sz val="10"/>
      <name val="宋体"/>
      <charset val="134"/>
    </font>
    <font>
      <b/>
      <sz val="10"/>
      <color rgb="FFFF0000"/>
      <name val="宋体"/>
      <charset val="134"/>
    </font>
    <font>
      <vertAlign val="superscript"/>
      <sz val="11"/>
      <color rgb="FFFF0000"/>
      <name val="Times New Roman"/>
      <family val="1"/>
    </font>
    <font>
      <vertAlign val="superscript"/>
      <sz val="11"/>
      <name val="Times New Roman"/>
      <family val="1"/>
    </font>
    <font>
      <vertAlign val="subscript"/>
      <sz val="11"/>
      <color theme="1"/>
      <name val="宋体"/>
      <charset val="134"/>
      <scheme val="minor"/>
    </font>
    <font>
      <b/>
      <vertAlign val="subscript"/>
      <sz val="10"/>
      <color rgb="FF0000FF"/>
      <name val="Times New Roman"/>
      <family val="1"/>
    </font>
    <font>
      <vertAlign val="subscript"/>
      <sz val="11"/>
      <name val="宋体"/>
      <charset val="134"/>
    </font>
    <font>
      <b/>
      <sz val="11"/>
      <color rgb="FFFF0000"/>
      <name val="宋体"/>
      <charset val="134"/>
    </font>
    <font>
      <vertAlign val="subscript"/>
      <sz val="11"/>
      <color theme="1"/>
      <name val="Times New Roman"/>
      <family val="1"/>
    </font>
    <font>
      <vertAlign val="subscript"/>
      <sz val="12"/>
      <name val="宋体"/>
      <charset val="134"/>
    </font>
    <font>
      <vertAlign val="superscript"/>
      <sz val="11"/>
      <color rgb="FFFF0000"/>
      <name val="宋体"/>
      <charset val="134"/>
    </font>
    <font>
      <vertAlign val="superscript"/>
      <sz val="11"/>
      <color theme="1"/>
      <name val="宋体"/>
      <charset val="134"/>
      <scheme val="minor"/>
    </font>
    <font>
      <vertAlign val="subscript"/>
      <sz val="11"/>
      <name val="黑体"/>
      <charset val="134"/>
    </font>
    <font>
      <vertAlign val="subscript"/>
      <sz val="11"/>
      <color theme="1"/>
      <name val="宋体"/>
      <charset val="134"/>
    </font>
    <font>
      <b/>
      <vertAlign val="subscript"/>
      <sz val="11"/>
      <color rgb="FF0000FF"/>
      <name val="宋体"/>
      <charset val="134"/>
    </font>
    <font>
      <sz val="11"/>
      <color rgb="FF0000FF"/>
      <name val="宋体"/>
      <charset val="134"/>
    </font>
    <font>
      <vertAlign val="subscript"/>
      <sz val="11"/>
      <color rgb="FF0000FF"/>
      <name val="宋体"/>
      <charset val="134"/>
    </font>
    <font>
      <vertAlign val="subscript"/>
      <sz val="11"/>
      <color rgb="FF000000"/>
      <name val="Calibri"/>
      <family val="2"/>
    </font>
    <font>
      <u/>
      <sz val="10"/>
      <name val="宋体"/>
      <charset val="134"/>
    </font>
    <font>
      <vertAlign val="subscript"/>
      <sz val="9"/>
      <color theme="1"/>
      <name val="宋体"/>
      <charset val="134"/>
      <scheme val="minor"/>
    </font>
    <font>
      <vertAlign val="superscript"/>
      <sz val="9"/>
      <color theme="1"/>
      <name val="宋体"/>
      <charset val="134"/>
      <scheme val="minor"/>
    </font>
    <font>
      <vertAlign val="superscript"/>
      <sz val="11"/>
      <color theme="1"/>
      <name val="Times New Roman"/>
      <family val="1"/>
    </font>
    <font>
      <b/>
      <vertAlign val="subscript"/>
      <sz val="11"/>
      <color rgb="FF0000FF"/>
      <name val="Times New Roman"/>
      <family val="1"/>
    </font>
    <font>
      <vertAlign val="subscript"/>
      <sz val="11"/>
      <color rgb="FF0000FF"/>
      <name val="Times New Roman"/>
      <family val="1"/>
    </font>
    <font>
      <vertAlign val="subscript"/>
      <sz val="11"/>
      <color rgb="FF000000"/>
      <name val="Times New Roman"/>
      <family val="1"/>
    </font>
    <font>
      <sz val="9"/>
      <color theme="1"/>
      <name val="宋体"/>
      <charset val="134"/>
    </font>
    <font>
      <vertAlign val="subscript"/>
      <sz val="9"/>
      <color theme="1"/>
      <name val="Times New Roman"/>
      <family val="1"/>
    </font>
    <font>
      <vertAlign val="superscript"/>
      <sz val="9"/>
      <color theme="1"/>
      <name val="Times New Roman"/>
      <family val="1"/>
    </font>
    <font>
      <b/>
      <sz val="9"/>
      <name val="宋体"/>
      <charset val="134"/>
    </font>
    <font>
      <b/>
      <sz val="9"/>
      <name val="Tahoma"/>
      <family val="2"/>
    </font>
    <font>
      <b/>
      <sz val="10"/>
      <name val="宋体"/>
      <charset val="134"/>
    </font>
    <font>
      <sz val="11"/>
      <color theme="1"/>
      <name val="宋体"/>
      <family val="2"/>
      <charset val="134"/>
    </font>
    <font>
      <sz val="9"/>
      <name val="宋体"/>
      <charset val="134"/>
      <scheme val="minor"/>
    </font>
    <font>
      <sz val="11"/>
      <color theme="1"/>
      <name val="宋体"/>
      <family val="3"/>
      <charset val="134"/>
      <scheme val="minor"/>
    </font>
    <font>
      <sz val="10"/>
      <color theme="1"/>
      <name val="宋体"/>
      <family val="1"/>
      <charset val="134"/>
    </font>
    <font>
      <sz val="10"/>
      <color theme="1"/>
      <name val="宋体"/>
      <family val="3"/>
      <charset val="134"/>
    </font>
    <font>
      <vertAlign val="subscript"/>
      <sz val="11"/>
      <color theme="1"/>
      <name val="宋体"/>
      <family val="3"/>
      <charset val="134"/>
      <scheme val="minor"/>
    </font>
    <font>
      <vertAlign val="subscript"/>
      <sz val="10"/>
      <color theme="1"/>
      <name val="宋体"/>
      <family val="1"/>
      <charset val="134"/>
    </font>
    <font>
      <sz val="11"/>
      <color theme="1"/>
      <name val="Calibri"/>
      <family val="2"/>
    </font>
    <font>
      <sz val="11"/>
      <color theme="1"/>
      <name val="Calibri"/>
      <family val="3"/>
      <charset val="161"/>
    </font>
    <font>
      <sz val="10"/>
      <name val="宋体"/>
      <family val="1"/>
      <charset val="134"/>
    </font>
    <font>
      <sz val="10"/>
      <name val="宋体"/>
      <family val="3"/>
      <charset val="134"/>
    </font>
    <font>
      <sz val="10"/>
      <name val="Times New Roman"/>
      <family val="1"/>
      <charset val="134"/>
    </font>
    <font>
      <sz val="10"/>
      <color theme="1"/>
      <name val="宋体"/>
      <family val="3"/>
      <charset val="134"/>
      <scheme val="minor"/>
    </font>
    <font>
      <sz val="10"/>
      <color theme="1"/>
      <name val="Times New Roman"/>
      <family val="3"/>
      <charset val="134"/>
    </font>
    <font>
      <sz val="10"/>
      <name val="Times New Roman"/>
      <family val="3"/>
    </font>
    <font>
      <sz val="10"/>
      <color rgb="FFFF0000"/>
      <name val="宋体"/>
      <family val="3"/>
      <charset val="134"/>
    </font>
  </fonts>
  <fills count="19">
    <fill>
      <patternFill patternType="none"/>
    </fill>
    <fill>
      <patternFill patternType="gray125"/>
    </fill>
    <fill>
      <patternFill patternType="solid">
        <fgColor indexed="40"/>
        <bgColor indexed="64"/>
      </patternFill>
    </fill>
    <fill>
      <patternFill patternType="solid">
        <fgColor indexed="42"/>
        <bgColor indexed="64"/>
      </patternFill>
    </fill>
    <fill>
      <patternFill patternType="solid">
        <fgColor indexed="45"/>
        <bgColor indexed="64"/>
      </patternFill>
    </fill>
    <fill>
      <patternFill patternType="solid">
        <fgColor indexed="11"/>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0"/>
        <bgColor indexed="64"/>
      </patternFill>
    </fill>
    <fill>
      <patternFill patternType="solid">
        <fgColor rgb="FFCCECFF"/>
        <bgColor indexed="64"/>
      </patternFill>
    </fill>
    <fill>
      <patternFill patternType="solid">
        <fgColor rgb="FF00B0F0"/>
        <bgColor indexed="64"/>
      </patternFill>
    </fill>
    <fill>
      <patternFill patternType="solid">
        <fgColor theme="9" tint="0.79995117038483843"/>
        <bgColor indexed="64"/>
      </patternFill>
    </fill>
    <fill>
      <patternFill patternType="solid">
        <fgColor theme="3" tint="0.79992065187536243"/>
        <bgColor indexed="64"/>
      </patternFill>
    </fill>
    <fill>
      <patternFill patternType="solid">
        <fgColor rgb="FF66FFFF"/>
        <bgColor indexed="64"/>
      </patternFill>
    </fill>
    <fill>
      <patternFill patternType="solid">
        <fgColor indexed="13"/>
        <bgColor indexed="64"/>
      </patternFill>
    </fill>
    <fill>
      <patternFill patternType="solid">
        <fgColor indexed="41"/>
        <bgColor indexed="64"/>
      </patternFill>
    </fill>
    <fill>
      <patternFill patternType="solid">
        <fgColor rgb="FFFF0000"/>
        <bgColor indexed="64"/>
      </patternFill>
    </fill>
    <fill>
      <patternFill patternType="solid">
        <fgColor theme="9" tint="0.39991454817346722"/>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bottom/>
      <diagonal/>
    </border>
    <border>
      <left/>
      <right/>
      <top style="thin">
        <color auto="1"/>
      </top>
      <bottom/>
      <diagonal/>
    </border>
    <border>
      <left/>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2">
    <xf numFmtId="0" fontId="0" fillId="0" borderId="0"/>
    <xf numFmtId="0" fontId="7" fillId="0" borderId="0">
      <alignment vertical="center"/>
    </xf>
  </cellStyleXfs>
  <cellXfs count="841">
    <xf numFmtId="0" fontId="0" fillId="0" borderId="0" xfId="0"/>
    <xf numFmtId="177" fontId="2" fillId="0" borderId="2" xfId="0" applyNumberFormat="1" applyFont="1" applyBorder="1" applyAlignment="1">
      <alignment horizontal="left" vertical="center"/>
    </xf>
    <xf numFmtId="177" fontId="2" fillId="0" borderId="1" xfId="0" applyNumberFormat="1" applyFont="1" applyBorder="1" applyAlignment="1">
      <alignment horizontal="left" vertical="center"/>
    </xf>
    <xf numFmtId="49" fontId="1" fillId="3" borderId="1" xfId="0" applyNumberFormat="1" applyFont="1" applyFill="1" applyBorder="1" applyAlignment="1" applyProtection="1">
      <alignment horizontal="center" vertical="center"/>
      <protection locked="0"/>
    </xf>
    <xf numFmtId="178" fontId="1" fillId="4" borderId="1" xfId="0" applyNumberFormat="1" applyFont="1" applyFill="1" applyBorder="1" applyAlignment="1">
      <alignment horizontal="center" vertical="center"/>
    </xf>
    <xf numFmtId="0" fontId="2" fillId="0" borderId="1" xfId="0" applyFont="1" applyBorder="1" applyAlignment="1">
      <alignment horizontal="left" vertical="center"/>
    </xf>
    <xf numFmtId="0" fontId="1" fillId="4" borderId="1" xfId="0" applyFont="1" applyFill="1" applyBorder="1" applyAlignment="1" applyProtection="1">
      <alignment horizontal="center" vertical="center"/>
      <protection locked="0"/>
    </xf>
    <xf numFmtId="49" fontId="1" fillId="4" borderId="1" xfId="0" applyNumberFormat="1" applyFont="1" applyFill="1" applyBorder="1" applyAlignment="1" applyProtection="1">
      <alignment horizontal="center" vertical="center"/>
      <protection locked="0"/>
    </xf>
    <xf numFmtId="0" fontId="1" fillId="0" borderId="1" xfId="0" applyFont="1" applyBorder="1" applyAlignment="1">
      <alignment horizontal="left" vertical="center"/>
    </xf>
    <xf numFmtId="0" fontId="3" fillId="0" borderId="1" xfId="0" applyFont="1" applyBorder="1" applyAlignment="1">
      <alignment horizontal="left" vertical="center"/>
    </xf>
    <xf numFmtId="179" fontId="1" fillId="4" borderId="1" xfId="0" applyNumberFormat="1" applyFont="1" applyFill="1" applyBorder="1" applyAlignment="1">
      <alignment horizontal="center" vertical="center"/>
    </xf>
    <xf numFmtId="0" fontId="3" fillId="0" borderId="1" xfId="0" applyFont="1" applyBorder="1" applyAlignment="1">
      <alignment horizontal="left" vertical="center" wrapText="1"/>
    </xf>
    <xf numFmtId="176" fontId="1" fillId="2" borderId="1" xfId="0" applyNumberFormat="1" applyFont="1" applyFill="1" applyBorder="1" applyAlignment="1">
      <alignment horizontal="center" vertical="center"/>
    </xf>
    <xf numFmtId="176" fontId="1" fillId="4" borderId="1" xfId="0" applyNumberFormat="1" applyFont="1" applyFill="1" applyBorder="1" applyAlignment="1">
      <alignment horizontal="center" vertical="center"/>
    </xf>
    <xf numFmtId="0" fontId="2" fillId="0" borderId="1" xfId="0" applyFont="1" applyBorder="1" applyAlignment="1">
      <alignment horizontal="left" vertical="center" wrapText="1"/>
    </xf>
    <xf numFmtId="0" fontId="4" fillId="0" borderId="1" xfId="0" applyFont="1" applyBorder="1" applyAlignment="1">
      <alignment horizontal="center" vertical="center"/>
    </xf>
    <xf numFmtId="0" fontId="1" fillId="3" borderId="1" xfId="0" applyNumberFormat="1" applyFont="1" applyFill="1" applyBorder="1" applyAlignment="1" applyProtection="1">
      <alignment horizontal="center" vertical="center"/>
      <protection locked="0"/>
    </xf>
    <xf numFmtId="177" fontId="1" fillId="4" borderId="1" xfId="0" applyNumberFormat="1" applyFont="1" applyFill="1" applyBorder="1" applyAlignment="1">
      <alignment horizontal="center" vertical="center"/>
    </xf>
    <xf numFmtId="180" fontId="5" fillId="2" borderId="1" xfId="0" applyNumberFormat="1" applyFont="1" applyFill="1" applyBorder="1" applyAlignment="1">
      <alignment horizontal="center" vertical="center"/>
    </xf>
    <xf numFmtId="181" fontId="1" fillId="2" borderId="1" xfId="0" applyNumberFormat="1" applyFont="1" applyFill="1" applyBorder="1" applyAlignment="1">
      <alignment horizontal="center" vertical="center"/>
    </xf>
    <xf numFmtId="181" fontId="1" fillId="4" borderId="1" xfId="0" applyNumberFormat="1" applyFont="1" applyFill="1" applyBorder="1" applyAlignment="1">
      <alignment horizontal="center" vertical="center"/>
    </xf>
    <xf numFmtId="183" fontId="1" fillId="4" borderId="1" xfId="0" applyNumberFormat="1" applyFont="1" applyFill="1" applyBorder="1" applyAlignment="1">
      <alignment horizontal="center" vertical="center"/>
    </xf>
    <xf numFmtId="182" fontId="1" fillId="4" borderId="1" xfId="0" applyNumberFormat="1" applyFont="1" applyFill="1" applyBorder="1" applyAlignment="1">
      <alignment horizontal="center" vertical="center"/>
    </xf>
    <xf numFmtId="177" fontId="1" fillId="3" borderId="1" xfId="0" applyNumberFormat="1" applyFont="1" applyFill="1" applyBorder="1" applyAlignment="1" applyProtection="1">
      <alignment horizontal="center" vertical="center"/>
      <protection locked="0"/>
    </xf>
    <xf numFmtId="0" fontId="6" fillId="0" borderId="1" xfId="0" applyFont="1" applyBorder="1" applyAlignment="1">
      <alignment horizontal="left" vertical="center"/>
    </xf>
    <xf numFmtId="176" fontId="0" fillId="2" borderId="1" xfId="0" applyNumberFormat="1" applyFill="1" applyBorder="1" applyAlignment="1">
      <alignment horizontal="center" vertical="center"/>
    </xf>
    <xf numFmtId="0" fontId="2" fillId="0" borderId="0" xfId="0" applyFont="1" applyAlignment="1" applyProtection="1">
      <alignment horizontal="left" vertical="center"/>
      <protection locked="0"/>
    </xf>
    <xf numFmtId="185" fontId="1" fillId="4" borderId="1" xfId="0" applyNumberFormat="1" applyFont="1" applyFill="1" applyBorder="1" applyAlignment="1">
      <alignment horizontal="center" vertical="center"/>
    </xf>
    <xf numFmtId="178" fontId="2" fillId="0" borderId="1" xfId="0" applyNumberFormat="1" applyFont="1" applyBorder="1" applyAlignment="1">
      <alignment horizontal="left" vertical="center"/>
    </xf>
    <xf numFmtId="185" fontId="0" fillId="4" borderId="1" xfId="0" applyNumberFormat="1" applyFill="1" applyBorder="1" applyAlignment="1">
      <alignment horizontal="center" vertical="center"/>
    </xf>
    <xf numFmtId="0" fontId="1" fillId="2" borderId="1" xfId="0" applyFont="1" applyFill="1" applyBorder="1" applyAlignment="1">
      <alignment horizontal="center" vertical="center"/>
    </xf>
    <xf numFmtId="182" fontId="0" fillId="4" borderId="1" xfId="0" applyNumberFormat="1" applyFill="1" applyBorder="1" applyAlignment="1">
      <alignment horizontal="center" vertical="center"/>
    </xf>
    <xf numFmtId="176" fontId="0" fillId="4" borderId="1" xfId="0" applyNumberFormat="1" applyFill="1" applyBorder="1" applyAlignment="1">
      <alignment horizontal="center" vertical="center"/>
    </xf>
    <xf numFmtId="178" fontId="0" fillId="4" borderId="1" xfId="0" applyNumberFormat="1" applyFill="1" applyBorder="1" applyAlignment="1">
      <alignment horizontal="centerContinuous" vertical="center"/>
    </xf>
    <xf numFmtId="185" fontId="0" fillId="4" borderId="1" xfId="0" applyNumberFormat="1" applyFill="1" applyBorder="1" applyAlignment="1">
      <alignment horizontal="centerContinuous" vertical="center"/>
    </xf>
    <xf numFmtId="0" fontId="1" fillId="4" borderId="8" xfId="0" applyFont="1" applyFill="1" applyBorder="1" applyAlignment="1" applyProtection="1">
      <alignment horizontal="center" vertical="center"/>
      <protection locked="0"/>
    </xf>
    <xf numFmtId="49" fontId="1" fillId="4" borderId="8" xfId="0" applyNumberFormat="1" applyFont="1" applyFill="1" applyBorder="1" applyAlignment="1" applyProtection="1">
      <alignment horizontal="center" vertical="center"/>
      <protection locked="0"/>
    </xf>
    <xf numFmtId="178" fontId="1" fillId="4" borderId="8" xfId="0" applyNumberFormat="1" applyFont="1" applyFill="1" applyBorder="1" applyAlignment="1">
      <alignment horizontal="center" vertical="center"/>
    </xf>
    <xf numFmtId="179" fontId="1" fillId="4" borderId="8" xfId="0" applyNumberFormat="1" applyFont="1" applyFill="1" applyBorder="1" applyAlignment="1">
      <alignment horizontal="center" vertical="center"/>
    </xf>
    <xf numFmtId="176" fontId="1" fillId="4" borderId="8" xfId="0" applyNumberFormat="1" applyFont="1" applyFill="1" applyBorder="1" applyAlignment="1">
      <alignment horizontal="center" vertical="center"/>
    </xf>
    <xf numFmtId="180" fontId="5" fillId="2" borderId="8" xfId="0" applyNumberFormat="1" applyFont="1" applyFill="1" applyBorder="1" applyAlignment="1">
      <alignment horizontal="center" vertical="center"/>
    </xf>
    <xf numFmtId="181" fontId="1" fillId="4" borderId="8" xfId="0" applyNumberFormat="1" applyFont="1" applyFill="1" applyBorder="1" applyAlignment="1">
      <alignment horizontal="center" vertical="center"/>
    </xf>
    <xf numFmtId="178" fontId="0" fillId="4" borderId="8" xfId="0" applyNumberFormat="1" applyFill="1" applyBorder="1" applyAlignment="1">
      <alignment horizontal="centerContinuous" vertical="center"/>
    </xf>
    <xf numFmtId="185" fontId="0" fillId="4" borderId="8" xfId="0" applyNumberFormat="1" applyFill="1" applyBorder="1" applyAlignment="1">
      <alignment horizontal="centerContinuous" vertical="center"/>
    </xf>
    <xf numFmtId="0" fontId="7" fillId="0" borderId="1" xfId="0" applyFont="1" applyBorder="1" applyAlignment="1">
      <alignment vertical="center"/>
    </xf>
    <xf numFmtId="0" fontId="7" fillId="0" borderId="9" xfId="1" applyBorder="1" applyAlignment="1">
      <alignment horizontal="right" vertical="center"/>
    </xf>
    <xf numFmtId="0" fontId="8" fillId="2" borderId="1" xfId="0" applyNumberFormat="1" applyFont="1" applyFill="1" applyBorder="1" applyAlignment="1">
      <alignment horizontal="center" vertical="center"/>
    </xf>
    <xf numFmtId="0" fontId="0" fillId="0" borderId="10" xfId="0" applyBorder="1" applyAlignment="1">
      <alignment vertical="center"/>
    </xf>
    <xf numFmtId="0" fontId="9" fillId="0" borderId="11" xfId="1" applyFont="1" applyBorder="1" applyAlignment="1">
      <alignment horizontal="right" vertical="center" wrapText="1"/>
    </xf>
    <xf numFmtId="179" fontId="9" fillId="4" borderId="1" xfId="1" applyNumberFormat="1" applyFont="1" applyFill="1" applyBorder="1" applyAlignment="1">
      <alignment horizontal="center" vertical="center"/>
    </xf>
    <xf numFmtId="0" fontId="0" fillId="0" borderId="0" xfId="0" applyBorder="1" applyAlignment="1">
      <alignment vertical="center"/>
    </xf>
    <xf numFmtId="0" fontId="7" fillId="0" borderId="11" xfId="1" applyBorder="1" applyAlignment="1">
      <alignment horizontal="right" vertical="center" wrapText="1"/>
    </xf>
    <xf numFmtId="178" fontId="9" fillId="4" borderId="1" xfId="1" applyNumberFormat="1" applyFont="1" applyFill="1" applyBorder="1" applyAlignment="1">
      <alignment horizontal="center" vertical="center"/>
    </xf>
    <xf numFmtId="178" fontId="9" fillId="2" borderId="1" xfId="1" applyNumberFormat="1" applyFont="1" applyFill="1" applyBorder="1" applyAlignment="1" applyProtection="1">
      <alignment horizontal="center" vertical="center"/>
      <protection locked="0"/>
    </xf>
    <xf numFmtId="0" fontId="9" fillId="2" borderId="1" xfId="1" applyFont="1" applyFill="1" applyBorder="1" applyAlignment="1" applyProtection="1">
      <alignment horizontal="center" vertical="center"/>
      <protection locked="0"/>
    </xf>
    <xf numFmtId="0" fontId="9" fillId="3" borderId="1" xfId="1" applyFont="1" applyFill="1" applyBorder="1" applyAlignment="1" applyProtection="1">
      <alignment horizontal="center" vertical="center"/>
      <protection locked="0"/>
    </xf>
    <xf numFmtId="176" fontId="9" fillId="4" borderId="1" xfId="1" applyNumberFormat="1" applyFont="1" applyFill="1" applyBorder="1" applyAlignment="1" applyProtection="1">
      <alignment horizontal="center" vertical="center"/>
      <protection locked="0"/>
    </xf>
    <xf numFmtId="0" fontId="9" fillId="2" borderId="1" xfId="1" applyNumberFormat="1" applyFont="1" applyFill="1" applyBorder="1" applyAlignment="1" applyProtection="1">
      <alignment horizontal="center" vertical="center"/>
      <protection locked="0"/>
    </xf>
    <xf numFmtId="178" fontId="9" fillId="4" borderId="1" xfId="1" applyNumberFormat="1" applyFont="1" applyFill="1" applyBorder="1" applyAlignment="1" applyProtection="1">
      <alignment horizontal="center" vertical="center"/>
      <protection locked="0"/>
    </xf>
    <xf numFmtId="0" fontId="9" fillId="4" borderId="1" xfId="1" applyFont="1" applyFill="1" applyBorder="1" applyAlignment="1">
      <alignment horizontal="center" vertical="center"/>
    </xf>
    <xf numFmtId="186" fontId="9" fillId="4" borderId="1" xfId="1" applyNumberFormat="1" applyFont="1" applyFill="1" applyBorder="1" applyAlignment="1">
      <alignment horizontal="center" vertical="center"/>
    </xf>
    <xf numFmtId="182" fontId="9" fillId="4" borderId="1" xfId="1" applyNumberFormat="1" applyFont="1" applyFill="1" applyBorder="1" applyAlignment="1">
      <alignment horizontal="center" vertical="center"/>
    </xf>
    <xf numFmtId="178" fontId="9" fillId="5" borderId="1" xfId="1" applyNumberFormat="1" applyFont="1" applyFill="1" applyBorder="1" applyAlignment="1" applyProtection="1">
      <alignment horizontal="center" vertical="center"/>
      <protection locked="0"/>
    </xf>
    <xf numFmtId="178" fontId="9" fillId="0" borderId="11" xfId="1" applyNumberFormat="1" applyFont="1" applyBorder="1" applyAlignment="1">
      <alignment horizontal="right" vertical="center" wrapText="1"/>
    </xf>
    <xf numFmtId="0" fontId="10" fillId="0" borderId="12" xfId="0" applyFont="1" applyBorder="1" applyAlignment="1">
      <alignment horizontal="right" vertical="center"/>
    </xf>
    <xf numFmtId="187" fontId="10"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horizontal="center" vertical="center"/>
    </xf>
    <xf numFmtId="178" fontId="12" fillId="0" borderId="1" xfId="0" applyNumberFormat="1" applyFont="1" applyBorder="1" applyAlignment="1">
      <alignment horizontal="center" vertical="center"/>
    </xf>
    <xf numFmtId="0" fontId="5" fillId="0" borderId="1" xfId="0" applyFont="1" applyFill="1" applyBorder="1" applyAlignment="1">
      <alignment horizontal="left" vertical="center"/>
    </xf>
    <xf numFmtId="0" fontId="14" fillId="0" borderId="1" xfId="0" applyFont="1" applyFill="1" applyBorder="1" applyAlignment="1">
      <alignment horizontal="center" vertical="center"/>
    </xf>
    <xf numFmtId="0" fontId="0" fillId="0" borderId="1" xfId="0" applyBorder="1"/>
    <xf numFmtId="0" fontId="15" fillId="0" borderId="1" xfId="0" applyFont="1" applyFill="1" applyBorder="1" applyAlignment="1">
      <alignment horizontal="center" vertical="center"/>
    </xf>
    <xf numFmtId="0" fontId="16" fillId="0" borderId="1" xfId="0" applyFont="1" applyFill="1" applyBorder="1" applyAlignment="1">
      <alignment horizontal="center" vertical="center"/>
    </xf>
    <xf numFmtId="0" fontId="17"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178" fontId="0" fillId="0" borderId="1" xfId="0" applyNumberFormat="1" applyBorder="1" applyAlignment="1">
      <alignment horizontal="center"/>
    </xf>
    <xf numFmtId="0" fontId="15" fillId="6" borderId="1" xfId="0" applyFont="1" applyFill="1" applyBorder="1" applyAlignment="1">
      <alignment horizontal="center" vertical="center"/>
    </xf>
    <xf numFmtId="0" fontId="15"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18" fillId="0" borderId="1" xfId="0" applyFont="1" applyFill="1" applyBorder="1" applyAlignment="1">
      <alignment horizontal="center" vertical="center"/>
    </xf>
    <xf numFmtId="178" fontId="15" fillId="0" borderId="1" xfId="0" applyNumberFormat="1" applyFont="1" applyFill="1" applyBorder="1" applyAlignment="1">
      <alignment horizontal="center"/>
    </xf>
    <xf numFmtId="0" fontId="15" fillId="0" borderId="1" xfId="0" applyFont="1" applyFill="1" applyBorder="1" applyAlignment="1">
      <alignment horizontal="center"/>
    </xf>
    <xf numFmtId="0" fontId="5" fillId="7" borderId="1" xfId="0" applyFont="1" applyFill="1" applyBorder="1" applyAlignment="1">
      <alignment horizontal="center" vertical="center"/>
    </xf>
    <xf numFmtId="0" fontId="4" fillId="0" borderId="1" xfId="0" applyFont="1" applyFill="1" applyBorder="1" applyAlignment="1">
      <alignment horizontal="center"/>
    </xf>
    <xf numFmtId="0" fontId="5" fillId="0" borderId="1" xfId="0" applyFont="1" applyFill="1" applyBorder="1" applyAlignment="1">
      <alignment horizontal="center"/>
    </xf>
    <xf numFmtId="0" fontId="14" fillId="0" borderId="1" xfId="0" applyFont="1" applyFill="1" applyBorder="1" applyAlignment="1">
      <alignment horizontal="left" vertical="center"/>
    </xf>
    <xf numFmtId="0" fontId="19" fillId="0" borderId="1" xfId="0" applyFont="1" applyFill="1" applyBorder="1" applyAlignment="1">
      <alignment horizontal="center" vertical="center"/>
    </xf>
    <xf numFmtId="178" fontId="15" fillId="0" borderId="1" xfId="0" applyNumberFormat="1" applyFont="1" applyFill="1" applyBorder="1" applyAlignment="1">
      <alignment horizontal="center" vertical="center"/>
    </xf>
    <xf numFmtId="0" fontId="15" fillId="0" borderId="13" xfId="0" applyFont="1" applyFill="1" applyBorder="1" applyAlignment="1">
      <alignment horizontal="center" vertical="center"/>
    </xf>
    <xf numFmtId="0" fontId="15" fillId="0" borderId="14" xfId="0" applyFont="1" applyFill="1" applyBorder="1" applyAlignment="1">
      <alignment horizontal="center" vertical="center"/>
    </xf>
    <xf numFmtId="0" fontId="15" fillId="0" borderId="15" xfId="0" applyFont="1" applyFill="1" applyBorder="1" applyAlignment="1">
      <alignment horizontal="center" vertical="center"/>
    </xf>
    <xf numFmtId="0" fontId="21" fillId="0" borderId="1" xfId="0" applyFont="1" applyFill="1" applyBorder="1" applyAlignment="1">
      <alignment horizontal="left"/>
    </xf>
    <xf numFmtId="0" fontId="21" fillId="0"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0" applyFont="1" applyFill="1" applyBorder="1" applyAlignment="1">
      <alignment horizontal="left"/>
    </xf>
    <xf numFmtId="177" fontId="16" fillId="0" borderId="2" xfId="0" applyNumberFormat="1" applyFont="1" applyBorder="1" applyAlignment="1">
      <alignment horizontal="left" vertical="center"/>
    </xf>
    <xf numFmtId="177" fontId="16" fillId="0" borderId="1" xfId="0" applyNumberFormat="1" applyFont="1" applyBorder="1" applyAlignment="1">
      <alignment horizontal="left" vertical="center"/>
    </xf>
    <xf numFmtId="178" fontId="16" fillId="4" borderId="1" xfId="0" applyNumberFormat="1" applyFont="1" applyFill="1" applyBorder="1" applyAlignment="1">
      <alignment horizontal="center" vertical="center"/>
    </xf>
    <xf numFmtId="0" fontId="16" fillId="0" borderId="1" xfId="0" applyFont="1" applyBorder="1" applyAlignment="1">
      <alignment horizontal="left" vertical="center"/>
    </xf>
    <xf numFmtId="0" fontId="16" fillId="2" borderId="1" xfId="0" applyFont="1" applyFill="1" applyBorder="1" applyAlignment="1" applyProtection="1">
      <alignment horizontal="center" vertical="center"/>
      <protection locked="0"/>
    </xf>
    <xf numFmtId="0" fontId="16" fillId="4" borderId="1" xfId="0" applyFont="1" applyFill="1" applyBorder="1" applyAlignment="1" applyProtection="1">
      <alignment horizontal="center" vertical="center"/>
      <protection locked="0"/>
    </xf>
    <xf numFmtId="49" fontId="16" fillId="3" borderId="1" xfId="0" applyNumberFormat="1" applyFont="1" applyFill="1" applyBorder="1" applyAlignment="1" applyProtection="1">
      <alignment horizontal="center" vertical="center"/>
      <protection locked="0"/>
    </xf>
    <xf numFmtId="49" fontId="16" fillId="4" borderId="1" xfId="0" applyNumberFormat="1" applyFont="1" applyFill="1" applyBorder="1" applyAlignment="1" applyProtection="1">
      <alignment horizontal="center" vertical="center"/>
      <protection locked="0"/>
    </xf>
    <xf numFmtId="0" fontId="16" fillId="0" borderId="1" xfId="0" applyFont="1" applyBorder="1" applyAlignment="1">
      <alignment horizontal="left" vertical="center" wrapText="1"/>
    </xf>
    <xf numFmtId="179" fontId="16" fillId="4" borderId="1" xfId="0" applyNumberFormat="1" applyFont="1" applyFill="1" applyBorder="1" applyAlignment="1">
      <alignment horizontal="center" vertical="center"/>
    </xf>
    <xf numFmtId="176" fontId="16" fillId="2" borderId="1" xfId="0" applyNumberFormat="1" applyFont="1" applyFill="1" applyBorder="1" applyAlignment="1">
      <alignment horizontal="center" vertical="center"/>
    </xf>
    <xf numFmtId="176" fontId="16" fillId="4" borderId="1" xfId="0" applyNumberFormat="1" applyFont="1" applyFill="1" applyBorder="1" applyAlignment="1">
      <alignment horizontal="center" vertical="center"/>
    </xf>
    <xf numFmtId="0" fontId="23" fillId="0" borderId="1" xfId="0" applyFont="1" applyBorder="1" applyAlignment="1">
      <alignment horizontal="center" vertical="center"/>
    </xf>
    <xf numFmtId="0" fontId="16" fillId="4" borderId="1" xfId="0" applyNumberFormat="1" applyFont="1" applyFill="1" applyBorder="1" applyAlignment="1">
      <alignment horizontal="center" vertical="center"/>
    </xf>
    <xf numFmtId="177" fontId="16" fillId="3" borderId="1" xfId="0" applyNumberFormat="1" applyFont="1" applyFill="1" applyBorder="1" applyAlignment="1" applyProtection="1">
      <alignment horizontal="center" vertical="center"/>
      <protection locked="0"/>
    </xf>
    <xf numFmtId="178" fontId="16" fillId="3" borderId="1" xfId="0" applyNumberFormat="1" applyFont="1" applyFill="1" applyBorder="1" applyAlignment="1" applyProtection="1">
      <alignment horizontal="center" vertical="center"/>
      <protection locked="0"/>
    </xf>
    <xf numFmtId="178" fontId="16" fillId="0" borderId="1" xfId="0" applyNumberFormat="1" applyFont="1" applyBorder="1" applyAlignment="1">
      <alignment horizontal="left" vertical="center"/>
    </xf>
    <xf numFmtId="0" fontId="16" fillId="8" borderId="1" xfId="0" applyNumberFormat="1" applyFont="1" applyFill="1" applyBorder="1" applyAlignment="1">
      <alignment horizontal="center" vertical="center"/>
    </xf>
    <xf numFmtId="178" fontId="12" fillId="2" borderId="1" xfId="0" applyNumberFormat="1" applyFont="1" applyFill="1" applyBorder="1" applyAlignment="1">
      <alignment horizontal="center" vertical="center"/>
    </xf>
    <xf numFmtId="0" fontId="17" fillId="0" borderId="1" xfId="0" applyFont="1" applyFill="1" applyBorder="1" applyAlignment="1">
      <alignment horizontal="left" vertical="center"/>
    </xf>
    <xf numFmtId="0" fontId="16" fillId="0" borderId="1" xfId="0" applyFont="1" applyFill="1" applyBorder="1" applyAlignment="1">
      <alignment horizontal="left" vertical="center"/>
    </xf>
    <xf numFmtId="178" fontId="5" fillId="0" borderId="1" xfId="0" applyNumberFormat="1" applyFont="1" applyFill="1" applyBorder="1" applyAlignment="1">
      <alignment horizontal="left" vertical="center"/>
    </xf>
    <xf numFmtId="176" fontId="12" fillId="4" borderId="1" xfId="0" applyNumberFormat="1" applyFont="1" applyFill="1" applyBorder="1" applyAlignment="1">
      <alignment horizontal="center" vertical="center"/>
    </xf>
    <xf numFmtId="178" fontId="16" fillId="0" borderId="1" xfId="0" applyNumberFormat="1" applyFont="1" applyFill="1" applyBorder="1" applyAlignment="1">
      <alignment horizontal="left" vertical="center"/>
    </xf>
    <xf numFmtId="176" fontId="12" fillId="4" borderId="1" xfId="0" applyNumberFormat="1" applyFont="1" applyFill="1" applyBorder="1" applyAlignment="1">
      <alignment horizontal="center" vertical="center"/>
    </xf>
    <xf numFmtId="0" fontId="15" fillId="0" borderId="1" xfId="0" applyFont="1" applyFill="1" applyBorder="1" applyAlignment="1">
      <alignment horizontal="left" vertical="center"/>
    </xf>
    <xf numFmtId="178" fontId="16" fillId="4" borderId="8" xfId="0" applyNumberFormat="1" applyFont="1" applyFill="1" applyBorder="1" applyAlignment="1">
      <alignment horizontal="center" vertical="center"/>
    </xf>
    <xf numFmtId="0" fontId="16" fillId="4" borderId="8" xfId="0" applyFont="1" applyFill="1" applyBorder="1" applyAlignment="1" applyProtection="1">
      <alignment horizontal="center" vertical="center"/>
      <protection locked="0"/>
    </xf>
    <xf numFmtId="49" fontId="16" fillId="4" borderId="8" xfId="0" applyNumberFormat="1" applyFont="1" applyFill="1" applyBorder="1" applyAlignment="1" applyProtection="1">
      <alignment horizontal="center" vertical="center"/>
      <protection locked="0"/>
    </xf>
    <xf numFmtId="179" fontId="16" fillId="4" borderId="8" xfId="0" applyNumberFormat="1" applyFont="1" applyFill="1" applyBorder="1" applyAlignment="1">
      <alignment horizontal="center" vertical="center"/>
    </xf>
    <xf numFmtId="176" fontId="16" fillId="4" borderId="8" xfId="0" applyNumberFormat="1" applyFont="1" applyFill="1" applyBorder="1" applyAlignment="1">
      <alignment horizontal="center" vertical="center"/>
    </xf>
    <xf numFmtId="0" fontId="16" fillId="8" borderId="8" xfId="0" applyNumberFormat="1" applyFont="1" applyFill="1" applyBorder="1" applyAlignment="1">
      <alignment horizontal="center" vertical="center"/>
    </xf>
    <xf numFmtId="0" fontId="17" fillId="0" borderId="1" xfId="0" applyFont="1" applyBorder="1" applyAlignment="1">
      <alignment horizontal="left" vertical="center"/>
    </xf>
    <xf numFmtId="176" fontId="12" fillId="0" borderId="1" xfId="0" applyNumberFormat="1" applyFont="1" applyBorder="1" applyAlignment="1">
      <alignment horizontal="center" vertical="center"/>
    </xf>
    <xf numFmtId="0" fontId="12" fillId="0" borderId="1" xfId="0" applyFont="1" applyBorder="1" applyAlignment="1">
      <alignment horizontal="center" vertical="center"/>
    </xf>
    <xf numFmtId="176" fontId="12" fillId="0" borderId="1" xfId="0" applyNumberFormat="1" applyFont="1" applyBorder="1" applyAlignment="1">
      <alignment horizontal="center" vertical="center"/>
    </xf>
    <xf numFmtId="0" fontId="17" fillId="0" borderId="1" xfId="0" applyFont="1" applyBorder="1" applyAlignment="1">
      <alignment horizontal="left"/>
    </xf>
    <xf numFmtId="0" fontId="12" fillId="0" borderId="1" xfId="0" applyFont="1" applyBorder="1" applyAlignment="1">
      <alignment horizontal="center"/>
    </xf>
    <xf numFmtId="0" fontId="12" fillId="0" borderId="1" xfId="0" applyFont="1" applyBorder="1"/>
    <xf numFmtId="0" fontId="0" fillId="0" borderId="0" xfId="0" applyAlignment="1">
      <alignment vertical="center"/>
    </xf>
    <xf numFmtId="0" fontId="0" fillId="0" borderId="1" xfId="0" applyBorder="1" applyAlignment="1">
      <alignment horizontal="center"/>
    </xf>
    <xf numFmtId="179" fontId="5" fillId="0" borderId="1" xfId="0" applyNumberFormat="1" applyFont="1" applyFill="1" applyBorder="1" applyAlignment="1">
      <alignment horizontal="center" vertical="center"/>
    </xf>
    <xf numFmtId="0" fontId="5" fillId="6" borderId="1" xfId="0" applyFont="1" applyFill="1" applyBorder="1" applyAlignment="1">
      <alignment horizontal="center" vertical="center"/>
    </xf>
    <xf numFmtId="0" fontId="19" fillId="6" borderId="1" xfId="0" applyFont="1" applyFill="1" applyBorder="1" applyAlignment="1">
      <alignment horizontal="center" vertical="center"/>
    </xf>
    <xf numFmtId="0" fontId="15" fillId="7" borderId="1" xfId="0" applyFont="1" applyFill="1" applyBorder="1" applyAlignment="1">
      <alignment horizontal="center" vertical="center"/>
    </xf>
    <xf numFmtId="0" fontId="17" fillId="6" borderId="1" xfId="0" applyFont="1" applyFill="1" applyBorder="1" applyAlignment="1">
      <alignment horizontal="center" vertical="center" wrapText="1"/>
    </xf>
    <xf numFmtId="0" fontId="19" fillId="6"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5" fillId="6" borderId="1" xfId="0" applyFont="1" applyFill="1" applyBorder="1" applyAlignment="1">
      <alignment horizontal="left" vertical="center" wrapText="1"/>
    </xf>
    <xf numFmtId="178" fontId="15" fillId="0" borderId="1" xfId="0" applyNumberFormat="1" applyFont="1" applyFill="1" applyBorder="1" applyAlignment="1">
      <alignment horizontal="center" vertical="center" wrapText="1"/>
    </xf>
    <xf numFmtId="0" fontId="26" fillId="0" borderId="1" xfId="0" applyFont="1" applyFill="1" applyBorder="1" applyAlignment="1">
      <alignment horizontal="center" vertical="center" wrapText="1"/>
    </xf>
    <xf numFmtId="178" fontId="27" fillId="0" borderId="1" xfId="0" applyNumberFormat="1" applyFont="1" applyFill="1" applyBorder="1" applyAlignment="1">
      <alignment horizontal="center" vertical="center" wrapText="1"/>
    </xf>
    <xf numFmtId="0" fontId="25" fillId="0" borderId="1" xfId="0" applyFont="1" applyFill="1" applyBorder="1" applyAlignment="1">
      <alignment horizontal="center" vertical="center"/>
    </xf>
    <xf numFmtId="10" fontId="15" fillId="0" borderId="1" xfId="0" applyNumberFormat="1" applyFont="1" applyFill="1" applyBorder="1" applyAlignment="1">
      <alignment horizontal="center" vertical="center"/>
    </xf>
    <xf numFmtId="0" fontId="29" fillId="0" borderId="1" xfId="0" applyFont="1" applyFill="1" applyBorder="1" applyAlignment="1">
      <alignment horizontal="center" vertical="center"/>
    </xf>
    <xf numFmtId="0" fontId="7" fillId="6" borderId="1" xfId="0" applyFont="1" applyFill="1" applyBorder="1" applyAlignment="1">
      <alignment horizontal="center"/>
    </xf>
    <xf numFmtId="0" fontId="17" fillId="6" borderId="1" xfId="0" applyFont="1" applyFill="1" applyBorder="1" applyAlignment="1">
      <alignment horizontal="center" vertical="center"/>
    </xf>
    <xf numFmtId="177" fontId="19" fillId="6" borderId="1" xfId="0" applyNumberFormat="1" applyFont="1" applyFill="1" applyBorder="1" applyAlignment="1">
      <alignment horizontal="center" vertical="center"/>
    </xf>
    <xf numFmtId="177" fontId="5" fillId="0" borderId="1" xfId="0" applyNumberFormat="1" applyFont="1" applyFill="1" applyBorder="1" applyAlignment="1">
      <alignment horizontal="center" vertical="center"/>
    </xf>
    <xf numFmtId="177" fontId="15" fillId="0" borderId="1" xfId="0" applyNumberFormat="1" applyFont="1" applyFill="1" applyBorder="1" applyAlignment="1">
      <alignment horizontal="center" vertical="center"/>
    </xf>
    <xf numFmtId="0" fontId="5" fillId="0" borderId="1" xfId="0" applyFont="1" applyFill="1" applyBorder="1" applyAlignment="1">
      <alignment horizontal="center" vertical="center" wrapText="1"/>
    </xf>
    <xf numFmtId="0" fontId="17" fillId="9" borderId="1" xfId="0" applyFont="1" applyFill="1" applyBorder="1" applyAlignment="1">
      <alignment horizontal="center" vertical="center"/>
    </xf>
    <xf numFmtId="0" fontId="15" fillId="9" borderId="1" xfId="0" applyFont="1" applyFill="1" applyBorder="1" applyAlignment="1">
      <alignment horizontal="center" vertical="center"/>
    </xf>
    <xf numFmtId="0" fontId="32" fillId="0" borderId="1" xfId="0" applyFont="1" applyFill="1" applyBorder="1" applyAlignment="1">
      <alignment horizontal="center"/>
    </xf>
    <xf numFmtId="0" fontId="30" fillId="0" borderId="1" xfId="0" applyFont="1" applyBorder="1" applyAlignment="1">
      <alignment horizontal="center"/>
    </xf>
    <xf numFmtId="0" fontId="33" fillId="0" borderId="1" xfId="0" applyFont="1" applyBorder="1" applyAlignment="1">
      <alignment horizontal="center" vertical="center" wrapText="1"/>
    </xf>
    <xf numFmtId="0" fontId="34" fillId="0" borderId="1" xfId="0" applyFont="1" applyFill="1" applyBorder="1" applyAlignment="1">
      <alignment horizontal="center"/>
    </xf>
    <xf numFmtId="0" fontId="33" fillId="0" borderId="1" xfId="0" applyFont="1" applyFill="1" applyBorder="1" applyAlignment="1">
      <alignment horizontal="center"/>
    </xf>
    <xf numFmtId="0" fontId="30" fillId="0" borderId="1" xfId="0" applyFont="1" applyFill="1" applyBorder="1" applyAlignment="1">
      <alignment horizontal="center"/>
    </xf>
    <xf numFmtId="0" fontId="13" fillId="0" borderId="0" xfId="0" applyFont="1" applyFill="1" applyBorder="1" applyAlignment="1">
      <alignment horizontal="center" vertical="center"/>
    </xf>
    <xf numFmtId="0" fontId="5" fillId="0" borderId="0" xfId="0" applyFont="1" applyBorder="1" applyAlignment="1">
      <alignment horizontal="left"/>
    </xf>
    <xf numFmtId="0" fontId="5" fillId="0" borderId="1" xfId="0" applyFont="1" applyBorder="1" applyAlignment="1">
      <alignment horizontal="center"/>
    </xf>
    <xf numFmtId="0" fontId="5" fillId="0" borderId="0" xfId="0" applyFont="1" applyBorder="1" applyAlignment="1">
      <alignment horizontal="center"/>
    </xf>
    <xf numFmtId="0" fontId="5" fillId="0" borderId="1" xfId="0" applyFont="1" applyBorder="1" applyAlignment="1">
      <alignment horizontal="center" vertical="center"/>
    </xf>
    <xf numFmtId="0" fontId="5" fillId="0" borderId="0" xfId="0" applyFont="1" applyBorder="1" applyAlignment="1">
      <alignment horizontal="center" vertical="center"/>
    </xf>
    <xf numFmtId="0" fontId="14" fillId="0" borderId="1" xfId="0" applyFont="1" applyBorder="1" applyAlignment="1">
      <alignment horizontal="center" vertical="center"/>
    </xf>
    <xf numFmtId="0" fontId="5" fillId="7" borderId="1" xfId="0" applyFont="1" applyFill="1" applyBorder="1" applyAlignment="1">
      <alignment horizontal="center"/>
    </xf>
    <xf numFmtId="0" fontId="19" fillId="6" borderId="1" xfId="0" applyFont="1" applyFill="1" applyBorder="1" applyAlignment="1">
      <alignment horizontal="center"/>
    </xf>
    <xf numFmtId="0" fontId="38" fillId="0" borderId="1" xfId="0" applyFont="1" applyBorder="1" applyAlignment="1">
      <alignment vertical="center"/>
    </xf>
    <xf numFmtId="0" fontId="14" fillId="0" borderId="1" xfId="0" applyFont="1" applyBorder="1" applyAlignment="1">
      <alignment vertical="center"/>
    </xf>
    <xf numFmtId="0" fontId="14" fillId="0" borderId="0" xfId="0" applyFont="1" applyBorder="1" applyAlignment="1">
      <alignment vertical="center"/>
    </xf>
    <xf numFmtId="187" fontId="5" fillId="0" borderId="1" xfId="0" applyNumberFormat="1" applyFont="1" applyFill="1" applyBorder="1" applyAlignment="1">
      <alignment horizontal="center"/>
    </xf>
    <xf numFmtId="0" fontId="14" fillId="0" borderId="0" xfId="0" applyFont="1" applyBorder="1" applyAlignment="1">
      <alignment horizontal="center" vertical="center"/>
    </xf>
    <xf numFmtId="0" fontId="14" fillId="7" borderId="1" xfId="0" applyFont="1" applyFill="1" applyBorder="1" applyAlignment="1">
      <alignment horizontal="center"/>
    </xf>
    <xf numFmtId="0" fontId="14" fillId="0" borderId="1" xfId="0" applyFont="1" applyBorder="1" applyAlignment="1">
      <alignment horizontal="center"/>
    </xf>
    <xf numFmtId="0" fontId="14" fillId="0" borderId="0" xfId="0" applyFont="1" applyBorder="1" applyAlignment="1">
      <alignment horizontal="center"/>
    </xf>
    <xf numFmtId="0" fontId="14" fillId="7" borderId="1" xfId="0" applyFont="1" applyFill="1" applyBorder="1" applyAlignment="1">
      <alignment horizontal="center" vertical="center"/>
    </xf>
    <xf numFmtId="187" fontId="5" fillId="0" borderId="1" xfId="0" applyNumberFormat="1" applyFont="1" applyFill="1" applyBorder="1" applyAlignment="1">
      <alignment horizontal="center" vertical="center"/>
    </xf>
    <xf numFmtId="187" fontId="14" fillId="0" borderId="1" xfId="0" applyNumberFormat="1" applyFont="1" applyFill="1" applyBorder="1" applyAlignment="1">
      <alignment horizontal="center" vertical="center"/>
    </xf>
    <xf numFmtId="0" fontId="22" fillId="0" borderId="1" xfId="0" applyFont="1" applyBorder="1" applyAlignment="1">
      <alignment horizontal="center" vertical="center"/>
    </xf>
    <xf numFmtId="0" fontId="15" fillId="0" borderId="1" xfId="0" applyFont="1" applyBorder="1" applyAlignment="1">
      <alignment horizontal="center"/>
    </xf>
    <xf numFmtId="0" fontId="5" fillId="0" borderId="1" xfId="0" applyFont="1" applyFill="1" applyBorder="1" applyAlignment="1">
      <alignment vertical="center"/>
    </xf>
    <xf numFmtId="0" fontId="21" fillId="0" borderId="1" xfId="0" applyFont="1" applyBorder="1" applyAlignment="1">
      <alignment horizontal="center"/>
    </xf>
    <xf numFmtId="0" fontId="39" fillId="0" borderId="1" xfId="0" applyFont="1" applyFill="1" applyBorder="1" applyAlignment="1">
      <alignment horizontal="center" vertical="center"/>
    </xf>
    <xf numFmtId="0" fontId="7" fillId="0" borderId="0" xfId="0" applyFont="1"/>
    <xf numFmtId="178" fontId="0" fillId="0" borderId="0" xfId="0" applyNumberFormat="1"/>
    <xf numFmtId="0" fontId="0" fillId="10" borderId="0" xfId="0" applyFill="1"/>
    <xf numFmtId="0" fontId="33" fillId="0" borderId="0" xfId="0" applyFont="1"/>
    <xf numFmtId="0" fontId="15" fillId="10" borderId="0" xfId="0" applyFont="1" applyFill="1"/>
    <xf numFmtId="0" fontId="15" fillId="0" borderId="0" xfId="0" applyFont="1"/>
    <xf numFmtId="0" fontId="0" fillId="0" borderId="0" xfId="0" applyFill="1"/>
    <xf numFmtId="0" fontId="0" fillId="0" borderId="0" xfId="0" applyAlignment="1">
      <alignment horizontal="left"/>
    </xf>
    <xf numFmtId="0" fontId="40" fillId="10" borderId="0" xfId="0" applyFont="1" applyFill="1" applyAlignment="1">
      <alignment horizontal="left" vertical="top"/>
    </xf>
    <xf numFmtId="0" fontId="30" fillId="0" borderId="0" xfId="0" applyFont="1" applyFill="1"/>
    <xf numFmtId="0" fontId="30" fillId="0" borderId="0" xfId="0" applyFont="1" applyFill="1" applyBorder="1" applyAlignment="1">
      <alignment horizontal="left" vertical="center"/>
    </xf>
    <xf numFmtId="0" fontId="41" fillId="0" borderId="0" xfId="0" applyFont="1" applyFill="1" applyBorder="1" applyAlignment="1">
      <alignment horizontal="center" vertical="center"/>
    </xf>
    <xf numFmtId="0" fontId="33" fillId="0" borderId="0" xfId="0" applyFont="1" applyAlignment="1">
      <alignment horizontal="left"/>
    </xf>
    <xf numFmtId="0" fontId="15" fillId="0" borderId="1" xfId="0" applyFont="1" applyBorder="1" applyAlignment="1">
      <alignment horizontal="center" vertical="center"/>
    </xf>
    <xf numFmtId="178" fontId="5" fillId="0" borderId="1" xfId="0" applyNumberFormat="1" applyFont="1" applyFill="1" applyBorder="1" applyAlignment="1">
      <alignment horizontal="center"/>
    </xf>
    <xf numFmtId="0" fontId="15" fillId="0" borderId="1" xfId="0" applyFont="1" applyBorder="1" applyAlignment="1"/>
    <xf numFmtId="0" fontId="43" fillId="0" borderId="6" xfId="0" applyFont="1" applyBorder="1" applyAlignment="1">
      <alignment horizontal="center" vertical="center" wrapText="1"/>
    </xf>
    <xf numFmtId="0" fontId="15" fillId="7" borderId="1" xfId="0" applyFont="1" applyFill="1" applyBorder="1" applyAlignment="1">
      <alignment horizontal="center"/>
    </xf>
    <xf numFmtId="187" fontId="15" fillId="0" borderId="1" xfId="0" applyNumberFormat="1" applyFont="1" applyBorder="1" applyAlignment="1">
      <alignment horizontal="center"/>
    </xf>
    <xf numFmtId="187" fontId="19" fillId="0" borderId="1" xfId="0" applyNumberFormat="1" applyFont="1" applyFill="1" applyBorder="1" applyAlignment="1">
      <alignment horizontal="center"/>
    </xf>
    <xf numFmtId="0" fontId="15" fillId="0" borderId="1" xfId="0" applyFont="1" applyBorder="1" applyAlignment="1">
      <alignment vertical="center"/>
    </xf>
    <xf numFmtId="0" fontId="15" fillId="0" borderId="1" xfId="0" applyFont="1" applyBorder="1"/>
    <xf numFmtId="178" fontId="4" fillId="0" borderId="1" xfId="0" applyNumberFormat="1" applyFont="1" applyFill="1" applyBorder="1" applyAlignment="1">
      <alignment horizontal="center"/>
    </xf>
    <xf numFmtId="0" fontId="5" fillId="8" borderId="1" xfId="0" applyFont="1" applyFill="1" applyBorder="1" applyAlignment="1">
      <alignment horizontal="center" vertical="center"/>
    </xf>
    <xf numFmtId="189" fontId="5" fillId="0" borderId="1" xfId="0" applyNumberFormat="1" applyFont="1" applyFill="1" applyBorder="1" applyAlignment="1">
      <alignment horizontal="center" vertical="center"/>
    </xf>
    <xf numFmtId="189" fontId="15" fillId="0" borderId="1" xfId="0" applyNumberFormat="1" applyFont="1" applyFill="1" applyBorder="1" applyAlignment="1">
      <alignment horizontal="center" vertical="center"/>
    </xf>
    <xf numFmtId="185" fontId="4" fillId="0" borderId="1" xfId="0" applyNumberFormat="1" applyFont="1" applyFill="1" applyBorder="1" applyAlignment="1">
      <alignment horizontal="center"/>
    </xf>
    <xf numFmtId="189" fontId="19" fillId="0" borderId="1" xfId="0" applyNumberFormat="1" applyFont="1" applyFill="1" applyBorder="1" applyAlignment="1">
      <alignment horizontal="center" vertical="center"/>
    </xf>
    <xf numFmtId="176" fontId="5" fillId="0" borderId="1" xfId="0" applyNumberFormat="1" applyFont="1" applyFill="1" applyBorder="1" applyAlignment="1">
      <alignment horizontal="center"/>
    </xf>
    <xf numFmtId="0" fontId="22" fillId="0" borderId="0" xfId="0" applyFont="1"/>
    <xf numFmtId="176" fontId="14" fillId="0" borderId="1" xfId="0" applyNumberFormat="1" applyFont="1" applyFill="1" applyBorder="1" applyAlignment="1">
      <alignment horizontal="center"/>
    </xf>
    <xf numFmtId="0" fontId="14" fillId="0" borderId="1" xfId="0" applyFont="1" applyBorder="1"/>
    <xf numFmtId="176" fontId="14" fillId="0" borderId="5" xfId="0" applyNumberFormat="1" applyFont="1" applyFill="1" applyBorder="1" applyAlignment="1">
      <alignment horizontal="center"/>
    </xf>
    <xf numFmtId="0" fontId="14" fillId="0" borderId="5" xfId="0" applyFont="1" applyBorder="1"/>
    <xf numFmtId="0" fontId="33" fillId="0" borderId="0" xfId="0" applyFont="1" applyFill="1" applyBorder="1"/>
    <xf numFmtId="0" fontId="15" fillId="0" borderId="0" xfId="0" applyFont="1" applyFill="1" applyBorder="1" applyAlignment="1">
      <alignment horizontal="center" vertical="center"/>
    </xf>
    <xf numFmtId="0" fontId="44" fillId="0" borderId="0" xfId="0" applyFont="1" applyFill="1" applyBorder="1" applyAlignment="1">
      <alignment horizontal="center" vertical="center"/>
    </xf>
    <xf numFmtId="190" fontId="15"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191" fontId="15" fillId="0" borderId="0" xfId="0" applyNumberFormat="1" applyFont="1" applyFill="1" applyBorder="1" applyAlignment="1">
      <alignment horizontal="center" vertical="center"/>
    </xf>
    <xf numFmtId="192" fontId="15" fillId="0" borderId="0" xfId="0" applyNumberFormat="1" applyFont="1" applyFill="1" applyBorder="1" applyAlignment="1">
      <alignment horizontal="center" vertical="center"/>
    </xf>
    <xf numFmtId="193" fontId="15" fillId="0" borderId="0" xfId="0" applyNumberFormat="1" applyFont="1" applyFill="1" applyBorder="1" applyAlignment="1">
      <alignment horizontal="center" vertical="center"/>
    </xf>
    <xf numFmtId="188" fontId="15" fillId="0" borderId="0" xfId="0" applyNumberFormat="1" applyFont="1" applyFill="1" applyBorder="1" applyAlignment="1">
      <alignment horizontal="center" vertical="center"/>
    </xf>
    <xf numFmtId="178" fontId="5" fillId="0" borderId="0" xfId="0" applyNumberFormat="1" applyFont="1" applyFill="1" applyBorder="1" applyAlignment="1">
      <alignment horizontal="center" vertical="center"/>
    </xf>
    <xf numFmtId="178" fontId="15" fillId="0" borderId="0" xfId="0" applyNumberFormat="1" applyFont="1" applyFill="1" applyBorder="1" applyAlignment="1">
      <alignment horizontal="center" vertical="center"/>
    </xf>
    <xf numFmtId="0" fontId="45" fillId="0" borderId="0" xfId="0" applyFont="1" applyFill="1" applyBorder="1" applyAlignment="1">
      <alignment horizontal="center" vertical="center"/>
    </xf>
    <xf numFmtId="194" fontId="45" fillId="0" borderId="0" xfId="0" applyNumberFormat="1" applyFont="1" applyFill="1" applyBorder="1" applyAlignment="1">
      <alignment horizontal="center" vertical="center"/>
    </xf>
    <xf numFmtId="195" fontId="45" fillId="0" borderId="0" xfId="0" applyNumberFormat="1" applyFont="1" applyFill="1" applyBorder="1" applyAlignment="1">
      <alignment horizontal="center" vertical="center"/>
    </xf>
    <xf numFmtId="0" fontId="46" fillId="0" borderId="0" xfId="0" applyFont="1" applyFill="1" applyBorder="1" applyAlignment="1">
      <alignment horizontal="center" vertical="center"/>
    </xf>
    <xf numFmtId="178" fontId="45" fillId="0" borderId="0" xfId="0" applyNumberFormat="1" applyFont="1" applyFill="1" applyBorder="1" applyAlignment="1">
      <alignment horizontal="center" vertical="center"/>
    </xf>
    <xf numFmtId="0" fontId="48" fillId="0" borderId="0" xfId="0" applyFont="1"/>
    <xf numFmtId="0" fontId="33" fillId="0" borderId="0" xfId="0" applyFont="1" applyBorder="1"/>
    <xf numFmtId="0" fontId="7" fillId="0" borderId="0" xfId="0" applyFont="1" applyAlignment="1">
      <alignment horizontal="right"/>
    </xf>
    <xf numFmtId="0" fontId="25" fillId="0" borderId="0" xfId="0" applyFont="1"/>
    <xf numFmtId="10" fontId="0" fillId="0" borderId="0" xfId="0" applyNumberFormat="1"/>
    <xf numFmtId="0" fontId="49" fillId="10" borderId="0" xfId="0" applyFont="1" applyFill="1"/>
    <xf numFmtId="0" fontId="33" fillId="0" borderId="0" xfId="0" applyFont="1" applyFill="1"/>
    <xf numFmtId="0" fontId="8" fillId="0" borderId="0" xfId="0" applyFont="1" applyFill="1"/>
    <xf numFmtId="0" fontId="8" fillId="0" borderId="0" xfId="0" applyFont="1" applyFill="1" applyBorder="1"/>
    <xf numFmtId="0" fontId="8" fillId="0" borderId="0" xfId="0" applyFont="1" applyFill="1" applyBorder="1" applyAlignment="1">
      <alignment horizontal="right"/>
    </xf>
    <xf numFmtId="0" fontId="8" fillId="0" borderId="0" xfId="0" applyFont="1" applyFill="1" applyBorder="1" applyAlignment="1">
      <alignment horizontal="left"/>
    </xf>
    <xf numFmtId="0" fontId="8" fillId="0" borderId="0" xfId="0" applyFont="1" applyBorder="1"/>
    <xf numFmtId="0" fontId="8" fillId="0" borderId="0" xfId="0" applyFont="1" applyBorder="1" applyAlignment="1">
      <alignment vertical="center"/>
    </xf>
    <xf numFmtId="0" fontId="15" fillId="0" borderId="0" xfId="0" applyFont="1" applyAlignment="1">
      <alignment horizontal="left"/>
    </xf>
    <xf numFmtId="178" fontId="5" fillId="0" borderId="1" xfId="0" applyNumberFormat="1" applyFont="1" applyFill="1" applyBorder="1" applyAlignment="1">
      <alignment horizontal="center" vertical="center"/>
    </xf>
    <xf numFmtId="0" fontId="5" fillId="0" borderId="0" xfId="0" applyFont="1" applyFill="1" applyAlignment="1">
      <alignment horizontal="left" vertical="center"/>
    </xf>
    <xf numFmtId="0" fontId="49" fillId="0" borderId="0" xfId="0" applyFont="1"/>
    <xf numFmtId="0" fontId="15" fillId="0" borderId="0" xfId="0" applyFont="1" applyFill="1" applyAlignment="1">
      <alignment horizontal="left"/>
    </xf>
    <xf numFmtId="0" fontId="15" fillId="0" borderId="0" xfId="0" applyFont="1" applyFill="1"/>
    <xf numFmtId="0" fontId="5" fillId="0" borderId="0" xfId="0" applyFont="1" applyFill="1" applyBorder="1" applyAlignment="1">
      <alignment vertical="center"/>
    </xf>
    <xf numFmtId="0" fontId="5" fillId="0" borderId="0" xfId="0" applyFont="1" applyBorder="1" applyAlignment="1">
      <alignment vertical="center"/>
    </xf>
    <xf numFmtId="176" fontId="5" fillId="0" borderId="1" xfId="0" applyNumberFormat="1" applyFont="1" applyFill="1" applyBorder="1" applyAlignment="1">
      <alignment horizontal="center" vertical="center"/>
    </xf>
    <xf numFmtId="0" fontId="52" fillId="12" borderId="1" xfId="0" applyNumberFormat="1" applyFont="1" applyFill="1" applyBorder="1" applyAlignment="1">
      <alignment horizontal="center" vertical="center"/>
    </xf>
    <xf numFmtId="178" fontId="4" fillId="0" borderId="1" xfId="0" applyNumberFormat="1" applyFont="1" applyFill="1" applyBorder="1" applyAlignment="1">
      <alignment horizontal="center" vertical="center"/>
    </xf>
    <xf numFmtId="0" fontId="24" fillId="0" borderId="1" xfId="0" applyFont="1" applyBorder="1" applyAlignment="1">
      <alignment horizontal="center" vertical="center"/>
    </xf>
    <xf numFmtId="0" fontId="53" fillId="0" borderId="0" xfId="0" applyFont="1" applyBorder="1" applyAlignment="1">
      <alignment vertical="center"/>
    </xf>
    <xf numFmtId="0" fontId="21" fillId="0" borderId="1" xfId="0" applyFont="1" applyBorder="1" applyAlignment="1">
      <alignment horizontal="center" vertical="center"/>
    </xf>
    <xf numFmtId="0" fontId="13" fillId="0" borderId="0" xfId="0" applyFont="1" applyAlignment="1">
      <alignment vertical="center"/>
    </xf>
    <xf numFmtId="0" fontId="5" fillId="0" borderId="1" xfId="0" applyFont="1" applyBorder="1" applyAlignment="1">
      <alignment horizontal="left"/>
    </xf>
    <xf numFmtId="0" fontId="53" fillId="0" borderId="1" xfId="0" applyFont="1" applyBorder="1" applyAlignment="1">
      <alignment horizontal="center" vertical="center"/>
    </xf>
    <xf numFmtId="10" fontId="5" fillId="0" borderId="1" xfId="0" applyNumberFormat="1" applyFont="1" applyFill="1" applyBorder="1" applyAlignment="1">
      <alignment horizontal="center" vertical="center"/>
    </xf>
    <xf numFmtId="0" fontId="30" fillId="0" borderId="0" xfId="0" applyFont="1" applyBorder="1" applyAlignment="1">
      <alignment horizontal="center" vertical="center"/>
    </xf>
    <xf numFmtId="178" fontId="53" fillId="0" borderId="0" xfId="0" applyNumberFormat="1" applyFont="1"/>
    <xf numFmtId="178" fontId="8" fillId="0" borderId="0" xfId="0" applyNumberFormat="1" applyFont="1"/>
    <xf numFmtId="178" fontId="8" fillId="0" borderId="0" xfId="0" applyNumberFormat="1" applyFont="1" applyFill="1"/>
    <xf numFmtId="0" fontId="53" fillId="0" borderId="0" xfId="0" applyFont="1" applyBorder="1" applyAlignment="1">
      <alignment horizontal="center" vertical="center"/>
    </xf>
    <xf numFmtId="0" fontId="0" fillId="0" borderId="0" xfId="0" applyBorder="1" applyAlignment="1">
      <alignment horizontal="center"/>
    </xf>
    <xf numFmtId="0" fontId="8" fillId="0" borderId="0" xfId="0" applyFont="1"/>
    <xf numFmtId="0" fontId="22" fillId="0" borderId="1" xfId="0" applyFont="1" applyFill="1" applyBorder="1" applyAlignment="1">
      <alignment horizontal="center" vertical="center"/>
    </xf>
    <xf numFmtId="0" fontId="7" fillId="0" borderId="0" xfId="0" applyFont="1" applyAlignment="1">
      <alignment horizontal="center"/>
    </xf>
    <xf numFmtId="0" fontId="8" fillId="0" borderId="1" xfId="0" applyFont="1" applyBorder="1"/>
    <xf numFmtId="0" fontId="8" fillId="0" borderId="1" xfId="0" applyFont="1" applyBorder="1" applyAlignment="1">
      <alignment horizontal="right"/>
    </xf>
    <xf numFmtId="0" fontId="8" fillId="0" borderId="1" xfId="0" applyFont="1" applyFill="1" applyBorder="1" applyAlignment="1">
      <alignment horizontal="left"/>
    </xf>
    <xf numFmtId="0" fontId="5" fillId="0" borderId="1" xfId="0" applyFont="1" applyFill="1" applyBorder="1"/>
    <xf numFmtId="0" fontId="21" fillId="0" borderId="1" xfId="0" applyFont="1" applyBorder="1"/>
    <xf numFmtId="0" fontId="21" fillId="0" borderId="1" xfId="0" applyFont="1" applyBorder="1" applyAlignment="1">
      <alignment horizontal="right" vertical="center"/>
    </xf>
    <xf numFmtId="187" fontId="30" fillId="0" borderId="0" xfId="0" applyNumberFormat="1" applyFont="1" applyFill="1" applyBorder="1" applyAlignment="1">
      <alignment horizontal="center"/>
    </xf>
    <xf numFmtId="0" fontId="22" fillId="0" borderId="1" xfId="0" applyFont="1" applyFill="1" applyBorder="1" applyAlignment="1">
      <alignment horizontal="center"/>
    </xf>
    <xf numFmtId="0" fontId="22" fillId="0" borderId="1" xfId="0" applyFont="1" applyFill="1" applyBorder="1"/>
    <xf numFmtId="0" fontId="0" fillId="0" borderId="0" xfId="0" applyFont="1"/>
    <xf numFmtId="0" fontId="0" fillId="0" borderId="0" xfId="0" applyAlignment="1"/>
    <xf numFmtId="0" fontId="7" fillId="0" borderId="0" xfId="0" applyFont="1" applyAlignment="1">
      <alignment horizontal="left"/>
    </xf>
    <xf numFmtId="0" fontId="8" fillId="0" borderId="0" xfId="0" applyFont="1" applyAlignment="1">
      <alignment vertical="top"/>
    </xf>
    <xf numFmtId="0" fontId="30" fillId="0" borderId="0" xfId="0" applyFont="1" applyAlignment="1">
      <alignment horizontal="center"/>
    </xf>
    <xf numFmtId="0" fontId="54" fillId="0" borderId="0" xfId="0" applyFont="1"/>
    <xf numFmtId="0" fontId="5" fillId="6" borderId="1" xfId="0" applyFont="1" applyFill="1" applyBorder="1" applyAlignment="1">
      <alignment horizontal="center" vertical="center" wrapText="1"/>
    </xf>
    <xf numFmtId="0" fontId="49" fillId="13" borderId="0" xfId="0" applyFont="1" applyFill="1"/>
    <xf numFmtId="0" fontId="0" fillId="8" borderId="0" xfId="0" applyFill="1"/>
    <xf numFmtId="0" fontId="55" fillId="0" borderId="0" xfId="0" applyFont="1" applyAlignment="1">
      <alignment horizontal="right" vertical="center"/>
    </xf>
    <xf numFmtId="0" fontId="8" fillId="0" borderId="0" xfId="0" applyFont="1" applyAlignment="1">
      <alignment horizontal="right" vertical="center"/>
    </xf>
    <xf numFmtId="179" fontId="8" fillId="0" borderId="0" xfId="0" applyNumberFormat="1" applyFont="1" applyFill="1" applyAlignment="1">
      <alignment horizontal="left"/>
    </xf>
    <xf numFmtId="0" fontId="17" fillId="0" borderId="1" xfId="0" applyFont="1" applyFill="1" applyBorder="1" applyAlignment="1">
      <alignment horizontal="left" vertical="center" wrapText="1"/>
    </xf>
    <xf numFmtId="0" fontId="56" fillId="6" borderId="1" xfId="0" applyFont="1" applyFill="1" applyBorder="1" applyAlignment="1">
      <alignment horizontal="center" vertical="center"/>
    </xf>
    <xf numFmtId="178" fontId="19" fillId="6" borderId="1" xfId="0" applyNumberFormat="1" applyFont="1" applyFill="1" applyBorder="1" applyAlignment="1">
      <alignment horizontal="center" vertical="center"/>
    </xf>
    <xf numFmtId="0" fontId="0" fillId="0" borderId="0" xfId="0" applyFill="1" applyAlignment="1">
      <alignment horizontal="left"/>
    </xf>
    <xf numFmtId="0" fontId="25" fillId="6" borderId="1" xfId="0" applyFont="1" applyFill="1" applyBorder="1" applyAlignment="1">
      <alignment horizontal="center" vertical="center"/>
    </xf>
    <xf numFmtId="178" fontId="0" fillId="0" borderId="0" xfId="0" applyNumberFormat="1" applyFill="1" applyAlignment="1">
      <alignment horizontal="left"/>
    </xf>
    <xf numFmtId="196" fontId="15" fillId="0" borderId="1" xfId="0" applyNumberFormat="1" applyFont="1" applyFill="1" applyBorder="1" applyAlignment="1">
      <alignment horizontal="center"/>
    </xf>
    <xf numFmtId="0" fontId="16" fillId="7" borderId="1" xfId="0" applyFont="1" applyFill="1" applyBorder="1" applyAlignment="1">
      <alignment horizontal="center"/>
    </xf>
    <xf numFmtId="0" fontId="56" fillId="0" borderId="1" xfId="0" applyFont="1" applyFill="1" applyBorder="1" applyAlignment="1">
      <alignment horizontal="center" vertical="center"/>
    </xf>
    <xf numFmtId="0" fontId="46" fillId="6" borderId="1" xfId="0" applyFont="1" applyFill="1" applyBorder="1" applyAlignment="1">
      <alignment horizontal="center" vertical="center"/>
    </xf>
    <xf numFmtId="0" fontId="33" fillId="14" borderId="0" xfId="0" applyFont="1" applyFill="1" applyAlignment="1">
      <alignment horizontal="center"/>
    </xf>
    <xf numFmtId="0" fontId="8" fillId="0" borderId="0" xfId="0" applyFont="1" applyAlignment="1">
      <alignment horizontal="left"/>
    </xf>
    <xf numFmtId="0" fontId="0" fillId="14" borderId="0" xfId="0" applyFill="1"/>
    <xf numFmtId="11" fontId="15" fillId="0" borderId="1" xfId="0" applyNumberFormat="1" applyFont="1" applyFill="1" applyBorder="1" applyAlignment="1">
      <alignment horizontal="center" vertical="center"/>
    </xf>
    <xf numFmtId="178" fontId="25" fillId="0" borderId="1" xfId="0" applyNumberFormat="1" applyFont="1" applyFill="1" applyBorder="1" applyAlignment="1">
      <alignment horizontal="center"/>
    </xf>
    <xf numFmtId="11" fontId="15" fillId="0" borderId="1" xfId="0" applyNumberFormat="1" applyFont="1" applyFill="1" applyBorder="1" applyAlignment="1">
      <alignment horizontal="center"/>
    </xf>
    <xf numFmtId="0" fontId="8" fillId="0" borderId="0" xfId="0" applyFont="1" applyFill="1" applyAlignment="1">
      <alignment vertical="center"/>
    </xf>
    <xf numFmtId="0" fontId="19" fillId="0" borderId="26" xfId="0" applyFont="1" applyFill="1" applyBorder="1" applyAlignment="1">
      <alignment horizontal="center"/>
    </xf>
    <xf numFmtId="0" fontId="55" fillId="0" borderId="0" xfId="0" applyFont="1" applyBorder="1" applyAlignment="1">
      <alignment vertical="center"/>
    </xf>
    <xf numFmtId="0" fontId="24" fillId="0" borderId="1" xfId="0" applyFont="1" applyFill="1" applyBorder="1" applyAlignment="1">
      <alignment horizontal="center" vertical="center"/>
    </xf>
    <xf numFmtId="0" fontId="0" fillId="0" borderId="0" xfId="0" applyFont="1" applyFill="1"/>
    <xf numFmtId="0" fontId="30" fillId="0" borderId="0" xfId="0" applyFont="1" applyAlignment="1">
      <alignment horizontal="right"/>
    </xf>
    <xf numFmtId="0" fontId="57" fillId="0" borderId="0" xfId="0" applyFont="1"/>
    <xf numFmtId="0" fontId="0" fillId="0" borderId="0" xfId="0" applyFill="1" applyAlignment="1">
      <alignment horizontal="center" vertical="center"/>
    </xf>
    <xf numFmtId="0" fontId="58" fillId="0" borderId="1" xfId="0" applyFont="1" applyFill="1" applyBorder="1" applyAlignment="1">
      <alignment horizontal="center" vertical="center"/>
    </xf>
    <xf numFmtId="178" fontId="0" fillId="0" borderId="0" xfId="0" applyNumberFormat="1" applyAlignment="1">
      <alignment horizontal="left"/>
    </xf>
    <xf numFmtId="0" fontId="5" fillId="8" borderId="1" xfId="0" applyFont="1" applyFill="1" applyBorder="1" applyAlignment="1">
      <alignment horizontal="left" vertical="center"/>
    </xf>
    <xf numFmtId="187" fontId="15" fillId="0" borderId="1" xfId="0" applyNumberFormat="1" applyFont="1" applyFill="1" applyBorder="1" applyAlignment="1">
      <alignment horizontal="center" vertical="center"/>
    </xf>
    <xf numFmtId="197" fontId="0" fillId="0" borderId="0" xfId="0" applyNumberFormat="1" applyAlignment="1">
      <alignment horizontal="left"/>
    </xf>
    <xf numFmtId="0" fontId="0" fillId="6" borderId="0" xfId="0" applyFill="1"/>
    <xf numFmtId="10" fontId="15" fillId="0" borderId="1" xfId="0" applyNumberFormat="1" applyFont="1" applyFill="1" applyBorder="1" applyAlignment="1">
      <alignment horizontal="center"/>
    </xf>
    <xf numFmtId="10" fontId="0" fillId="6" borderId="0" xfId="0" applyNumberFormat="1" applyFill="1" applyAlignment="1">
      <alignment horizontal="center" vertical="center"/>
    </xf>
    <xf numFmtId="0" fontId="7" fillId="6" borderId="0" xfId="0" applyFont="1" applyFill="1" applyAlignment="1">
      <alignment horizontal="center" vertical="center"/>
    </xf>
    <xf numFmtId="0" fontId="7" fillId="8" borderId="0" xfId="0" applyFont="1" applyFill="1"/>
    <xf numFmtId="0" fontId="0" fillId="7" borderId="0" xfId="0" applyFill="1"/>
    <xf numFmtId="0" fontId="0" fillId="0" borderId="0" xfId="0" applyFill="1" applyBorder="1" applyAlignment="1">
      <alignment horizontal="center" vertical="center" wrapText="1"/>
    </xf>
    <xf numFmtId="0" fontId="0" fillId="0" borderId="0" xfId="0" applyAlignment="1">
      <alignment horizontal="center" vertical="center"/>
    </xf>
    <xf numFmtId="0" fontId="0" fillId="8" borderId="0" xfId="0" applyFill="1" applyAlignment="1">
      <alignment horizontal="center" vertical="center"/>
    </xf>
    <xf numFmtId="0" fontId="33" fillId="0" borderId="1" xfId="0" applyFont="1" applyFill="1" applyBorder="1" applyAlignment="1">
      <alignment horizontal="center" vertical="center"/>
    </xf>
    <xf numFmtId="178" fontId="33" fillId="0" borderId="1" xfId="0" applyNumberFormat="1" applyFont="1" applyFill="1" applyBorder="1" applyAlignment="1">
      <alignment horizontal="center" vertical="center"/>
    </xf>
    <xf numFmtId="0" fontId="60" fillId="0" borderId="0" xfId="0" applyFont="1"/>
    <xf numFmtId="0" fontId="14" fillId="0" borderId="1" xfId="0" applyFont="1" applyFill="1" applyBorder="1" applyAlignment="1">
      <alignment horizontal="center"/>
    </xf>
    <xf numFmtId="0" fontId="56" fillId="0" borderId="1" xfId="0" applyFont="1" applyFill="1" applyBorder="1" applyAlignment="1">
      <alignment horizontal="center"/>
    </xf>
    <xf numFmtId="0" fontId="16" fillId="0" borderId="1" xfId="0" applyFont="1" applyFill="1" applyBorder="1" applyAlignment="1">
      <alignment horizontal="center"/>
    </xf>
    <xf numFmtId="0" fontId="0" fillId="10" borderId="0" xfId="0" applyFill="1" applyAlignment="1">
      <alignment horizontal="left"/>
    </xf>
    <xf numFmtId="0" fontId="55" fillId="0" borderId="0" xfId="0" applyFont="1" applyFill="1" applyAlignment="1">
      <alignment vertical="center"/>
    </xf>
    <xf numFmtId="0" fontId="8" fillId="0" borderId="0" xfId="0" applyFont="1" applyAlignment="1">
      <alignment horizontal="right"/>
    </xf>
    <xf numFmtId="0" fontId="40" fillId="10" borderId="0" xfId="0" applyFont="1" applyFill="1" applyBorder="1" applyAlignment="1">
      <alignment horizontal="left" vertical="top"/>
    </xf>
    <xf numFmtId="0" fontId="61" fillId="10" borderId="0" xfId="0" applyFont="1" applyFill="1" applyBorder="1" applyAlignment="1">
      <alignment horizontal="center" vertical="center"/>
    </xf>
    <xf numFmtId="0" fontId="62" fillId="0" borderId="0" xfId="0" applyFont="1" applyFill="1" applyBorder="1" applyAlignment="1">
      <alignment horizontal="left" vertical="center"/>
    </xf>
    <xf numFmtId="0" fontId="8" fillId="0" borderId="0" xfId="0" applyFont="1" applyFill="1" applyBorder="1" applyAlignment="1">
      <alignment horizontal="left" vertical="center"/>
    </xf>
    <xf numFmtId="0" fontId="61" fillId="0" borderId="0" xfId="0" applyFont="1" applyFill="1" applyBorder="1" applyAlignment="1">
      <alignment horizontal="center" vertical="center"/>
    </xf>
    <xf numFmtId="0" fontId="42" fillId="10" borderId="0" xfId="0" applyFont="1" applyFill="1"/>
    <xf numFmtId="0" fontId="40" fillId="10" borderId="0" xfId="0" applyFont="1" applyFill="1" applyBorder="1" applyAlignment="1">
      <alignment horizontal="left" vertical="center"/>
    </xf>
    <xf numFmtId="0" fontId="53" fillId="14" borderId="0" xfId="0" applyFont="1" applyFill="1"/>
    <xf numFmtId="0" fontId="53" fillId="0" borderId="0" xfId="0" applyFont="1"/>
    <xf numFmtId="0" fontId="1" fillId="0" borderId="0" xfId="0" applyFont="1"/>
    <xf numFmtId="0" fontId="0" fillId="14" borderId="0" xfId="0" applyFill="1" applyAlignment="1">
      <alignment horizontal="left"/>
    </xf>
    <xf numFmtId="0" fontId="13" fillId="10" borderId="0" xfId="0" applyFont="1" applyFill="1" applyAlignment="1">
      <alignment vertical="center"/>
    </xf>
    <xf numFmtId="0" fontId="55" fillId="10" borderId="0" xfId="0" applyFont="1" applyFill="1" applyAlignment="1">
      <alignment vertical="center"/>
    </xf>
    <xf numFmtId="0" fontId="8" fillId="15" borderId="0" xfId="0" applyFont="1" applyFill="1" applyAlignment="1">
      <alignment horizontal="left"/>
    </xf>
    <xf numFmtId="0" fontId="8" fillId="6" borderId="0" xfId="0" applyFont="1" applyFill="1"/>
    <xf numFmtId="0" fontId="8" fillId="0" borderId="0" xfId="0" applyFont="1" applyFill="1" applyAlignment="1">
      <alignment horizontal="right"/>
    </xf>
    <xf numFmtId="0" fontId="1" fillId="0" borderId="0" xfId="0" applyFont="1" applyAlignment="1">
      <alignment horizontal="right"/>
    </xf>
    <xf numFmtId="0" fontId="0" fillId="6" borderId="0" xfId="0" applyFill="1" applyAlignment="1">
      <alignment horizontal="left"/>
    </xf>
    <xf numFmtId="0" fontId="8" fillId="8" borderId="0" xfId="0" applyFont="1" applyFill="1"/>
    <xf numFmtId="0" fontId="8" fillId="0" borderId="0" xfId="0" applyFont="1" applyAlignment="1">
      <alignment horizontal="center"/>
    </xf>
    <xf numFmtId="0" fontId="8" fillId="15" borderId="0" xfId="0" applyFont="1" applyFill="1" applyBorder="1" applyAlignment="1">
      <alignment horizontal="left"/>
    </xf>
    <xf numFmtId="0" fontId="8" fillId="8" borderId="0" xfId="0" applyFont="1" applyFill="1" applyBorder="1"/>
    <xf numFmtId="0" fontId="8" fillId="10" borderId="0" xfId="0" applyFont="1" applyFill="1" applyBorder="1"/>
    <xf numFmtId="0" fontId="8" fillId="10" borderId="0" xfId="0" applyFont="1" applyFill="1" applyBorder="1" applyAlignment="1">
      <alignment horizontal="right"/>
    </xf>
    <xf numFmtId="0" fontId="8" fillId="10" borderId="0" xfId="0" applyFont="1" applyFill="1" applyBorder="1" applyAlignment="1">
      <alignment horizontal="left"/>
    </xf>
    <xf numFmtId="0" fontId="8" fillId="10" borderId="0" xfId="0" applyFont="1" applyFill="1" applyBorder="1" applyAlignment="1">
      <alignment vertical="center"/>
    </xf>
    <xf numFmtId="0" fontId="8" fillId="0" borderId="0" xfId="0" applyFont="1" applyFill="1" applyAlignment="1">
      <alignment horizontal="left"/>
    </xf>
    <xf numFmtId="0" fontId="63" fillId="0" borderId="0" xfId="0" applyFont="1" applyAlignment="1">
      <alignment horizontal="left"/>
    </xf>
    <xf numFmtId="0" fontId="8" fillId="14" borderId="0" xfId="0" applyFont="1" applyFill="1"/>
    <xf numFmtId="0" fontId="8" fillId="14" borderId="0" xfId="0" applyFont="1" applyFill="1" applyAlignment="1">
      <alignment horizontal="right"/>
    </xf>
    <xf numFmtId="0" fontId="8" fillId="14" borderId="0" xfId="0" applyFont="1" applyFill="1" applyAlignment="1">
      <alignment horizontal="left"/>
    </xf>
    <xf numFmtId="0" fontId="8" fillId="14" borderId="0" xfId="0" applyNumberFormat="1" applyFont="1" applyFill="1" applyAlignment="1">
      <alignment horizontal="left"/>
    </xf>
    <xf numFmtId="0" fontId="0" fillId="0" borderId="0" xfId="0" applyAlignment="1">
      <alignment horizontal="right"/>
    </xf>
    <xf numFmtId="0" fontId="64" fillId="0" borderId="0" xfId="0" applyFont="1" applyAlignment="1">
      <alignment vertical="center"/>
    </xf>
    <xf numFmtId="0" fontId="65" fillId="0" borderId="0" xfId="0" applyFont="1" applyAlignment="1">
      <alignment vertical="center"/>
    </xf>
    <xf numFmtId="178" fontId="8" fillId="14" borderId="0" xfId="0" applyNumberFormat="1" applyFont="1" applyFill="1" applyBorder="1" applyAlignment="1">
      <alignment horizontal="left"/>
    </xf>
    <xf numFmtId="0" fontId="8" fillId="6" borderId="0" xfId="0" applyFont="1" applyFill="1" applyBorder="1" applyAlignment="1">
      <alignment horizontal="left"/>
    </xf>
    <xf numFmtId="0" fontId="8" fillId="14" borderId="0" xfId="0" applyFont="1" applyFill="1" applyBorder="1" applyAlignment="1">
      <alignment horizontal="left"/>
    </xf>
    <xf numFmtId="184" fontId="8" fillId="15" borderId="0" xfId="0" applyNumberFormat="1" applyFont="1" applyFill="1" applyAlignment="1">
      <alignment horizontal="left"/>
    </xf>
    <xf numFmtId="187" fontId="8" fillId="15" borderId="0" xfId="0" applyNumberFormat="1" applyFont="1" applyFill="1" applyAlignment="1">
      <alignment horizontal="left"/>
    </xf>
    <xf numFmtId="176" fontId="8" fillId="14" borderId="0" xfId="0" applyNumberFormat="1" applyFont="1" applyFill="1" applyAlignment="1">
      <alignment horizontal="left"/>
    </xf>
    <xf numFmtId="0" fontId="14" fillId="0" borderId="0" xfId="0" applyFont="1" applyFill="1"/>
    <xf numFmtId="0" fontId="14" fillId="0" borderId="0" xfId="0" applyFont="1" applyFill="1" applyAlignment="1">
      <alignment horizontal="left"/>
    </xf>
    <xf numFmtId="0" fontId="14" fillId="0" borderId="0" xfId="0" applyFont="1"/>
    <xf numFmtId="178" fontId="8" fillId="15" borderId="0" xfId="0" applyNumberFormat="1" applyFont="1" applyFill="1" applyAlignment="1">
      <alignment horizontal="left"/>
    </xf>
    <xf numFmtId="0" fontId="14" fillId="0" borderId="0" xfId="0" applyFont="1" applyFill="1" applyBorder="1" applyAlignment="1">
      <alignment horizontal="right"/>
    </xf>
    <xf numFmtId="198" fontId="8" fillId="15" borderId="0" xfId="0" applyNumberFormat="1" applyFont="1" applyFill="1" applyAlignment="1">
      <alignment horizontal="left"/>
    </xf>
    <xf numFmtId="0" fontId="14" fillId="0" borderId="0" xfId="0" applyFont="1" applyFill="1" applyAlignment="1">
      <alignment horizontal="right"/>
    </xf>
    <xf numFmtId="0" fontId="8" fillId="16" borderId="0" xfId="0" applyFont="1" applyFill="1" applyAlignment="1">
      <alignment horizontal="left"/>
    </xf>
    <xf numFmtId="178" fontId="8" fillId="16" borderId="0" xfId="0" applyNumberFormat="1" applyFont="1" applyFill="1" applyAlignment="1">
      <alignment horizontal="left"/>
    </xf>
    <xf numFmtId="176" fontId="8" fillId="0" borderId="0" xfId="0" applyNumberFormat="1" applyFont="1" applyFill="1" applyAlignment="1">
      <alignment horizontal="left"/>
    </xf>
    <xf numFmtId="178" fontId="8" fillId="14" borderId="0" xfId="0" applyNumberFormat="1" applyFont="1" applyFill="1" applyAlignment="1">
      <alignment horizontal="left"/>
    </xf>
    <xf numFmtId="178" fontId="8" fillId="8" borderId="0" xfId="0" applyNumberFormat="1" applyFont="1" applyFill="1" applyAlignment="1">
      <alignment horizontal="left"/>
    </xf>
    <xf numFmtId="178" fontId="8" fillId="7" borderId="0" xfId="0" applyNumberFormat="1" applyFont="1" applyFill="1" applyAlignment="1">
      <alignment horizontal="left"/>
    </xf>
    <xf numFmtId="0" fontId="8" fillId="7" borderId="0" xfId="0" applyFont="1" applyFill="1"/>
    <xf numFmtId="178" fontId="8" fillId="6" borderId="0" xfId="0" applyNumberFormat="1" applyFont="1" applyFill="1" applyAlignment="1">
      <alignment horizontal="left"/>
    </xf>
    <xf numFmtId="178" fontId="8" fillId="8" borderId="0" xfId="0" applyNumberFormat="1" applyFont="1" applyFill="1"/>
    <xf numFmtId="178" fontId="8" fillId="0" borderId="0" xfId="0" applyNumberFormat="1" applyFont="1" applyFill="1" applyAlignment="1">
      <alignment horizontal="left"/>
    </xf>
    <xf numFmtId="0" fontId="13" fillId="8" borderId="0" xfId="0" applyFont="1" applyFill="1" applyAlignment="1">
      <alignment vertical="center"/>
    </xf>
    <xf numFmtId="0" fontId="53" fillId="8" borderId="0" xfId="0" applyFont="1" applyFill="1" applyAlignment="1">
      <alignment horizontal="left"/>
    </xf>
    <xf numFmtId="0" fontId="66" fillId="0" borderId="0" xfId="0" applyFont="1" applyAlignment="1">
      <alignment vertical="center"/>
    </xf>
    <xf numFmtId="0" fontId="8" fillId="0" borderId="0" xfId="0" applyFont="1" applyAlignment="1">
      <alignment vertical="center"/>
    </xf>
    <xf numFmtId="0" fontId="8" fillId="0" borderId="0" xfId="0" applyFont="1" applyAlignment="1">
      <alignment horizontal="left" vertical="center"/>
    </xf>
    <xf numFmtId="0" fontId="8" fillId="0" borderId="0" xfId="0" applyFont="1" applyFill="1" applyAlignment="1">
      <alignment horizontal="left" vertical="center"/>
    </xf>
    <xf numFmtId="0" fontId="8" fillId="17" borderId="0" xfId="0" applyFont="1" applyFill="1" applyAlignment="1">
      <alignment horizontal="left"/>
    </xf>
    <xf numFmtId="0" fontId="8" fillId="6" borderId="0" xfId="0" applyFont="1" applyFill="1" applyAlignment="1">
      <alignment horizontal="left"/>
    </xf>
    <xf numFmtId="179" fontId="8" fillId="6" borderId="0" xfId="0" applyNumberFormat="1" applyFont="1" applyFill="1" applyAlignment="1">
      <alignment horizontal="left"/>
    </xf>
    <xf numFmtId="0" fontId="53" fillId="17" borderId="0" xfId="0" applyFont="1" applyFill="1" applyAlignment="1">
      <alignment horizontal="left"/>
    </xf>
    <xf numFmtId="0" fontId="8" fillId="7" borderId="0" xfId="0" applyFont="1" applyFill="1" applyAlignment="1">
      <alignment horizontal="right"/>
    </xf>
    <xf numFmtId="0" fontId="59" fillId="7" borderId="0" xfId="0" applyFont="1" applyFill="1"/>
    <xf numFmtId="0" fontId="14" fillId="0" borderId="0" xfId="0" applyFont="1" applyAlignment="1">
      <alignment horizontal="right"/>
    </xf>
    <xf numFmtId="0" fontId="0" fillId="8" borderId="0" xfId="0" applyFont="1" applyFill="1"/>
    <xf numFmtId="0" fontId="0" fillId="17" borderId="0" xfId="0" applyFill="1" applyAlignment="1">
      <alignment horizontal="left"/>
    </xf>
    <xf numFmtId="0" fontId="8" fillId="8" borderId="0" xfId="0" applyFont="1" applyFill="1" applyAlignment="1">
      <alignment horizontal="left"/>
    </xf>
    <xf numFmtId="0" fontId="0" fillId="8" borderId="0" xfId="0" applyFill="1" applyAlignment="1">
      <alignment horizontal="left"/>
    </xf>
    <xf numFmtId="0" fontId="67" fillId="7" borderId="0" xfId="0" applyFont="1" applyFill="1" applyAlignment="1">
      <alignment horizontal="right"/>
    </xf>
    <xf numFmtId="0" fontId="55" fillId="0" borderId="0" xfId="0" applyFont="1" applyAlignment="1">
      <alignment vertical="center"/>
    </xf>
    <xf numFmtId="0" fontId="54" fillId="0" borderId="0" xfId="0" applyFont="1" applyAlignment="1">
      <alignment horizontal="left"/>
    </xf>
    <xf numFmtId="179" fontId="8" fillId="0" borderId="0" xfId="0" applyNumberFormat="1" applyFont="1" applyFill="1" applyAlignment="1">
      <alignment horizontal="left" vertical="center"/>
    </xf>
    <xf numFmtId="196" fontId="0" fillId="14" borderId="0" xfId="0" applyNumberFormat="1" applyFill="1" applyAlignment="1">
      <alignment horizontal="left"/>
    </xf>
    <xf numFmtId="0" fontId="68" fillId="0" borderId="0" xfId="0" applyFont="1" applyAlignment="1">
      <alignment horizontal="right"/>
    </xf>
    <xf numFmtId="0" fontId="60" fillId="18" borderId="0" xfId="0" applyFont="1" applyFill="1"/>
    <xf numFmtId="0" fontId="8" fillId="0" borderId="0" xfId="0" applyFont="1" applyFill="1" applyAlignment="1">
      <alignment horizontal="right" vertical="center"/>
    </xf>
    <xf numFmtId="11" fontId="0" fillId="14" borderId="0" xfId="0" applyNumberFormat="1" applyFill="1" applyAlignment="1">
      <alignment horizontal="left"/>
    </xf>
    <xf numFmtId="199" fontId="0" fillId="0" borderId="0" xfId="0" applyNumberFormat="1" applyFill="1"/>
    <xf numFmtId="178" fontId="0" fillId="14" borderId="0" xfId="0" applyNumberFormat="1" applyFill="1" applyAlignment="1">
      <alignment horizontal="left"/>
    </xf>
    <xf numFmtId="0" fontId="69" fillId="0" borderId="0" xfId="0" applyFont="1" applyAlignment="1">
      <alignment horizontal="left" vertical="center"/>
    </xf>
    <xf numFmtId="0" fontId="0" fillId="7" borderId="0" xfId="0" applyFill="1" applyAlignment="1">
      <alignment horizontal="left"/>
    </xf>
    <xf numFmtId="0" fontId="53" fillId="8" borderId="0" xfId="0" applyFont="1" applyFill="1"/>
    <xf numFmtId="0" fontId="55" fillId="0" borderId="0" xfId="0" applyFont="1" applyAlignment="1">
      <alignment horizontal="right"/>
    </xf>
    <xf numFmtId="0" fontId="22" fillId="0" borderId="0" xfId="0" applyFont="1" applyAlignment="1">
      <alignment horizontal="right"/>
    </xf>
    <xf numFmtId="0" fontId="13" fillId="0" borderId="0" xfId="0" applyFont="1" applyFill="1" applyAlignment="1">
      <alignment vertical="center"/>
    </xf>
    <xf numFmtId="178" fontId="0" fillId="6" borderId="0" xfId="0" applyNumberFormat="1" applyFill="1" applyAlignment="1">
      <alignment horizontal="left"/>
    </xf>
    <xf numFmtId="0" fontId="59" fillId="6" borderId="0" xfId="0" applyFont="1" applyFill="1" applyAlignment="1">
      <alignment horizontal="right"/>
    </xf>
    <xf numFmtId="0" fontId="8" fillId="6" borderId="0" xfId="0" applyFont="1" applyFill="1" applyAlignment="1">
      <alignment horizontal="right"/>
    </xf>
    <xf numFmtId="0" fontId="70" fillId="0" borderId="0" xfId="0" applyFont="1" applyAlignment="1">
      <alignment horizontal="right"/>
    </xf>
    <xf numFmtId="0" fontId="0" fillId="0" borderId="0" xfId="0" applyFont="1" applyAlignment="1">
      <alignment horizontal="right"/>
    </xf>
    <xf numFmtId="0" fontId="71" fillId="0" borderId="0" xfId="0" applyFont="1" applyAlignment="1">
      <alignment horizontal="right"/>
    </xf>
    <xf numFmtId="0" fontId="72" fillId="6" borderId="0" xfId="0" applyFont="1" applyFill="1"/>
    <xf numFmtId="0" fontId="73" fillId="6" borderId="0" xfId="0" applyFont="1" applyFill="1" applyAlignment="1">
      <alignment horizontal="left"/>
    </xf>
    <xf numFmtId="0" fontId="33" fillId="10" borderId="0" xfId="0" applyFont="1" applyFill="1"/>
    <xf numFmtId="0" fontId="74" fillId="10" borderId="0" xfId="0" applyFont="1" applyFill="1" applyAlignment="1">
      <alignment horizontal="left" vertical="top"/>
    </xf>
    <xf numFmtId="0" fontId="74" fillId="10" borderId="0" xfId="0" applyFont="1" applyFill="1" applyBorder="1" applyAlignment="1">
      <alignment horizontal="left" vertical="top"/>
    </xf>
    <xf numFmtId="0" fontId="41" fillId="10" borderId="0" xfId="0" applyFont="1" applyFill="1" applyBorder="1" applyAlignment="1">
      <alignment horizontal="center" vertical="center"/>
    </xf>
    <xf numFmtId="0" fontId="33" fillId="10" borderId="0" xfId="0" applyFont="1" applyFill="1" applyAlignment="1">
      <alignment horizontal="left"/>
    </xf>
    <xf numFmtId="0" fontId="75" fillId="0" borderId="0" xfId="0" applyFont="1" applyFill="1" applyBorder="1" applyAlignment="1">
      <alignment horizontal="left" vertical="center"/>
    </xf>
    <xf numFmtId="0" fontId="76" fillId="10" borderId="0" xfId="0" applyFont="1" applyFill="1"/>
    <xf numFmtId="0" fontId="74" fillId="10" borderId="0" xfId="0" applyFont="1" applyFill="1" applyBorder="1" applyAlignment="1">
      <alignment horizontal="left" vertical="center"/>
    </xf>
    <xf numFmtId="0" fontId="33" fillId="0" borderId="1" xfId="0" applyFont="1" applyBorder="1" applyAlignment="1">
      <alignment horizontal="center"/>
    </xf>
    <xf numFmtId="0" fontId="33" fillId="6" borderId="1" xfId="0" applyFont="1" applyFill="1" applyBorder="1"/>
    <xf numFmtId="0" fontId="33" fillId="0" borderId="1" xfId="0" applyFont="1" applyBorder="1"/>
    <xf numFmtId="0" fontId="33" fillId="0" borderId="1" xfId="0" applyFont="1" applyBorder="1" applyAlignment="1">
      <alignment horizontal="left"/>
    </xf>
    <xf numFmtId="187" fontId="30" fillId="14" borderId="1" xfId="0" applyNumberFormat="1" applyFont="1" applyFill="1" applyBorder="1"/>
    <xf numFmtId="0" fontId="33" fillId="6" borderId="1" xfId="0" applyFont="1" applyFill="1" applyBorder="1" applyAlignment="1">
      <alignment horizontal="center"/>
    </xf>
    <xf numFmtId="176" fontId="33" fillId="0" borderId="1" xfId="0" applyNumberFormat="1" applyFont="1" applyBorder="1" applyAlignment="1">
      <alignment horizontal="center"/>
    </xf>
    <xf numFmtId="0" fontId="48" fillId="0" borderId="1" xfId="0" applyFont="1" applyBorder="1"/>
    <xf numFmtId="0" fontId="2" fillId="0" borderId="0" xfId="0" applyFont="1"/>
    <xf numFmtId="0" fontId="33" fillId="6" borderId="0" xfId="0" applyFont="1" applyFill="1"/>
    <xf numFmtId="0" fontId="33" fillId="14" borderId="0" xfId="0" applyFont="1" applyFill="1"/>
    <xf numFmtId="0" fontId="33" fillId="14" borderId="0" xfId="0" applyFont="1" applyFill="1" applyAlignment="1">
      <alignment horizontal="left"/>
    </xf>
    <xf numFmtId="0" fontId="2" fillId="10" borderId="0" xfId="0" applyFont="1" applyFill="1" applyAlignment="1">
      <alignment vertical="center"/>
    </xf>
    <xf numFmtId="0" fontId="30" fillId="10" borderId="0" xfId="0" applyFont="1" applyFill="1" applyAlignment="1">
      <alignment vertical="center"/>
    </xf>
    <xf numFmtId="0" fontId="30" fillId="0" borderId="0" xfId="0" applyFont="1"/>
    <xf numFmtId="0" fontId="30" fillId="15" borderId="0" xfId="0" applyFont="1" applyFill="1" applyAlignment="1">
      <alignment horizontal="left"/>
    </xf>
    <xf numFmtId="0" fontId="30" fillId="6" borderId="0" xfId="0" applyFont="1" applyFill="1"/>
    <xf numFmtId="0" fontId="30" fillId="0" borderId="0" xfId="0" applyFont="1" applyFill="1" applyAlignment="1">
      <alignment horizontal="right"/>
    </xf>
    <xf numFmtId="0" fontId="2" fillId="0" borderId="0" xfId="0" applyFont="1" applyAlignment="1">
      <alignment horizontal="right"/>
    </xf>
    <xf numFmtId="0" fontId="33" fillId="6" borderId="0" xfId="0" applyFont="1" applyFill="1" applyAlignment="1">
      <alignment horizontal="left"/>
    </xf>
    <xf numFmtId="0" fontId="30" fillId="8" borderId="0" xfId="0" applyFont="1" applyFill="1"/>
    <xf numFmtId="0" fontId="30" fillId="0" borderId="0" xfId="0" applyFont="1" applyFill="1" applyBorder="1"/>
    <xf numFmtId="0" fontId="30" fillId="0" borderId="0" xfId="0" applyFont="1" applyFill="1" applyBorder="1" applyAlignment="1">
      <alignment horizontal="right"/>
    </xf>
    <xf numFmtId="0" fontId="30" fillId="15" borderId="0" xfId="0" applyFont="1" applyFill="1" applyBorder="1" applyAlignment="1">
      <alignment horizontal="left"/>
    </xf>
    <xf numFmtId="0" fontId="30" fillId="0" borderId="0" xfId="0" applyFont="1" applyBorder="1"/>
    <xf numFmtId="0" fontId="30" fillId="0" borderId="0" xfId="0" applyFont="1" applyBorder="1" applyAlignment="1">
      <alignment vertical="center"/>
    </xf>
    <xf numFmtId="0" fontId="30" fillId="8" borderId="0" xfId="0" applyFont="1" applyFill="1" applyBorder="1"/>
    <xf numFmtId="0" fontId="30" fillId="0" borderId="0" xfId="0" applyFont="1" applyFill="1" applyBorder="1" applyAlignment="1">
      <alignment horizontal="left"/>
    </xf>
    <xf numFmtId="0" fontId="30" fillId="10" borderId="0" xfId="0" applyFont="1" applyFill="1" applyBorder="1"/>
    <xf numFmtId="0" fontId="30" fillId="10" borderId="0" xfId="0" applyFont="1" applyFill="1" applyBorder="1" applyAlignment="1">
      <alignment horizontal="right"/>
    </xf>
    <xf numFmtId="0" fontId="30" fillId="10" borderId="0" xfId="0" applyFont="1" applyFill="1" applyBorder="1" applyAlignment="1">
      <alignment horizontal="left"/>
    </xf>
    <xf numFmtId="0" fontId="30" fillId="10" borderId="0" xfId="0" applyFont="1" applyFill="1" applyBorder="1" applyAlignment="1">
      <alignment vertical="center"/>
    </xf>
    <xf numFmtId="0" fontId="30" fillId="0" borderId="0" xfId="0" applyFont="1" applyFill="1" applyAlignment="1">
      <alignment horizontal="left"/>
    </xf>
    <xf numFmtId="0" fontId="77" fillId="0" borderId="0" xfId="0" applyFont="1" applyAlignment="1">
      <alignment horizontal="left"/>
    </xf>
    <xf numFmtId="0" fontId="30" fillId="14" borderId="0" xfId="0" applyFont="1" applyFill="1"/>
    <xf numFmtId="0" fontId="30" fillId="14" borderId="0" xfId="0" applyFont="1" applyFill="1" applyAlignment="1">
      <alignment horizontal="right"/>
    </xf>
    <xf numFmtId="0" fontId="30" fillId="14" borderId="0" xfId="0" applyFont="1" applyFill="1" applyAlignment="1">
      <alignment horizontal="left"/>
    </xf>
    <xf numFmtId="0" fontId="30" fillId="0" borderId="0" xfId="0" applyFont="1" applyAlignment="1">
      <alignment horizontal="left"/>
    </xf>
    <xf numFmtId="0" fontId="78" fillId="0" borderId="0" xfId="0" applyFont="1"/>
    <xf numFmtId="0" fontId="30" fillId="14" borderId="0" xfId="0" applyNumberFormat="1" applyFont="1" applyFill="1" applyAlignment="1">
      <alignment horizontal="left"/>
    </xf>
    <xf numFmtId="0" fontId="33" fillId="0" borderId="0" xfId="0" applyFont="1" applyAlignment="1">
      <alignment horizontal="right"/>
    </xf>
    <xf numFmtId="0" fontId="2" fillId="0" borderId="0" xfId="0" applyFont="1" applyAlignment="1">
      <alignment vertical="center"/>
    </xf>
    <xf numFmtId="0" fontId="30" fillId="0" borderId="0" xfId="0" applyFont="1" applyAlignment="1">
      <alignment vertical="center"/>
    </xf>
    <xf numFmtId="178" fontId="30" fillId="14" borderId="0" xfId="0" applyNumberFormat="1" applyFont="1" applyFill="1" applyBorder="1" applyAlignment="1">
      <alignment horizontal="left"/>
    </xf>
    <xf numFmtId="0" fontId="30" fillId="6" borderId="0" xfId="0" applyFont="1" applyFill="1" applyBorder="1" applyAlignment="1">
      <alignment horizontal="left"/>
    </xf>
    <xf numFmtId="0" fontId="30" fillId="14" borderId="0" xfId="0" applyFont="1" applyFill="1" applyBorder="1" applyAlignment="1">
      <alignment horizontal="left"/>
    </xf>
    <xf numFmtId="184" fontId="30" fillId="15" borderId="0" xfId="0" applyNumberFormat="1" applyFont="1" applyFill="1" applyAlignment="1">
      <alignment horizontal="left"/>
    </xf>
    <xf numFmtId="187" fontId="30" fillId="15" borderId="0" xfId="0" applyNumberFormat="1" applyFont="1" applyFill="1" applyAlignment="1">
      <alignment horizontal="left"/>
    </xf>
    <xf numFmtId="176" fontId="30" fillId="14" borderId="0" xfId="0" applyNumberFormat="1" applyFont="1" applyFill="1" applyAlignment="1">
      <alignment horizontal="left"/>
    </xf>
    <xf numFmtId="176" fontId="30" fillId="0" borderId="0" xfId="0" applyNumberFormat="1" applyFont="1" applyFill="1" applyAlignment="1">
      <alignment horizontal="left"/>
    </xf>
    <xf numFmtId="178" fontId="30" fillId="15" borderId="0" xfId="0" applyNumberFormat="1" applyFont="1" applyFill="1" applyAlignment="1">
      <alignment horizontal="left"/>
    </xf>
    <xf numFmtId="178" fontId="30" fillId="0" borderId="0" xfId="0" applyNumberFormat="1" applyFont="1"/>
    <xf numFmtId="178" fontId="30" fillId="14" borderId="0" xfId="0" applyNumberFormat="1" applyFont="1" applyFill="1" applyAlignment="1">
      <alignment horizontal="left"/>
    </xf>
    <xf numFmtId="178" fontId="30" fillId="8" borderId="0" xfId="0" applyNumberFormat="1" applyFont="1" applyFill="1" applyAlignment="1">
      <alignment horizontal="left"/>
    </xf>
    <xf numFmtId="178" fontId="30" fillId="7" borderId="0" xfId="0" applyNumberFormat="1" applyFont="1" applyFill="1" applyAlignment="1">
      <alignment horizontal="left"/>
    </xf>
    <xf numFmtId="0" fontId="30" fillId="7" borderId="0" xfId="0" applyFont="1" applyFill="1"/>
    <xf numFmtId="178" fontId="30" fillId="6" borderId="0" xfId="0" applyNumberFormat="1" applyFont="1" applyFill="1" applyAlignment="1">
      <alignment horizontal="left"/>
    </xf>
    <xf numFmtId="178" fontId="30" fillId="8" borderId="0" xfId="0" applyNumberFormat="1" applyFont="1" applyFill="1"/>
    <xf numFmtId="178" fontId="30" fillId="0" borderId="0" xfId="0" applyNumberFormat="1" applyFont="1" applyFill="1" applyAlignment="1">
      <alignment horizontal="left"/>
    </xf>
    <xf numFmtId="0" fontId="2" fillId="8" borderId="0" xfId="0" applyFont="1" applyFill="1" applyAlignment="1">
      <alignment vertical="center"/>
    </xf>
    <xf numFmtId="0" fontId="30" fillId="8" borderId="0" xfId="0" applyFont="1" applyFill="1" applyAlignment="1">
      <alignment horizontal="left"/>
    </xf>
    <xf numFmtId="0" fontId="78" fillId="0" borderId="0" xfId="0" applyFont="1" applyAlignment="1">
      <alignment vertical="center"/>
    </xf>
    <xf numFmtId="0" fontId="30" fillId="0" borderId="0" xfId="0" applyFont="1" applyAlignment="1">
      <alignment horizontal="left" vertical="center"/>
    </xf>
    <xf numFmtId="0" fontId="30" fillId="16" borderId="0" xfId="0" applyFont="1" applyFill="1" applyAlignment="1">
      <alignment horizontal="left"/>
    </xf>
    <xf numFmtId="0" fontId="33" fillId="8" borderId="0" xfId="0" applyFont="1" applyFill="1"/>
    <xf numFmtId="0" fontId="30" fillId="0" borderId="0" xfId="0" applyFont="1" applyAlignment="1">
      <alignment horizontal="right" vertical="center"/>
    </xf>
    <xf numFmtId="0" fontId="30" fillId="0" borderId="0" xfId="0" applyFont="1" applyFill="1" applyAlignment="1">
      <alignment horizontal="left" vertical="center"/>
    </xf>
    <xf numFmtId="0" fontId="30" fillId="6" borderId="0" xfId="0" applyFont="1" applyFill="1" applyAlignment="1">
      <alignment horizontal="left"/>
    </xf>
    <xf numFmtId="0" fontId="78" fillId="13" borderId="0" xfId="0" applyFont="1" applyFill="1"/>
    <xf numFmtId="0" fontId="33" fillId="0" borderId="0" xfId="0" applyFont="1" applyFill="1" applyAlignment="1">
      <alignment horizontal="left"/>
    </xf>
    <xf numFmtId="179" fontId="30" fillId="0" borderId="0" xfId="0" applyNumberFormat="1" applyFont="1" applyFill="1" applyAlignment="1">
      <alignment horizontal="left"/>
    </xf>
    <xf numFmtId="179" fontId="30" fillId="6" borderId="0" xfId="0" applyNumberFormat="1" applyFont="1" applyFill="1" applyAlignment="1">
      <alignment horizontal="left"/>
    </xf>
    <xf numFmtId="0" fontId="30" fillId="17" borderId="0" xfId="0" applyFont="1" applyFill="1" applyAlignment="1">
      <alignment horizontal="left"/>
    </xf>
    <xf numFmtId="0" fontId="33" fillId="7" borderId="0" xfId="0" applyFont="1" applyFill="1"/>
    <xf numFmtId="0" fontId="30" fillId="7" borderId="0" xfId="0" applyFont="1" applyFill="1" applyAlignment="1">
      <alignment horizontal="right"/>
    </xf>
    <xf numFmtId="0" fontId="5" fillId="0" borderId="0" xfId="0" applyFont="1" applyAlignment="1">
      <alignment horizontal="right"/>
    </xf>
    <xf numFmtId="0" fontId="79" fillId="0" borderId="0" xfId="0" applyFont="1"/>
    <xf numFmtId="0" fontId="33" fillId="17" borderId="0" xfId="0" applyFont="1" applyFill="1" applyAlignment="1">
      <alignment horizontal="left"/>
    </xf>
    <xf numFmtId="0" fontId="33" fillId="8" borderId="0" xfId="0" applyFont="1" applyFill="1" applyAlignment="1">
      <alignment horizontal="left"/>
    </xf>
    <xf numFmtId="0" fontId="80" fillId="7" borderId="0" xfId="0" applyFont="1" applyFill="1" applyAlignment="1">
      <alignment horizontal="right"/>
    </xf>
    <xf numFmtId="179" fontId="30" fillId="0" borderId="0" xfId="0" applyNumberFormat="1" applyFont="1" applyFill="1" applyAlignment="1">
      <alignment horizontal="left" vertical="center"/>
    </xf>
    <xf numFmtId="196" fontId="33" fillId="14" borderId="0" xfId="0" applyNumberFormat="1" applyFont="1" applyFill="1" applyAlignment="1">
      <alignment horizontal="left"/>
    </xf>
    <xf numFmtId="0" fontId="81" fillId="0" borderId="0" xfId="0" applyFont="1" applyAlignment="1">
      <alignment horizontal="right"/>
    </xf>
    <xf numFmtId="0" fontId="30" fillId="0" borderId="0" xfId="0" applyFont="1" applyFill="1" applyAlignment="1">
      <alignment horizontal="right" vertical="center"/>
    </xf>
    <xf numFmtId="11" fontId="33" fillId="14" borderId="0" xfId="0" applyNumberFormat="1" applyFont="1" applyFill="1" applyAlignment="1">
      <alignment horizontal="left"/>
    </xf>
    <xf numFmtId="199" fontId="33" fillId="0" borderId="0" xfId="0" applyNumberFormat="1" applyFont="1" applyFill="1"/>
    <xf numFmtId="178" fontId="33" fillId="14" borderId="0" xfId="0" applyNumberFormat="1" applyFont="1" applyFill="1" applyAlignment="1">
      <alignment horizontal="left"/>
    </xf>
    <xf numFmtId="0" fontId="82" fillId="0" borderId="0" xfId="0" applyFont="1" applyAlignment="1">
      <alignment horizontal="left" vertical="center"/>
    </xf>
    <xf numFmtId="0" fontId="33" fillId="7" borderId="0" xfId="0" applyFont="1" applyFill="1" applyAlignment="1">
      <alignment horizontal="left"/>
    </xf>
    <xf numFmtId="0" fontId="15" fillId="0" borderId="0" xfId="0" applyFont="1" applyAlignment="1">
      <alignment horizontal="right"/>
    </xf>
    <xf numFmtId="0" fontId="2" fillId="0" borderId="0" xfId="0" applyFont="1" applyFill="1" applyAlignment="1">
      <alignment vertical="center"/>
    </xf>
    <xf numFmtId="178" fontId="33" fillId="6" borderId="0" xfId="0" applyNumberFormat="1" applyFont="1" applyFill="1" applyAlignment="1">
      <alignment horizontal="left"/>
    </xf>
    <xf numFmtId="0" fontId="33" fillId="6" borderId="0" xfId="0" applyFont="1" applyFill="1" applyAlignment="1">
      <alignment horizontal="right"/>
    </xf>
    <xf numFmtId="0" fontId="30" fillId="6" borderId="0" xfId="0" applyFont="1" applyFill="1" applyAlignment="1">
      <alignment horizontal="right"/>
    </xf>
    <xf numFmtId="0" fontId="83" fillId="0" borderId="0" xfId="0" applyFont="1" applyAlignment="1">
      <alignment horizontal="right"/>
    </xf>
    <xf numFmtId="0" fontId="51" fillId="0" borderId="0" xfId="0" applyFont="1" applyAlignment="1">
      <alignment horizontal="right"/>
    </xf>
    <xf numFmtId="0" fontId="36" fillId="6" borderId="0" xfId="0" applyFont="1" applyFill="1"/>
    <xf numFmtId="0" fontId="30" fillId="0" borderId="0" xfId="0" applyFont="1" applyFill="1" applyAlignment="1">
      <alignment vertical="center"/>
    </xf>
    <xf numFmtId="0" fontId="11" fillId="0" borderId="0" xfId="0" applyFont="1" applyBorder="1" applyAlignment="1">
      <alignment horizontal="center" vertical="center"/>
    </xf>
    <xf numFmtId="178" fontId="12" fillId="0" borderId="0" xfId="0" applyNumberFormat="1" applyFont="1" applyBorder="1" applyAlignment="1">
      <alignment horizontal="center" vertical="center"/>
    </xf>
    <xf numFmtId="0" fontId="0" fillId="0" borderId="0" xfId="0" applyBorder="1"/>
    <xf numFmtId="0" fontId="146" fillId="0" borderId="1" xfId="0" applyFont="1" applyBorder="1" applyAlignment="1">
      <alignment horizontal="center" vertical="center"/>
    </xf>
    <xf numFmtId="0" fontId="144" fillId="0" borderId="1" xfId="0" applyFont="1" applyBorder="1" applyAlignment="1">
      <alignment horizontal="center" vertical="center"/>
    </xf>
    <xf numFmtId="0" fontId="0" fillId="0" borderId="1" xfId="0" applyBorder="1" applyAlignment="1">
      <alignment horizontal="center" vertical="center"/>
    </xf>
    <xf numFmtId="178" fontId="0" fillId="0" borderId="1" xfId="0" applyNumberFormat="1" applyBorder="1" applyAlignment="1">
      <alignment horizontal="center" vertical="center"/>
    </xf>
    <xf numFmtId="0" fontId="144" fillId="0" borderId="1" xfId="0" applyFont="1" applyFill="1" applyBorder="1" applyAlignment="1">
      <alignment horizontal="center" vertical="center"/>
    </xf>
    <xf numFmtId="0" fontId="149" fillId="0" borderId="1" xfId="0" applyFont="1" applyBorder="1" applyAlignment="1">
      <alignment horizontal="center" vertical="center"/>
    </xf>
    <xf numFmtId="178" fontId="12" fillId="0" borderId="14" xfId="0" applyNumberFormat="1" applyFont="1" applyBorder="1" applyAlignment="1">
      <alignment horizontal="center" vertical="center"/>
    </xf>
    <xf numFmtId="0" fontId="12" fillId="0" borderId="15" xfId="0" applyFont="1" applyBorder="1" applyAlignment="1">
      <alignment horizontal="center" vertical="center"/>
    </xf>
    <xf numFmtId="0" fontId="152" fillId="0" borderId="1" xfId="0" applyFont="1" applyBorder="1" applyAlignment="1">
      <alignment horizontal="left" vertical="center" wrapText="1"/>
    </xf>
    <xf numFmtId="0" fontId="153" fillId="0" borderId="1" xfId="0" applyFont="1" applyFill="1" applyBorder="1" applyAlignment="1">
      <alignment horizontal="center" vertical="center"/>
    </xf>
    <xf numFmtId="0" fontId="33" fillId="0" borderId="1" xfId="0" applyFont="1" applyBorder="1" applyAlignment="1">
      <alignment horizontal="center"/>
    </xf>
    <xf numFmtId="0" fontId="59" fillId="0" borderId="13" xfId="0" applyFont="1" applyBorder="1" applyAlignment="1">
      <alignment horizontal="center"/>
    </xf>
    <xf numFmtId="0" fontId="33" fillId="0" borderId="14" xfId="0" applyFont="1" applyBorder="1" applyAlignment="1">
      <alignment horizontal="center"/>
    </xf>
    <xf numFmtId="0" fontId="33" fillId="0" borderId="15" xfId="0" applyFont="1" applyBorder="1" applyAlignment="1">
      <alignment horizontal="center"/>
    </xf>
    <xf numFmtId="0" fontId="59" fillId="0" borderId="28" xfId="0" applyFont="1" applyFill="1" applyBorder="1" applyAlignment="1">
      <alignment horizontal="center" vertical="center"/>
    </xf>
    <xf numFmtId="0" fontId="33" fillId="0" borderId="26" xfId="0" applyFont="1" applyFill="1" applyBorder="1" applyAlignment="1">
      <alignment horizontal="center" vertical="center"/>
    </xf>
    <xf numFmtId="0" fontId="33" fillId="0" borderId="21" xfId="0" applyFont="1" applyFill="1" applyBorder="1" applyAlignment="1">
      <alignment horizontal="center" vertical="center"/>
    </xf>
    <xf numFmtId="0" fontId="33" fillId="0" borderId="29" xfId="0" applyFont="1" applyFill="1" applyBorder="1" applyAlignment="1">
      <alignment horizontal="center" vertical="center"/>
    </xf>
    <xf numFmtId="0" fontId="33" fillId="0" borderId="0" xfId="0" applyFont="1" applyFill="1" applyBorder="1" applyAlignment="1">
      <alignment horizontal="center" vertical="center"/>
    </xf>
    <xf numFmtId="0" fontId="33" fillId="0" borderId="22" xfId="0" applyFont="1" applyFill="1" applyBorder="1" applyAlignment="1">
      <alignment horizontal="center" vertical="center"/>
    </xf>
    <xf numFmtId="0" fontId="33" fillId="0" borderId="30" xfId="0" applyFont="1" applyFill="1" applyBorder="1" applyAlignment="1">
      <alignment horizontal="center" vertical="center"/>
    </xf>
    <xf numFmtId="0" fontId="33" fillId="0" borderId="27" xfId="0" applyFont="1" applyFill="1" applyBorder="1" applyAlignment="1">
      <alignment horizontal="center" vertical="center"/>
    </xf>
    <xf numFmtId="0" fontId="33" fillId="0" borderId="23" xfId="0" applyFont="1" applyFill="1" applyBorder="1" applyAlignment="1">
      <alignment horizontal="center" vertical="center"/>
    </xf>
    <xf numFmtId="0" fontId="30" fillId="0" borderId="0" xfId="0" applyFont="1" applyAlignment="1">
      <alignment horizontal="right"/>
    </xf>
    <xf numFmtId="0" fontId="30" fillId="8" borderId="0" xfId="0" applyFont="1" applyFill="1" applyAlignment="1">
      <alignment vertical="center" wrapText="1"/>
    </xf>
    <xf numFmtId="0" fontId="33" fillId="8" borderId="0" xfId="0" applyFont="1" applyFill="1" applyAlignment="1">
      <alignment vertical="center" wrapText="1"/>
    </xf>
    <xf numFmtId="0" fontId="33" fillId="8" borderId="0" xfId="0" applyFont="1" applyFill="1" applyAlignment="1">
      <alignment horizontal="center"/>
    </xf>
    <xf numFmtId="0" fontId="30" fillId="0" borderId="0" xfId="0" applyFont="1" applyAlignment="1">
      <alignment horizontal="left"/>
    </xf>
    <xf numFmtId="0" fontId="33" fillId="0" borderId="0" xfId="0" applyFont="1" applyAlignment="1">
      <alignment horizontal="center" vertical="center" wrapText="1"/>
    </xf>
    <xf numFmtId="0" fontId="0" fillId="0" borderId="0" xfId="0" applyAlignment="1">
      <alignment horizontal="center"/>
    </xf>
    <xf numFmtId="0" fontId="8" fillId="0" borderId="0" xfId="0" applyFont="1" applyAlignment="1">
      <alignment horizontal="right"/>
    </xf>
    <xf numFmtId="0" fontId="8" fillId="8" borderId="0" xfId="0" applyFont="1" applyFill="1" applyAlignment="1">
      <alignment vertical="center" wrapText="1"/>
    </xf>
    <xf numFmtId="0" fontId="0" fillId="8" borderId="0" xfId="0" applyFill="1" applyAlignment="1">
      <alignment vertical="center" wrapText="1"/>
    </xf>
    <xf numFmtId="0" fontId="0" fillId="8" borderId="0" xfId="0" applyFill="1" applyAlignment="1">
      <alignment horizontal="center"/>
    </xf>
    <xf numFmtId="0" fontId="8" fillId="0" borderId="0" xfId="0" applyFont="1" applyAlignment="1">
      <alignment horizontal="left"/>
    </xf>
    <xf numFmtId="0" fontId="1" fillId="0" borderId="0" xfId="0" applyFont="1" applyAlignment="1">
      <alignment horizontal="center" vertical="center" wrapText="1"/>
    </xf>
    <xf numFmtId="0" fontId="0" fillId="0" borderId="0" xfId="0" applyAlignment="1">
      <alignment horizontal="center" vertical="center" wrapText="1"/>
    </xf>
    <xf numFmtId="0" fontId="40" fillId="10" borderId="0" xfId="0" applyFont="1" applyFill="1" applyAlignment="1">
      <alignment horizontal="left" vertical="top"/>
    </xf>
    <xf numFmtId="0" fontId="42" fillId="0" borderId="27" xfId="0" applyFont="1" applyFill="1" applyBorder="1" applyAlignment="1">
      <alignment horizontal="center"/>
    </xf>
    <xf numFmtId="0" fontId="15" fillId="7" borderId="1" xfId="0" applyFont="1" applyFill="1" applyBorder="1" applyAlignment="1">
      <alignment horizontal="left"/>
    </xf>
    <xf numFmtId="0" fontId="15" fillId="0" borderId="1" xfId="0" applyFont="1" applyFill="1" applyBorder="1" applyAlignment="1">
      <alignment horizontal="left"/>
    </xf>
    <xf numFmtId="0" fontId="17" fillId="0" borderId="1" xfId="0" applyFont="1" applyFill="1" applyBorder="1" applyAlignment="1">
      <alignment horizontal="left"/>
    </xf>
    <xf numFmtId="0" fontId="15" fillId="0" borderId="1" xfId="0" applyFont="1" applyBorder="1" applyAlignment="1">
      <alignment horizontal="center"/>
    </xf>
    <xf numFmtId="0" fontId="19" fillId="0" borderId="1" xfId="0" applyFont="1" applyBorder="1" applyAlignment="1">
      <alignment horizontal="center"/>
    </xf>
    <xf numFmtId="0" fontId="13" fillId="10" borderId="26" xfId="0" applyFont="1" applyFill="1" applyBorder="1" applyAlignment="1">
      <alignment horizontal="center" vertical="center"/>
    </xf>
    <xf numFmtId="0" fontId="15" fillId="11" borderId="5" xfId="0" applyFont="1" applyFill="1" applyBorder="1" applyAlignment="1">
      <alignment horizontal="center" vertical="center"/>
    </xf>
    <xf numFmtId="0" fontId="15" fillId="11" borderId="25" xfId="0" applyFont="1" applyFill="1" applyBorder="1" applyAlignment="1">
      <alignment horizontal="center" vertical="center"/>
    </xf>
    <xf numFmtId="0" fontId="15" fillId="11" borderId="6" xfId="0" applyFont="1" applyFill="1" applyBorder="1" applyAlignment="1">
      <alignment horizontal="center" vertical="center"/>
    </xf>
    <xf numFmtId="0" fontId="8" fillId="0" borderId="27" xfId="0" applyFont="1" applyBorder="1" applyAlignment="1"/>
    <xf numFmtId="0" fontId="5" fillId="0" borderId="13" xfId="0" applyFont="1" applyBorder="1" applyAlignment="1">
      <alignment horizontal="center"/>
    </xf>
    <xf numFmtId="0" fontId="5" fillId="0" borderId="14" xfId="0" applyFont="1" applyBorder="1" applyAlignment="1">
      <alignment horizontal="center"/>
    </xf>
    <xf numFmtId="0" fontId="5" fillId="0" borderId="15" xfId="0" applyFont="1" applyBorder="1" applyAlignment="1">
      <alignment horizontal="center"/>
    </xf>
    <xf numFmtId="0" fontId="5" fillId="0" borderId="1" xfId="0" applyFont="1" applyBorder="1" applyAlignment="1">
      <alignment horizontal="center"/>
    </xf>
    <xf numFmtId="0" fontId="15" fillId="0" borderId="13" xfId="0" applyFont="1" applyBorder="1" applyAlignment="1">
      <alignment horizontal="center"/>
    </xf>
    <xf numFmtId="0" fontId="15" fillId="0" borderId="14" xfId="0" applyFont="1" applyBorder="1" applyAlignment="1">
      <alignment horizontal="center"/>
    </xf>
    <xf numFmtId="0" fontId="15" fillId="0" borderId="15" xfId="0" applyFont="1" applyBorder="1" applyAlignment="1">
      <alignment horizontal="center"/>
    </xf>
    <xf numFmtId="0" fontId="14" fillId="0" borderId="13" xfId="0" applyFont="1" applyBorder="1" applyAlignment="1">
      <alignment horizontal="center"/>
    </xf>
    <xf numFmtId="0" fontId="14" fillId="0" borderId="14" xfId="0" applyFont="1" applyBorder="1" applyAlignment="1">
      <alignment horizontal="center"/>
    </xf>
    <xf numFmtId="0" fontId="14" fillId="0" borderId="15" xfId="0" applyFont="1" applyBorder="1" applyAlignment="1">
      <alignment horizontal="center"/>
    </xf>
    <xf numFmtId="0" fontId="22" fillId="0" borderId="1" xfId="0" applyFont="1" applyBorder="1" applyAlignment="1">
      <alignment horizontal="center"/>
    </xf>
    <xf numFmtId="0" fontId="14" fillId="0" borderId="28" xfId="0" applyFont="1" applyBorder="1" applyAlignment="1">
      <alignment horizontal="center"/>
    </xf>
    <xf numFmtId="0" fontId="14" fillId="0" borderId="26" xfId="0" applyFont="1" applyBorder="1" applyAlignment="1">
      <alignment horizontal="center"/>
    </xf>
    <xf numFmtId="0" fontId="14" fillId="0" borderId="21" xfId="0" applyFont="1" applyBorder="1" applyAlignment="1">
      <alignment horizontal="center"/>
    </xf>
    <xf numFmtId="0" fontId="13" fillId="10" borderId="1" xfId="0" applyFont="1" applyFill="1" applyBorder="1" applyAlignment="1">
      <alignment horizontal="center" vertical="center"/>
    </xf>
    <xf numFmtId="0" fontId="30" fillId="7" borderId="1" xfId="0" applyFont="1" applyFill="1" applyBorder="1" applyAlignment="1">
      <alignment horizontal="center"/>
    </xf>
    <xf numFmtId="0" fontId="30" fillId="11" borderId="1" xfId="0" applyFont="1" applyFill="1" applyBorder="1" applyAlignment="1">
      <alignment horizontal="center" vertical="center"/>
    </xf>
    <xf numFmtId="0" fontId="30" fillId="0" borderId="1" xfId="0" applyFont="1" applyBorder="1" applyAlignment="1">
      <alignment horizontal="center"/>
    </xf>
    <xf numFmtId="0" fontId="13" fillId="10" borderId="27" xfId="0" applyFont="1" applyFill="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30" fillId="7" borderId="13" xfId="0" applyFont="1" applyFill="1" applyBorder="1" applyAlignment="1">
      <alignment horizontal="center"/>
    </xf>
    <xf numFmtId="0" fontId="30" fillId="7" borderId="14" xfId="0" applyFont="1" applyFill="1" applyBorder="1" applyAlignment="1">
      <alignment horizontal="center"/>
    </xf>
    <xf numFmtId="0" fontId="5" fillId="0" borderId="13" xfId="0" applyFont="1" applyFill="1" applyBorder="1" applyAlignment="1">
      <alignment horizontal="center" vertical="center"/>
    </xf>
    <xf numFmtId="0" fontId="5" fillId="0" borderId="15" xfId="0" applyFont="1" applyFill="1" applyBorder="1" applyAlignment="1">
      <alignment horizontal="center" vertical="center"/>
    </xf>
    <xf numFmtId="0" fontId="14" fillId="6" borderId="13" xfId="0" applyFont="1" applyFill="1" applyBorder="1" applyAlignment="1">
      <alignment horizontal="center" vertical="center"/>
    </xf>
    <xf numFmtId="0" fontId="14" fillId="6" borderId="15" xfId="0" applyFont="1" applyFill="1" applyBorder="1" applyAlignment="1">
      <alignment horizontal="center" vertical="center"/>
    </xf>
    <xf numFmtId="0" fontId="5" fillId="0" borderId="14" xfId="0" applyFont="1" applyFill="1" applyBorder="1" applyAlignment="1">
      <alignment horizontal="center"/>
    </xf>
    <xf numFmtId="0" fontId="14" fillId="0" borderId="13" xfId="0" applyFont="1" applyFill="1" applyBorder="1" applyAlignment="1">
      <alignment horizontal="center"/>
    </xf>
    <xf numFmtId="0" fontId="5" fillId="0" borderId="15" xfId="0" applyFont="1" applyFill="1" applyBorder="1" applyAlignment="1">
      <alignment horizontal="center"/>
    </xf>
    <xf numFmtId="0" fontId="5" fillId="0" borderId="1" xfId="0" applyFont="1" applyFill="1" applyBorder="1" applyAlignment="1">
      <alignment horizontal="center" vertical="center"/>
    </xf>
    <xf numFmtId="0" fontId="16" fillId="0" borderId="1" xfId="0" applyFont="1" applyFill="1" applyBorder="1" applyAlignment="1">
      <alignment horizontal="center" vertical="center"/>
    </xf>
    <xf numFmtId="0" fontId="15" fillId="0" borderId="1" xfId="0" applyFont="1" applyFill="1" applyBorder="1" applyAlignment="1">
      <alignment horizontal="center" vertical="center"/>
    </xf>
    <xf numFmtId="0" fontId="5" fillId="0" borderId="13" xfId="0" applyFont="1" applyFill="1" applyBorder="1" applyAlignment="1">
      <alignment horizontal="center"/>
    </xf>
    <xf numFmtId="0" fontId="5" fillId="0" borderId="14" xfId="0" applyFont="1" applyFill="1" applyBorder="1" applyAlignment="1">
      <alignment horizontal="center" vertical="center"/>
    </xf>
    <xf numFmtId="0" fontId="14" fillId="0" borderId="14" xfId="0" applyFont="1" applyFill="1" applyBorder="1" applyAlignment="1">
      <alignment horizontal="center"/>
    </xf>
    <xf numFmtId="0" fontId="30" fillId="7" borderId="15" xfId="0" applyFont="1" applyFill="1" applyBorder="1" applyAlignment="1">
      <alignment horizontal="center"/>
    </xf>
    <xf numFmtId="0" fontId="15" fillId="0" borderId="13" xfId="0" applyFont="1" applyFill="1" applyBorder="1" applyAlignment="1">
      <alignment horizontal="center" vertical="center"/>
    </xf>
    <xf numFmtId="0" fontId="15" fillId="0" borderId="15" xfId="0" applyFont="1" applyFill="1" applyBorder="1" applyAlignment="1">
      <alignment horizontal="center" vertical="center"/>
    </xf>
    <xf numFmtId="0" fontId="16" fillId="0" borderId="27" xfId="0" applyFont="1" applyFill="1" applyBorder="1" applyAlignment="1">
      <alignment horizontal="center"/>
    </xf>
    <xf numFmtId="0" fontId="5" fillId="0" borderId="27" xfId="0" applyFont="1" applyFill="1" applyBorder="1" applyAlignment="1">
      <alignment horizontal="center"/>
    </xf>
    <xf numFmtId="0" fontId="30" fillId="0" borderId="13" xfId="0" applyFont="1" applyFill="1" applyBorder="1" applyAlignment="1">
      <alignment horizontal="center"/>
    </xf>
    <xf numFmtId="0" fontId="30" fillId="0" borderId="14" xfId="0" applyFont="1" applyFill="1" applyBorder="1" applyAlignment="1">
      <alignment horizontal="center"/>
    </xf>
    <xf numFmtId="0" fontId="5" fillId="6" borderId="15" xfId="0" applyFont="1" applyFill="1" applyBorder="1" applyAlignment="1">
      <alignment horizontal="center" vertical="center"/>
    </xf>
    <xf numFmtId="178" fontId="19" fillId="0" borderId="1" xfId="0" applyNumberFormat="1" applyFont="1" applyFill="1" applyBorder="1" applyAlignment="1">
      <alignment horizontal="center" vertical="center"/>
    </xf>
    <xf numFmtId="0" fontId="5" fillId="7" borderId="13" xfId="0" applyFont="1" applyFill="1" applyBorder="1" applyAlignment="1">
      <alignment horizontal="center" vertical="center"/>
    </xf>
    <xf numFmtId="0" fontId="5" fillId="7" borderId="15" xfId="0" applyFont="1" applyFill="1" applyBorder="1" applyAlignment="1">
      <alignment horizontal="center" vertical="center"/>
    </xf>
    <xf numFmtId="0" fontId="13" fillId="0" borderId="1" xfId="0" applyFont="1" applyFill="1" applyBorder="1" applyAlignment="1">
      <alignment horizontal="center" vertical="center"/>
    </xf>
    <xf numFmtId="0" fontId="5" fillId="7" borderId="1" xfId="0" applyFont="1" applyFill="1" applyBorder="1" applyAlignment="1">
      <alignment horizontal="center" vertical="center"/>
    </xf>
    <xf numFmtId="0" fontId="14" fillId="7" borderId="13" xfId="0" applyFont="1" applyFill="1" applyBorder="1" applyAlignment="1">
      <alignment horizontal="center" vertical="center"/>
    </xf>
    <xf numFmtId="0" fontId="5" fillId="7" borderId="1" xfId="0" applyFont="1" applyFill="1" applyBorder="1" applyAlignment="1">
      <alignment horizontal="center"/>
    </xf>
    <xf numFmtId="0" fontId="14" fillId="7" borderId="1" xfId="0" applyFont="1" applyFill="1" applyBorder="1" applyAlignment="1">
      <alignment horizontal="center"/>
    </xf>
    <xf numFmtId="0" fontId="5" fillId="7" borderId="1" xfId="0" applyFont="1" applyFill="1" applyBorder="1" applyAlignment="1">
      <alignment horizontal="left" vertical="center"/>
    </xf>
    <xf numFmtId="0" fontId="5" fillId="0" borderId="1" xfId="0" applyFont="1" applyBorder="1" applyAlignment="1">
      <alignment horizontal="left" vertical="center"/>
    </xf>
    <xf numFmtId="0" fontId="5" fillId="0" borderId="1" xfId="0" applyFont="1" applyFill="1" applyBorder="1" applyAlignment="1">
      <alignment horizontal="center"/>
    </xf>
    <xf numFmtId="0" fontId="21" fillId="0" borderId="1" xfId="0" applyFont="1" applyBorder="1" applyAlignment="1">
      <alignment horizontal="left" vertical="center"/>
    </xf>
    <xf numFmtId="0" fontId="21" fillId="0" borderId="1" xfId="0" applyFont="1" applyFill="1" applyBorder="1" applyAlignment="1">
      <alignment horizontal="center"/>
    </xf>
    <xf numFmtId="0" fontId="21" fillId="0" borderId="1" xfId="0" applyFont="1" applyBorder="1" applyAlignment="1">
      <alignment horizontal="center" vertical="center"/>
    </xf>
    <xf numFmtId="0" fontId="7" fillId="0" borderId="0" xfId="0" applyFont="1" applyAlignment="1">
      <alignment horizontal="center"/>
    </xf>
    <xf numFmtId="0" fontId="25" fillId="0" borderId="1" xfId="0" applyFont="1" applyFill="1" applyBorder="1" applyAlignment="1">
      <alignment horizontal="left" vertical="top" wrapText="1"/>
    </xf>
    <xf numFmtId="0" fontId="15" fillId="0" borderId="13" xfId="0" applyFont="1" applyFill="1" applyBorder="1" applyAlignment="1">
      <alignment horizontal="left" vertical="center"/>
    </xf>
    <xf numFmtId="0" fontId="15" fillId="0" borderId="14" xfId="0" applyFont="1" applyFill="1" applyBorder="1" applyAlignment="1">
      <alignment horizontal="left" vertical="center"/>
    </xf>
    <xf numFmtId="0" fontId="15" fillId="0" borderId="15" xfId="0" applyFont="1" applyFill="1" applyBorder="1" applyAlignment="1">
      <alignment horizontal="left" vertical="center"/>
    </xf>
    <xf numFmtId="0" fontId="15" fillId="0" borderId="14" xfId="0" applyFont="1" applyFill="1" applyBorder="1" applyAlignment="1">
      <alignment horizontal="center" vertical="center"/>
    </xf>
    <xf numFmtId="0" fontId="55" fillId="0" borderId="1" xfId="0" applyFont="1" applyBorder="1" applyAlignment="1">
      <alignment horizontal="center" vertical="center"/>
    </xf>
    <xf numFmtId="0" fontId="19" fillId="6" borderId="26" xfId="0" applyFont="1" applyFill="1" applyBorder="1" applyAlignment="1">
      <alignment horizontal="center"/>
    </xf>
    <xf numFmtId="0" fontId="15" fillId="7" borderId="1" xfId="0" applyFont="1" applyFill="1" applyBorder="1" applyAlignment="1">
      <alignment horizontal="center" vertical="center"/>
    </xf>
    <xf numFmtId="0" fontId="5" fillId="0" borderId="13" xfId="0" applyFont="1" applyFill="1" applyBorder="1" applyAlignment="1">
      <alignment horizontal="left" vertical="center"/>
    </xf>
    <xf numFmtId="0" fontId="5" fillId="0" borderId="14" xfId="0" applyFont="1" applyFill="1" applyBorder="1" applyAlignment="1">
      <alignment horizontal="left" vertical="center"/>
    </xf>
    <xf numFmtId="0" fontId="5" fillId="0" borderId="15" xfId="0" applyFont="1" applyFill="1" applyBorder="1" applyAlignment="1">
      <alignment horizontal="left" vertical="center"/>
    </xf>
    <xf numFmtId="0" fontId="0" fillId="7" borderId="0" xfId="0" applyFill="1" applyAlignment="1">
      <alignment horizontal="center"/>
    </xf>
    <xf numFmtId="0" fontId="0" fillId="0" borderId="0" xfId="0" applyFill="1" applyAlignment="1">
      <alignment horizontal="center"/>
    </xf>
    <xf numFmtId="0" fontId="19" fillId="6" borderId="13" xfId="0" applyFont="1" applyFill="1" applyBorder="1" applyAlignment="1">
      <alignment horizontal="center" vertical="center"/>
    </xf>
    <xf numFmtId="0" fontId="19" fillId="6" borderId="14" xfId="0" applyFont="1" applyFill="1" applyBorder="1" applyAlignment="1">
      <alignment horizontal="center" vertical="center"/>
    </xf>
    <xf numFmtId="0" fontId="19" fillId="6" borderId="15" xfId="0" applyFont="1" applyFill="1" applyBorder="1" applyAlignment="1">
      <alignment horizontal="center" vertical="center"/>
    </xf>
    <xf numFmtId="0" fontId="5" fillId="0" borderId="1" xfId="0" applyFont="1" applyFill="1" applyBorder="1" applyAlignment="1">
      <alignment horizontal="left" vertical="center"/>
    </xf>
    <xf numFmtId="0" fontId="55" fillId="0" borderId="13" xfId="0" applyFont="1" applyBorder="1" applyAlignment="1">
      <alignment horizontal="center" vertical="center"/>
    </xf>
    <xf numFmtId="0" fontId="55" fillId="0" borderId="14" xfId="0" applyFont="1" applyBorder="1" applyAlignment="1">
      <alignment horizontal="center" vertical="center"/>
    </xf>
    <xf numFmtId="0" fontId="55" fillId="0" borderId="15" xfId="0" applyFont="1" applyBorder="1" applyAlignment="1">
      <alignment horizontal="center" vertical="center"/>
    </xf>
    <xf numFmtId="0" fontId="8" fillId="0" borderId="13" xfId="0" applyFont="1" applyBorder="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15" fillId="6" borderId="13" xfId="0" applyFont="1" applyFill="1" applyBorder="1" applyAlignment="1">
      <alignment horizontal="center"/>
    </xf>
    <xf numFmtId="0" fontId="15" fillId="6" borderId="14" xfId="0" applyFont="1" applyFill="1" applyBorder="1" applyAlignment="1">
      <alignment horizontal="center"/>
    </xf>
    <xf numFmtId="0" fontId="15" fillId="6" borderId="15" xfId="0" applyFont="1" applyFill="1" applyBorder="1" applyAlignment="1">
      <alignment horizontal="center"/>
    </xf>
    <xf numFmtId="0" fontId="14" fillId="0" borderId="1" xfId="0" applyFont="1" applyFill="1" applyBorder="1" applyAlignment="1">
      <alignment horizontal="left" vertical="center"/>
    </xf>
    <xf numFmtId="0" fontId="15" fillId="6" borderId="1" xfId="0" applyFont="1" applyFill="1" applyBorder="1" applyAlignment="1">
      <alignment horizontal="center"/>
    </xf>
    <xf numFmtId="0" fontId="14" fillId="0" borderId="1" xfId="0" applyFont="1" applyFill="1" applyBorder="1" applyAlignment="1">
      <alignment horizontal="left"/>
    </xf>
    <xf numFmtId="0" fontId="5" fillId="0" borderId="1" xfId="0" applyFont="1" applyFill="1" applyBorder="1" applyAlignment="1">
      <alignment horizontal="left"/>
    </xf>
    <xf numFmtId="0" fontId="15" fillId="6" borderId="1" xfId="0" applyFont="1" applyFill="1" applyBorder="1" applyAlignment="1">
      <alignment horizontal="center" vertical="center"/>
    </xf>
    <xf numFmtId="0" fontId="20" fillId="0" borderId="13" xfId="0" applyFont="1" applyFill="1" applyBorder="1" applyAlignment="1">
      <alignment horizontal="center" vertical="center"/>
    </xf>
    <xf numFmtId="0" fontId="20" fillId="0" borderId="14" xfId="0" applyFont="1" applyFill="1" applyBorder="1" applyAlignment="1">
      <alignment horizontal="center" vertical="center"/>
    </xf>
    <xf numFmtId="0" fontId="20" fillId="0" borderId="15" xfId="0" applyFont="1" applyFill="1" applyBorder="1" applyAlignment="1">
      <alignment horizontal="center" vertical="center"/>
    </xf>
    <xf numFmtId="0" fontId="21" fillId="0" borderId="1" xfId="0" applyFont="1" applyFill="1" applyBorder="1" applyAlignment="1">
      <alignment horizontal="left"/>
    </xf>
    <xf numFmtId="0" fontId="22" fillId="0" borderId="1" xfId="0" applyFont="1" applyFill="1" applyBorder="1" applyAlignment="1">
      <alignment horizontal="left"/>
    </xf>
    <xf numFmtId="0" fontId="5" fillId="0" borderId="1" xfId="0" applyFont="1" applyBorder="1" applyAlignment="1">
      <alignment horizontal="center" vertical="center"/>
    </xf>
    <xf numFmtId="0" fontId="25" fillId="0" borderId="5" xfId="0" applyFont="1" applyBorder="1" applyAlignment="1">
      <alignment horizontal="center" vertical="center"/>
    </xf>
    <xf numFmtId="0" fontId="25" fillId="0" borderId="25" xfId="0" applyFont="1" applyBorder="1" applyAlignment="1">
      <alignment horizontal="center" vertical="center"/>
    </xf>
    <xf numFmtId="0" fontId="25" fillId="0" borderId="6" xfId="0" applyFont="1" applyBorder="1" applyAlignment="1">
      <alignment horizontal="center" vertical="center"/>
    </xf>
    <xf numFmtId="0" fontId="22" fillId="6" borderId="1" xfId="0" applyFont="1" applyFill="1" applyBorder="1" applyAlignment="1">
      <alignment horizontal="center" vertical="center" wrapText="1"/>
    </xf>
    <xf numFmtId="0" fontId="5" fillId="0" borderId="27" xfId="0" applyFont="1" applyFill="1" applyBorder="1" applyAlignment="1">
      <alignment horizontal="center" vertical="center"/>
    </xf>
    <xf numFmtId="0" fontId="15" fillId="6" borderId="13" xfId="0" applyFont="1" applyFill="1" applyBorder="1" applyAlignment="1">
      <alignment horizontal="center" vertical="center"/>
    </xf>
    <xf numFmtId="0" fontId="15" fillId="6" borderId="14" xfId="0" applyFont="1" applyFill="1" applyBorder="1" applyAlignment="1">
      <alignment horizontal="center" vertical="center"/>
    </xf>
    <xf numFmtId="0" fontId="15" fillId="6" borderId="15" xfId="0" applyFont="1" applyFill="1" applyBorder="1" applyAlignment="1">
      <alignment horizontal="center" vertical="center"/>
    </xf>
    <xf numFmtId="0" fontId="59" fillId="0" borderId="13" xfId="0" applyFont="1" applyFill="1" applyBorder="1" applyAlignment="1">
      <alignment horizontal="left" vertical="center"/>
    </xf>
    <xf numFmtId="0" fontId="33" fillId="0" borderId="14" xfId="0" applyFont="1" applyFill="1" applyBorder="1" applyAlignment="1">
      <alignment horizontal="left" vertical="center"/>
    </xf>
    <xf numFmtId="0" fontId="33" fillId="0" borderId="15" xfId="0" applyFont="1" applyFill="1" applyBorder="1" applyAlignment="1">
      <alignment horizontal="left" vertical="center"/>
    </xf>
    <xf numFmtId="0" fontId="33" fillId="6" borderId="13" xfId="0" applyFont="1" applyFill="1" applyBorder="1" applyAlignment="1">
      <alignment horizontal="center" vertical="center"/>
    </xf>
    <xf numFmtId="0" fontId="33" fillId="6" borderId="14" xfId="0" applyFont="1" applyFill="1" applyBorder="1" applyAlignment="1">
      <alignment horizontal="center" vertical="center"/>
    </xf>
    <xf numFmtId="0" fontId="33" fillId="6" borderId="15" xfId="0" applyFont="1" applyFill="1" applyBorder="1" applyAlignment="1">
      <alignment horizontal="center" vertical="center"/>
    </xf>
    <xf numFmtId="0" fontId="16" fillId="0" borderId="13" xfId="0" applyFont="1" applyFill="1" applyBorder="1" applyAlignment="1">
      <alignment horizontal="center" vertical="center"/>
    </xf>
    <xf numFmtId="0" fontId="24" fillId="6" borderId="13" xfId="0" applyFont="1" applyFill="1" applyBorder="1" applyAlignment="1">
      <alignment horizontal="center"/>
    </xf>
    <xf numFmtId="0" fontId="25" fillId="6" borderId="14" xfId="0" applyFont="1" applyFill="1" applyBorder="1" applyAlignment="1">
      <alignment horizontal="center"/>
    </xf>
    <xf numFmtId="0" fontId="25" fillId="6" borderId="15" xfId="0" applyFont="1" applyFill="1" applyBorder="1" applyAlignment="1">
      <alignment horizontal="center"/>
    </xf>
    <xf numFmtId="0" fontId="15" fillId="7" borderId="13" xfId="0" applyFont="1" applyFill="1" applyBorder="1" applyAlignment="1">
      <alignment horizontal="center"/>
    </xf>
    <xf numFmtId="0" fontId="15" fillId="7" borderId="14" xfId="0" applyFont="1" applyFill="1" applyBorder="1" applyAlignment="1">
      <alignment horizontal="center"/>
    </xf>
    <xf numFmtId="0" fontId="15" fillId="7" borderId="15" xfId="0" applyFont="1" applyFill="1" applyBorder="1" applyAlignment="1">
      <alignment horizontal="center"/>
    </xf>
    <xf numFmtId="0" fontId="0" fillId="6" borderId="14" xfId="0" applyFill="1" applyBorder="1" applyAlignment="1">
      <alignment horizontal="center"/>
    </xf>
    <xf numFmtId="0" fontId="15" fillId="0" borderId="0" xfId="0" applyFont="1" applyFill="1" applyBorder="1" applyAlignment="1">
      <alignment horizontal="center" vertical="center"/>
    </xf>
    <xf numFmtId="0" fontId="45" fillId="0" borderId="0" xfId="0" applyFont="1" applyFill="1" applyBorder="1" applyAlignment="1">
      <alignment horizontal="center" vertical="center"/>
    </xf>
    <xf numFmtId="0" fontId="47" fillId="0" borderId="0" xfId="0" applyFont="1" applyFill="1" applyBorder="1" applyAlignment="1">
      <alignment horizontal="center" vertical="center"/>
    </xf>
    <xf numFmtId="0" fontId="21" fillId="0" borderId="1" xfId="0" applyFont="1" applyBorder="1" applyAlignment="1">
      <alignment horizontal="left" vertical="top"/>
    </xf>
    <xf numFmtId="0" fontId="8" fillId="0" borderId="28" xfId="0" applyFont="1" applyBorder="1" applyAlignment="1">
      <alignment horizontal="center"/>
    </xf>
    <xf numFmtId="0" fontId="8" fillId="0" borderId="26" xfId="0" applyFont="1" applyBorder="1" applyAlignment="1">
      <alignment horizontal="center"/>
    </xf>
    <xf numFmtId="0" fontId="8" fillId="0" borderId="21" xfId="0" applyFont="1" applyBorder="1" applyAlignment="1">
      <alignment horizontal="center"/>
    </xf>
    <xf numFmtId="0" fontId="8" fillId="0" borderId="29" xfId="0" applyFont="1" applyBorder="1" applyAlignment="1">
      <alignment horizontal="center"/>
    </xf>
    <xf numFmtId="0" fontId="8" fillId="0" borderId="0" xfId="0" applyFont="1" applyBorder="1" applyAlignment="1">
      <alignment horizontal="center"/>
    </xf>
    <xf numFmtId="0" fontId="8" fillId="0" borderId="22" xfId="0" applyFont="1" applyBorder="1" applyAlignment="1">
      <alignment horizontal="center"/>
    </xf>
    <xf numFmtId="0" fontId="8" fillId="0" borderId="30" xfId="0" applyFont="1" applyBorder="1" applyAlignment="1">
      <alignment horizontal="center"/>
    </xf>
    <xf numFmtId="0" fontId="8" fillId="0" borderId="27" xfId="0" applyFont="1" applyBorder="1" applyAlignment="1">
      <alignment horizontal="center"/>
    </xf>
    <xf numFmtId="0" fontId="8" fillId="0" borderId="23" xfId="0" applyFont="1" applyBorder="1" applyAlignment="1">
      <alignment horizontal="center"/>
    </xf>
    <xf numFmtId="0" fontId="5" fillId="11" borderId="5" xfId="0" applyFont="1" applyFill="1" applyBorder="1" applyAlignment="1">
      <alignment horizontal="center" vertical="center"/>
    </xf>
    <xf numFmtId="0" fontId="5" fillId="11" borderId="25"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1" xfId="0" applyFont="1" applyFill="1" applyBorder="1" applyAlignment="1">
      <alignment horizontal="center" vertical="center"/>
    </xf>
    <xf numFmtId="0" fontId="14" fillId="11" borderId="1" xfId="0" applyFont="1" applyFill="1" applyBorder="1" applyAlignment="1">
      <alignment horizontal="center" vertical="center" wrapText="1"/>
    </xf>
    <xf numFmtId="0" fontId="21" fillId="11" borderId="1" xfId="0" applyFont="1" applyFill="1" applyBorder="1" applyAlignment="1">
      <alignment horizontal="center" vertical="center" wrapText="1"/>
    </xf>
    <xf numFmtId="0" fontId="8" fillId="0" borderId="5" xfId="0" applyFont="1" applyBorder="1" applyAlignment="1">
      <alignment horizontal="center" vertical="center"/>
    </xf>
    <xf numFmtId="0" fontId="8" fillId="0" borderId="25" xfId="0" applyFont="1" applyBorder="1" applyAlignment="1">
      <alignment horizontal="center" vertical="center"/>
    </xf>
    <xf numFmtId="0" fontId="8" fillId="0" borderId="6" xfId="0" applyFont="1" applyBorder="1" applyAlignment="1">
      <alignment horizontal="center" vertical="center"/>
    </xf>
    <xf numFmtId="0" fontId="43" fillId="0" borderId="5" xfId="0" applyFont="1" applyBorder="1" applyAlignment="1">
      <alignment horizontal="center" vertical="center" wrapText="1"/>
    </xf>
    <xf numFmtId="0" fontId="43" fillId="0" borderId="6" xfId="0" applyFont="1" applyBorder="1" applyAlignment="1">
      <alignment horizontal="center" vertical="center" wrapText="1"/>
    </xf>
    <xf numFmtId="0" fontId="33" fillId="0" borderId="1" xfId="0" applyFont="1" applyBorder="1" applyAlignment="1">
      <alignment horizontal="center" vertical="center" wrapText="1"/>
    </xf>
    <xf numFmtId="0" fontId="50" fillId="0" borderId="1" xfId="0" applyFont="1" applyBorder="1" applyAlignment="1">
      <alignment horizontal="center" vertical="center" wrapText="1"/>
    </xf>
    <xf numFmtId="0" fontId="51" fillId="0" borderId="1" xfId="0" applyFont="1" applyBorder="1" applyAlignment="1">
      <alignment horizontal="center" vertical="center" wrapText="1"/>
    </xf>
    <xf numFmtId="0" fontId="33" fillId="11" borderId="1" xfId="0" applyFont="1" applyFill="1" applyBorder="1" applyAlignment="1">
      <alignment horizontal="center" vertical="center"/>
    </xf>
    <xf numFmtId="0" fontId="46" fillId="0" borderId="1" xfId="0" applyFont="1" applyBorder="1" applyAlignment="1">
      <alignment horizontal="center" vertical="center"/>
    </xf>
    <xf numFmtId="0" fontId="15" fillId="0" borderId="1" xfId="0" applyFont="1" applyBorder="1" applyAlignment="1">
      <alignment horizontal="center" vertical="center"/>
    </xf>
    <xf numFmtId="0" fontId="14" fillId="0" borderId="1" xfId="0" applyFont="1" applyBorder="1" applyAlignment="1">
      <alignment horizontal="center" vertical="center"/>
    </xf>
    <xf numFmtId="0" fontId="31" fillId="7" borderId="1" xfId="0" applyFont="1" applyFill="1" applyBorder="1" applyAlignment="1">
      <alignment horizontal="left"/>
    </xf>
    <xf numFmtId="0" fontId="30" fillId="7" borderId="1" xfId="0" applyFont="1" applyFill="1" applyBorder="1" applyAlignment="1">
      <alignment horizontal="left"/>
    </xf>
    <xf numFmtId="0" fontId="31" fillId="7" borderId="13" xfId="0" applyFont="1" applyFill="1" applyBorder="1" applyAlignment="1">
      <alignment horizontal="left"/>
    </xf>
    <xf numFmtId="0" fontId="30" fillId="7" borderId="14" xfId="0" applyFont="1" applyFill="1" applyBorder="1" applyAlignment="1">
      <alignment horizontal="left"/>
    </xf>
    <xf numFmtId="0" fontId="30" fillId="7" borderId="15" xfId="0" applyFont="1" applyFill="1" applyBorder="1" applyAlignment="1">
      <alignment horizontal="left"/>
    </xf>
    <xf numFmtId="0" fontId="30" fillId="0" borderId="1" xfId="0" applyFont="1" applyBorder="1" applyAlignment="1">
      <alignment horizontal="left"/>
    </xf>
    <xf numFmtId="0" fontId="37" fillId="7" borderId="1" xfId="0" applyFont="1" applyFill="1" applyBorder="1" applyAlignment="1">
      <alignment horizontal="left"/>
    </xf>
    <xf numFmtId="0" fontId="13" fillId="0" borderId="13" xfId="0" applyFont="1" applyFill="1" applyBorder="1" applyAlignment="1">
      <alignment horizontal="center" vertical="center"/>
    </xf>
    <xf numFmtId="0" fontId="13" fillId="0" borderId="14" xfId="0" applyFont="1" applyFill="1" applyBorder="1" applyAlignment="1">
      <alignment horizontal="center" vertical="center"/>
    </xf>
    <xf numFmtId="0" fontId="13" fillId="0" borderId="15" xfId="0" applyFont="1" applyFill="1" applyBorder="1" applyAlignment="1">
      <alignment horizontal="center" vertical="center"/>
    </xf>
    <xf numFmtId="0" fontId="18" fillId="7" borderId="13" xfId="0" applyFont="1" applyFill="1" applyBorder="1" applyAlignment="1">
      <alignment horizontal="center" vertical="center"/>
    </xf>
    <xf numFmtId="0" fontId="16" fillId="7" borderId="1" xfId="0" applyFont="1" applyFill="1" applyBorder="1" applyAlignment="1">
      <alignment horizontal="center" vertical="center"/>
    </xf>
    <xf numFmtId="0" fontId="14" fillId="7" borderId="15" xfId="0" applyFont="1" applyFill="1" applyBorder="1" applyAlignment="1">
      <alignment horizontal="center" vertical="center"/>
    </xf>
    <xf numFmtId="0" fontId="5" fillId="7" borderId="13" xfId="0" applyFont="1" applyFill="1" applyBorder="1" applyAlignment="1">
      <alignment horizontal="center"/>
    </xf>
    <xf numFmtId="0" fontId="5" fillId="7" borderId="15" xfId="0" applyFont="1" applyFill="1" applyBorder="1" applyAlignment="1">
      <alignment horizontal="center"/>
    </xf>
    <xf numFmtId="0" fontId="18" fillId="7" borderId="15" xfId="0" applyFont="1" applyFill="1" applyBorder="1" applyAlignment="1">
      <alignment horizontal="center" vertical="center"/>
    </xf>
    <xf numFmtId="0" fontId="14" fillId="7" borderId="1" xfId="0" applyFont="1" applyFill="1" applyBorder="1" applyAlignment="1">
      <alignment horizontal="center" vertical="center"/>
    </xf>
    <xf numFmtId="0" fontId="14" fillId="0" borderId="13" xfId="0" applyFont="1" applyBorder="1" applyAlignment="1">
      <alignment horizontal="center" vertical="center"/>
    </xf>
    <xf numFmtId="0" fontId="14" fillId="0" borderId="15" xfId="0" applyFont="1" applyBorder="1" applyAlignment="1">
      <alignment horizontal="center" vertical="center"/>
    </xf>
    <xf numFmtId="0" fontId="35" fillId="0" borderId="1" xfId="0" applyFont="1" applyBorder="1" applyAlignment="1">
      <alignment horizontal="center" vertical="center" wrapText="1"/>
    </xf>
    <xf numFmtId="0" fontId="36" fillId="0" borderId="1" xfId="0" applyFont="1" applyBorder="1" applyAlignment="1">
      <alignment horizontal="center" vertical="center" wrapText="1"/>
    </xf>
    <xf numFmtId="0" fontId="33" fillId="11" borderId="5" xfId="0" applyFont="1" applyFill="1" applyBorder="1" applyAlignment="1">
      <alignment horizontal="center" vertical="center"/>
    </xf>
    <xf numFmtId="0" fontId="33" fillId="11" borderId="25" xfId="0" applyFont="1" applyFill="1" applyBorder="1" applyAlignment="1">
      <alignment horizontal="center" vertical="center"/>
    </xf>
    <xf numFmtId="0" fontId="33" fillId="11" borderId="6" xfId="0" applyFont="1" applyFill="1" applyBorder="1" applyAlignment="1">
      <alignment horizontal="center" vertical="center"/>
    </xf>
    <xf numFmtId="0" fontId="14" fillId="11" borderId="5" xfId="0" applyFont="1" applyFill="1" applyBorder="1" applyAlignment="1">
      <alignment horizontal="center" vertical="center"/>
    </xf>
    <xf numFmtId="0" fontId="14" fillId="11" borderId="25" xfId="0" applyFont="1" applyFill="1" applyBorder="1" applyAlignment="1">
      <alignment horizontal="center" vertical="center"/>
    </xf>
    <xf numFmtId="0" fontId="14" fillId="11" borderId="6" xfId="0" applyFont="1" applyFill="1" applyBorder="1" applyAlignment="1">
      <alignment horizontal="center" vertical="center"/>
    </xf>
    <xf numFmtId="0" fontId="14" fillId="11" borderId="5" xfId="0" applyFont="1" applyFill="1" applyBorder="1" applyAlignment="1">
      <alignment horizontal="center" vertical="center" wrapText="1"/>
    </xf>
    <xf numFmtId="0" fontId="14" fillId="11" borderId="25" xfId="0" applyFont="1" applyFill="1" applyBorder="1" applyAlignment="1">
      <alignment horizontal="center" vertical="center" wrapText="1"/>
    </xf>
    <xf numFmtId="0" fontId="14" fillId="11" borderId="6" xfId="0" applyFont="1" applyFill="1" applyBorder="1" applyAlignment="1">
      <alignment horizontal="center" vertical="center" wrapText="1"/>
    </xf>
    <xf numFmtId="0" fontId="21" fillId="11" borderId="5" xfId="0" applyFont="1" applyFill="1" applyBorder="1" applyAlignment="1">
      <alignment horizontal="center" vertical="center" wrapText="1"/>
    </xf>
    <xf numFmtId="0" fontId="21" fillId="11" borderId="25" xfId="0" applyFont="1" applyFill="1" applyBorder="1" applyAlignment="1">
      <alignment horizontal="center" vertical="center" wrapText="1"/>
    </xf>
    <xf numFmtId="0" fontId="21" fillId="11" borderId="6" xfId="0" applyFont="1" applyFill="1" applyBorder="1" applyAlignment="1">
      <alignment horizontal="center" vertical="center" wrapText="1"/>
    </xf>
    <xf numFmtId="0" fontId="7" fillId="11" borderId="26" xfId="0" applyFont="1" applyFill="1" applyBorder="1" applyAlignment="1">
      <alignment horizontal="center" vertical="center"/>
    </xf>
    <xf numFmtId="0" fontId="0" fillId="11" borderId="0" xfId="0" applyFill="1" applyAlignment="1">
      <alignment horizontal="center" vertical="center"/>
    </xf>
    <xf numFmtId="0" fontId="19" fillId="6" borderId="1" xfId="0" applyFont="1" applyFill="1" applyBorder="1" applyAlignment="1">
      <alignment horizontal="center" vertical="center"/>
    </xf>
    <xf numFmtId="0" fontId="7" fillId="0" borderId="1" xfId="0" applyFont="1" applyBorder="1" applyAlignment="1">
      <alignment horizontal="center"/>
    </xf>
    <xf numFmtId="0" fontId="0" fillId="0" borderId="1" xfId="0" applyBorder="1" applyAlignment="1">
      <alignment horizontal="center"/>
    </xf>
    <xf numFmtId="0" fontId="24" fillId="0" borderId="1" xfId="0" applyFont="1" applyFill="1" applyBorder="1" applyAlignment="1">
      <alignment horizontal="left" vertical="top" wrapText="1"/>
    </xf>
    <xf numFmtId="0" fontId="17" fillId="0" borderId="1" xfId="0" applyFont="1" applyFill="1" applyBorder="1" applyAlignment="1">
      <alignment horizontal="center" vertical="center"/>
    </xf>
    <xf numFmtId="0" fontId="25" fillId="0" borderId="1" xfId="0" applyFont="1" applyFill="1" applyBorder="1" applyAlignment="1">
      <alignment horizontal="left" vertical="center"/>
    </xf>
    <xf numFmtId="0" fontId="28" fillId="0" borderId="1" xfId="0" applyFont="1" applyFill="1" applyBorder="1" applyAlignment="1">
      <alignment horizontal="center" vertical="center"/>
    </xf>
    <xf numFmtId="0" fontId="16" fillId="0" borderId="1" xfId="0" applyFont="1" applyBorder="1" applyAlignment="1">
      <alignment horizontal="center" vertical="center" wrapText="1"/>
    </xf>
    <xf numFmtId="0" fontId="16" fillId="0" borderId="1" xfId="0" applyFont="1" applyBorder="1" applyAlignment="1">
      <alignment horizontal="center" vertical="center"/>
    </xf>
    <xf numFmtId="0" fontId="17" fillId="0" borderId="1" xfId="0" applyFont="1" applyBorder="1" applyAlignment="1">
      <alignment horizontal="center" vertical="center"/>
    </xf>
    <xf numFmtId="0" fontId="0" fillId="0" borderId="16" xfId="0" applyBorder="1" applyAlignment="1">
      <alignment horizontal="center"/>
    </xf>
    <xf numFmtId="0" fontId="16" fillId="2" borderId="2" xfId="0" applyFont="1" applyFill="1" applyBorder="1" applyAlignment="1" applyProtection="1">
      <alignment horizontal="center" vertical="center"/>
      <protection locked="0"/>
    </xf>
    <xf numFmtId="0" fontId="16" fillId="2" borderId="24" xfId="0" applyFont="1" applyFill="1" applyBorder="1" applyAlignment="1" applyProtection="1">
      <alignment horizontal="center" vertical="center"/>
      <protection locked="0"/>
    </xf>
    <xf numFmtId="177" fontId="16" fillId="0" borderId="17" xfId="0" applyNumberFormat="1" applyFont="1" applyBorder="1" applyAlignment="1">
      <alignment horizontal="center" vertical="center" wrapText="1"/>
    </xf>
    <xf numFmtId="177" fontId="16" fillId="0" borderId="11" xfId="0" applyNumberFormat="1" applyFont="1" applyBorder="1" applyAlignment="1">
      <alignment horizontal="center" vertical="center" wrapText="1"/>
    </xf>
    <xf numFmtId="177" fontId="16" fillId="0" borderId="18" xfId="0" applyNumberFormat="1" applyFont="1" applyBorder="1" applyAlignment="1">
      <alignment horizontal="center" vertical="center" wrapText="1"/>
    </xf>
    <xf numFmtId="177" fontId="16" fillId="0" borderId="19" xfId="0" applyNumberFormat="1" applyFont="1" applyBorder="1" applyAlignment="1">
      <alignment horizontal="center" vertical="center" wrapText="1"/>
    </xf>
    <xf numFmtId="177" fontId="16" fillId="0" borderId="20" xfId="0" applyNumberFormat="1" applyFont="1" applyBorder="1" applyAlignment="1">
      <alignment horizontal="center" vertical="center" wrapText="1"/>
    </xf>
    <xf numFmtId="0" fontId="16" fillId="0" borderId="21"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3" xfId="0" applyFont="1" applyBorder="1" applyAlignment="1">
      <alignment horizontal="center" vertical="center" wrapText="1"/>
    </xf>
    <xf numFmtId="0" fontId="11" fillId="0" borderId="13" xfId="0" applyFont="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1" fillId="2" borderId="7" xfId="0" applyFont="1" applyFill="1" applyBorder="1" applyAlignment="1" applyProtection="1">
      <alignment horizontal="center" vertical="center"/>
      <protection locked="0"/>
    </xf>
    <xf numFmtId="177" fontId="1" fillId="0" borderId="1" xfId="0" applyNumberFormat="1" applyFont="1" applyBorder="1" applyAlignment="1">
      <alignment horizontal="center" vertical="center" wrapText="1"/>
    </xf>
    <xf numFmtId="0" fontId="2" fillId="0" borderId="5" xfId="0" applyFont="1" applyBorder="1" applyAlignment="1">
      <alignment horizontal="left" vertical="center"/>
    </xf>
    <xf numFmtId="0" fontId="2" fillId="0" borderId="6" xfId="0" applyFont="1" applyBorder="1" applyAlignment="1">
      <alignment horizontal="left"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51" fillId="0" borderId="1" xfId="0" applyFont="1" applyFill="1" applyBorder="1" applyAlignment="1">
      <alignment horizontal="center" vertical="top"/>
    </xf>
    <xf numFmtId="0" fontId="5" fillId="0" borderId="1" xfId="0" applyFont="1" applyFill="1" applyBorder="1" applyAlignment="1" applyProtection="1">
      <alignment horizontal="center" vertical="top"/>
      <protection locked="0"/>
    </xf>
    <xf numFmtId="0" fontId="5" fillId="0" borderId="1" xfId="0" applyFont="1" applyFill="1" applyBorder="1" applyAlignment="1">
      <alignment horizontal="center" vertical="top"/>
    </xf>
    <xf numFmtId="0" fontId="12" fillId="0" borderId="1" xfId="0" applyFont="1" applyFill="1" applyBorder="1" applyAlignment="1">
      <alignment horizontal="center" vertical="top"/>
    </xf>
    <xf numFmtId="0" fontId="154" fillId="0" borderId="1" xfId="0" applyFont="1" applyFill="1" applyBorder="1" applyAlignment="1">
      <alignment horizontal="center" vertical="top"/>
    </xf>
    <xf numFmtId="0" fontId="153" fillId="0" borderId="1" xfId="0" applyFont="1" applyFill="1" applyBorder="1" applyAlignment="1">
      <alignment horizontal="center" vertical="top"/>
    </xf>
    <xf numFmtId="0" fontId="56" fillId="0" borderId="1" xfId="0" applyFont="1" applyFill="1" applyBorder="1" applyAlignment="1">
      <alignment horizontal="center" vertical="top"/>
    </xf>
    <xf numFmtId="0" fontId="155" fillId="0" borderId="1" xfId="0" applyFont="1" applyFill="1" applyBorder="1" applyAlignment="1">
      <alignment horizontal="center" vertical="top"/>
    </xf>
    <xf numFmtId="0" fontId="144" fillId="0" borderId="1" xfId="0" applyFont="1" applyFill="1" applyBorder="1" applyAlignment="1">
      <alignment horizontal="center" vertical="top"/>
    </xf>
    <xf numFmtId="0" fontId="0" fillId="0" borderId="1" xfId="0" applyFill="1" applyBorder="1" applyAlignment="1">
      <alignment horizontal="center" vertical="top"/>
    </xf>
    <xf numFmtId="0" fontId="151" fillId="0" borderId="1" xfId="0" applyFont="1" applyFill="1" applyBorder="1" applyAlignment="1">
      <alignment horizontal="center" vertical="top"/>
    </xf>
    <xf numFmtId="0" fontId="0" fillId="0" borderId="1" xfId="0" applyFill="1" applyBorder="1" applyAlignment="1">
      <alignment horizontal="center" vertical="top"/>
    </xf>
    <xf numFmtId="0" fontId="15" fillId="0" borderId="1" xfId="0" applyFont="1" applyFill="1" applyBorder="1" applyAlignment="1">
      <alignment horizontal="center" vertical="top"/>
    </xf>
    <xf numFmtId="0" fontId="15" fillId="0" borderId="1" xfId="0" applyFont="1" applyFill="1" applyBorder="1" applyAlignment="1">
      <alignment horizontal="center" vertical="top"/>
    </xf>
    <xf numFmtId="0" fontId="157" fillId="0" borderId="0" xfId="0" applyFont="1" applyBorder="1" applyAlignment="1">
      <alignment horizontal="center" vertical="center"/>
    </xf>
  </cellXfs>
  <cellStyles count="2">
    <cellStyle name="常规" xfId="0" builtinId="0"/>
    <cellStyle name="常规 3" xfId="1" xr:uid="{00000000-0005-0000-0000-000031000000}"/>
  </cellStyles>
  <dxfs count="0"/>
  <tableStyles count="0" defaultTableStyle="TableStyleMedium2" defaultPivotStyle="PivotStyleMedium9"/>
  <colors>
    <mruColors>
      <color rgb="FF0033CC"/>
      <color rgb="FF0000FF"/>
      <color rgb="FF00FFFF"/>
      <color rgb="FF66FFFF"/>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41.jpeg"/><Relationship Id="rId1" Type="http://schemas.openxmlformats.org/officeDocument/2006/relationships/image" Target="../media/image40.tiff"/></Relationships>
</file>

<file path=xl/drawings/_rels/drawing2.xml.rels><?xml version="1.0" encoding="UTF-8" standalone="yes"?>
<Relationships xmlns="http://schemas.openxmlformats.org/package/2006/relationships"><Relationship Id="rId2" Type="http://schemas.openxmlformats.org/officeDocument/2006/relationships/image" Target="../media/image41.jpeg"/><Relationship Id="rId1" Type="http://schemas.openxmlformats.org/officeDocument/2006/relationships/image" Target="../media/image40.tiff"/></Relationships>
</file>

<file path=xl/drawings/_rels/drawing3.xml.rels><?xml version="1.0" encoding="UTF-8" standalone="yes"?>
<Relationships xmlns="http://schemas.openxmlformats.org/package/2006/relationships"><Relationship Id="rId3" Type="http://schemas.openxmlformats.org/officeDocument/2006/relationships/image" Target="../media/image50.tiff"/><Relationship Id="rId2" Type="http://schemas.openxmlformats.org/officeDocument/2006/relationships/image" Target="../media/image49.png"/><Relationship Id="rId1" Type="http://schemas.openxmlformats.org/officeDocument/2006/relationships/image" Target="../media/image41.jpeg"/><Relationship Id="rId5" Type="http://schemas.openxmlformats.org/officeDocument/2006/relationships/image" Target="../media/image52.png"/><Relationship Id="rId4" Type="http://schemas.openxmlformats.org/officeDocument/2006/relationships/image" Target="../media/image51.png"/></Relationships>
</file>

<file path=xl/drawings/_rels/drawing4.xml.rels><?xml version="1.0" encoding="UTF-8" standalone="yes"?>
<Relationships xmlns="http://schemas.openxmlformats.org/package/2006/relationships"><Relationship Id="rId1" Type="http://schemas.openxmlformats.org/officeDocument/2006/relationships/image" Target="../media/image53.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image" Target="../media/image18.emf"/><Relationship Id="rId26" Type="http://schemas.openxmlformats.org/officeDocument/2006/relationships/image" Target="../media/image26.emf"/><Relationship Id="rId39" Type="http://schemas.openxmlformats.org/officeDocument/2006/relationships/image" Target="../media/image39.emf"/><Relationship Id="rId3" Type="http://schemas.openxmlformats.org/officeDocument/2006/relationships/image" Target="../media/image3.emf"/><Relationship Id="rId21" Type="http://schemas.openxmlformats.org/officeDocument/2006/relationships/image" Target="../media/image21.emf"/><Relationship Id="rId34" Type="http://schemas.openxmlformats.org/officeDocument/2006/relationships/image" Target="../media/image34.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5" Type="http://schemas.openxmlformats.org/officeDocument/2006/relationships/image" Target="../media/image25.emf"/><Relationship Id="rId33" Type="http://schemas.openxmlformats.org/officeDocument/2006/relationships/image" Target="../media/image33.emf"/><Relationship Id="rId38" Type="http://schemas.openxmlformats.org/officeDocument/2006/relationships/image" Target="../media/image38.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29" Type="http://schemas.openxmlformats.org/officeDocument/2006/relationships/image" Target="../media/image29.emf"/><Relationship Id="rId1" Type="http://schemas.openxmlformats.org/officeDocument/2006/relationships/image" Target="../media/image1.wmf"/><Relationship Id="rId6" Type="http://schemas.openxmlformats.org/officeDocument/2006/relationships/image" Target="../media/image6.emf"/><Relationship Id="rId11" Type="http://schemas.openxmlformats.org/officeDocument/2006/relationships/image" Target="../media/image11.emf"/><Relationship Id="rId24" Type="http://schemas.openxmlformats.org/officeDocument/2006/relationships/image" Target="../media/image24.emf"/><Relationship Id="rId32" Type="http://schemas.openxmlformats.org/officeDocument/2006/relationships/image" Target="../media/image32.emf"/><Relationship Id="rId37" Type="http://schemas.openxmlformats.org/officeDocument/2006/relationships/image" Target="../media/image37.emf"/><Relationship Id="rId5" Type="http://schemas.openxmlformats.org/officeDocument/2006/relationships/image" Target="../media/image5.emf"/><Relationship Id="rId15" Type="http://schemas.openxmlformats.org/officeDocument/2006/relationships/image" Target="../media/image15.emf"/><Relationship Id="rId23" Type="http://schemas.openxmlformats.org/officeDocument/2006/relationships/image" Target="../media/image23.emf"/><Relationship Id="rId28" Type="http://schemas.openxmlformats.org/officeDocument/2006/relationships/image" Target="../media/image28.emf"/><Relationship Id="rId36" Type="http://schemas.openxmlformats.org/officeDocument/2006/relationships/image" Target="../media/image36.emf"/><Relationship Id="rId10" Type="http://schemas.openxmlformats.org/officeDocument/2006/relationships/image" Target="../media/image10.emf"/><Relationship Id="rId19" Type="http://schemas.openxmlformats.org/officeDocument/2006/relationships/image" Target="../media/image19.emf"/><Relationship Id="rId31" Type="http://schemas.openxmlformats.org/officeDocument/2006/relationships/image" Target="../media/image31.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 Id="rId22" Type="http://schemas.openxmlformats.org/officeDocument/2006/relationships/image" Target="../media/image22.emf"/><Relationship Id="rId27" Type="http://schemas.openxmlformats.org/officeDocument/2006/relationships/image" Target="../media/image27.emf"/><Relationship Id="rId30" Type="http://schemas.openxmlformats.org/officeDocument/2006/relationships/image" Target="../media/image30.emf"/><Relationship Id="rId35" Type="http://schemas.openxmlformats.org/officeDocument/2006/relationships/image" Target="../media/image3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image" Target="../media/image18.emf"/><Relationship Id="rId26" Type="http://schemas.openxmlformats.org/officeDocument/2006/relationships/image" Target="../media/image26.emf"/><Relationship Id="rId39" Type="http://schemas.openxmlformats.org/officeDocument/2006/relationships/image" Target="../media/image43.emf"/><Relationship Id="rId3" Type="http://schemas.openxmlformats.org/officeDocument/2006/relationships/image" Target="../media/image3.emf"/><Relationship Id="rId21" Type="http://schemas.openxmlformats.org/officeDocument/2006/relationships/image" Target="../media/image21.emf"/><Relationship Id="rId34" Type="http://schemas.openxmlformats.org/officeDocument/2006/relationships/image" Target="../media/image35.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5" Type="http://schemas.openxmlformats.org/officeDocument/2006/relationships/image" Target="../media/image25.emf"/><Relationship Id="rId33" Type="http://schemas.openxmlformats.org/officeDocument/2006/relationships/image" Target="../media/image34.emf"/><Relationship Id="rId38" Type="http://schemas.openxmlformats.org/officeDocument/2006/relationships/image" Target="../media/image39.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29" Type="http://schemas.openxmlformats.org/officeDocument/2006/relationships/image" Target="../media/image29.emf"/><Relationship Id="rId1" Type="http://schemas.openxmlformats.org/officeDocument/2006/relationships/image" Target="../media/image1.wmf"/><Relationship Id="rId6" Type="http://schemas.openxmlformats.org/officeDocument/2006/relationships/image" Target="../media/image6.emf"/><Relationship Id="rId11" Type="http://schemas.openxmlformats.org/officeDocument/2006/relationships/image" Target="../media/image11.emf"/><Relationship Id="rId24" Type="http://schemas.openxmlformats.org/officeDocument/2006/relationships/image" Target="../media/image24.emf"/><Relationship Id="rId32" Type="http://schemas.openxmlformats.org/officeDocument/2006/relationships/image" Target="../media/image32.emf"/><Relationship Id="rId37" Type="http://schemas.openxmlformats.org/officeDocument/2006/relationships/image" Target="../media/image38.emf"/><Relationship Id="rId5" Type="http://schemas.openxmlformats.org/officeDocument/2006/relationships/image" Target="../media/image5.emf"/><Relationship Id="rId15" Type="http://schemas.openxmlformats.org/officeDocument/2006/relationships/image" Target="../media/image15.emf"/><Relationship Id="rId23" Type="http://schemas.openxmlformats.org/officeDocument/2006/relationships/image" Target="../media/image23.emf"/><Relationship Id="rId28" Type="http://schemas.openxmlformats.org/officeDocument/2006/relationships/image" Target="../media/image42.emf"/><Relationship Id="rId36" Type="http://schemas.openxmlformats.org/officeDocument/2006/relationships/image" Target="../media/image37.emf"/><Relationship Id="rId10" Type="http://schemas.openxmlformats.org/officeDocument/2006/relationships/image" Target="../media/image10.emf"/><Relationship Id="rId19" Type="http://schemas.openxmlformats.org/officeDocument/2006/relationships/image" Target="../media/image19.emf"/><Relationship Id="rId31" Type="http://schemas.openxmlformats.org/officeDocument/2006/relationships/image" Target="../media/image31.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 Id="rId22" Type="http://schemas.openxmlformats.org/officeDocument/2006/relationships/image" Target="../media/image22.emf"/><Relationship Id="rId27" Type="http://schemas.openxmlformats.org/officeDocument/2006/relationships/image" Target="../media/image27.emf"/><Relationship Id="rId30" Type="http://schemas.openxmlformats.org/officeDocument/2006/relationships/image" Target="../media/image30.emf"/><Relationship Id="rId35" Type="http://schemas.openxmlformats.org/officeDocument/2006/relationships/image" Target="../media/image36.emf"/></Relationships>
</file>

<file path=xl/drawings/_rels/vmlDrawing3.vml.rels><?xml version="1.0" encoding="UTF-8" standalone="yes"?>
<Relationships xmlns="http://schemas.openxmlformats.org/package/2006/relationships"><Relationship Id="rId8" Type="http://schemas.openxmlformats.org/officeDocument/2006/relationships/image" Target="../media/image12.emf"/><Relationship Id="rId13" Type="http://schemas.openxmlformats.org/officeDocument/2006/relationships/image" Target="../media/image46.emf"/><Relationship Id="rId18" Type="http://schemas.openxmlformats.org/officeDocument/2006/relationships/image" Target="../media/image27.emf"/><Relationship Id="rId3" Type="http://schemas.openxmlformats.org/officeDocument/2006/relationships/image" Target="../media/image4.emf"/><Relationship Id="rId21" Type="http://schemas.openxmlformats.org/officeDocument/2006/relationships/image" Target="../media/image35.emf"/><Relationship Id="rId7" Type="http://schemas.openxmlformats.org/officeDocument/2006/relationships/image" Target="../media/image11.emf"/><Relationship Id="rId12" Type="http://schemas.openxmlformats.org/officeDocument/2006/relationships/image" Target="../media/image45.emf"/><Relationship Id="rId17" Type="http://schemas.openxmlformats.org/officeDocument/2006/relationships/image" Target="../media/image25.emf"/><Relationship Id="rId2" Type="http://schemas.openxmlformats.org/officeDocument/2006/relationships/image" Target="../media/image2.emf"/><Relationship Id="rId16" Type="http://schemas.openxmlformats.org/officeDocument/2006/relationships/image" Target="../media/image21.emf"/><Relationship Id="rId20" Type="http://schemas.openxmlformats.org/officeDocument/2006/relationships/image" Target="../media/image34.emf"/><Relationship Id="rId1" Type="http://schemas.openxmlformats.org/officeDocument/2006/relationships/image" Target="../media/image1.wmf"/><Relationship Id="rId6" Type="http://schemas.openxmlformats.org/officeDocument/2006/relationships/image" Target="../media/image9.emf"/><Relationship Id="rId11" Type="http://schemas.openxmlformats.org/officeDocument/2006/relationships/image" Target="../media/image44.emf"/><Relationship Id="rId5" Type="http://schemas.openxmlformats.org/officeDocument/2006/relationships/image" Target="../media/image6.emf"/><Relationship Id="rId15" Type="http://schemas.openxmlformats.org/officeDocument/2006/relationships/image" Target="../media/image20.emf"/><Relationship Id="rId23" Type="http://schemas.openxmlformats.org/officeDocument/2006/relationships/image" Target="../media/image39.emf"/><Relationship Id="rId10" Type="http://schemas.openxmlformats.org/officeDocument/2006/relationships/image" Target="../media/image15.emf"/><Relationship Id="rId19" Type="http://schemas.openxmlformats.org/officeDocument/2006/relationships/image" Target="../media/image48.emf"/><Relationship Id="rId4" Type="http://schemas.openxmlformats.org/officeDocument/2006/relationships/image" Target="../media/image5.emf"/><Relationship Id="rId9" Type="http://schemas.openxmlformats.org/officeDocument/2006/relationships/image" Target="../media/image13.emf"/><Relationship Id="rId14" Type="http://schemas.openxmlformats.org/officeDocument/2006/relationships/image" Target="../media/image47.emf"/><Relationship Id="rId22" Type="http://schemas.openxmlformats.org/officeDocument/2006/relationships/image" Target="../media/image36.emf"/></Relationships>
</file>

<file path=xl/drawings/drawing1.xml><?xml version="1.0" encoding="utf-8"?>
<xdr:wsDr xmlns:xdr="http://schemas.openxmlformats.org/drawingml/2006/spreadsheetDrawing" xmlns:a="http://schemas.openxmlformats.org/drawingml/2006/main">
  <xdr:twoCellAnchor editAs="oneCell">
    <xdr:from>
      <xdr:col>10</xdr:col>
      <xdr:colOff>438150</xdr:colOff>
      <xdr:row>9</xdr:row>
      <xdr:rowOff>38100</xdr:rowOff>
    </xdr:from>
    <xdr:to>
      <xdr:col>20</xdr:col>
      <xdr:colOff>121005</xdr:colOff>
      <xdr:row>33</xdr:row>
      <xdr:rowOff>70014</xdr:rowOff>
    </xdr:to>
    <xdr:pic>
      <xdr:nvPicPr>
        <xdr:cNvPr id="10" name="图片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580" y="1851660"/>
          <a:ext cx="6283960" cy="4565650"/>
        </a:xfrm>
        <a:prstGeom prst="rect">
          <a:avLst/>
        </a:prstGeom>
      </xdr:spPr>
    </xdr:pic>
    <xdr:clientData/>
  </xdr:twoCellAnchor>
  <xdr:twoCellAnchor editAs="oneCell">
    <xdr:from>
      <xdr:col>10</xdr:col>
      <xdr:colOff>152400</xdr:colOff>
      <xdr:row>148</xdr:row>
      <xdr:rowOff>114300</xdr:rowOff>
    </xdr:from>
    <xdr:to>
      <xdr:col>13</xdr:col>
      <xdr:colOff>0</xdr:colOff>
      <xdr:row>159</xdr:row>
      <xdr:rowOff>8268</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38435" t="16500" r="6435" b="-1"/>
        <a:stretch>
          <a:fillRect/>
        </a:stretch>
      </xdr:blipFill>
      <xdr:spPr>
        <a:xfrm>
          <a:off x="7910830" y="30060900"/>
          <a:ext cx="1879600" cy="2073275"/>
        </a:xfrm>
        <a:prstGeom prst="rect">
          <a:avLst/>
        </a:prstGeom>
      </xdr:spPr>
    </xdr:pic>
    <xdr:clientData/>
  </xdr:twoCellAnchor>
  <xdr:oneCellAnchor>
    <xdr:from>
      <xdr:col>7</xdr:col>
      <xdr:colOff>38100</xdr:colOff>
      <xdr:row>228</xdr:row>
      <xdr:rowOff>142876</xdr:rowOff>
    </xdr:from>
    <xdr:ext cx="1724025" cy="289559"/>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5910580" y="46678215"/>
          <a:ext cx="1724025" cy="289560"/>
        </a:xfrm>
        <a:prstGeom prst="rect">
          <a:avLst/>
        </a:prstGeom>
        <a:noFill/>
        <a:ln>
          <a:solidFill>
            <a:srgbClr val="0000FF"/>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l-GR" altLang="zh-CN" sz="1100"/>
            <a:t>σ</a:t>
          </a:r>
          <a:r>
            <a:rPr lang="en-US" altLang="zh-CN" sz="1100" baseline="-25000"/>
            <a:t>L2</a:t>
          </a:r>
          <a:r>
            <a:rPr lang="en-US" altLang="zh-CN" sz="1100"/>
            <a:t>=</a:t>
          </a:r>
          <a:r>
            <a:rPr lang="el-GR" altLang="zh-CN" sz="1100"/>
            <a:t>σ</a:t>
          </a:r>
          <a:r>
            <a:rPr lang="en-US" altLang="zh-CN" sz="1100" baseline="-25000"/>
            <a:t>con</a:t>
          </a:r>
          <a:r>
            <a:rPr lang="en-US" altLang="zh-CN" sz="1100"/>
            <a:t>[1-e </a:t>
          </a:r>
          <a:r>
            <a:rPr lang="en-US" altLang="zh-CN" sz="1100" baseline="30000"/>
            <a:t>-(</a:t>
          </a:r>
          <a:r>
            <a:rPr lang="el-GR" altLang="zh-CN" sz="1100" baseline="30000"/>
            <a:t>μθ+κ</a:t>
          </a:r>
          <a:r>
            <a:rPr lang="en-US" altLang="zh-CN" sz="1100" baseline="30000"/>
            <a:t>x) </a:t>
          </a:r>
          <a:r>
            <a:rPr lang="en-US" altLang="zh-CN" sz="1100" baseline="0"/>
            <a:t>]</a:t>
          </a:r>
          <a:endParaRPr lang="zh-CN" altLang="en-US" sz="1100" baseline="0"/>
        </a:p>
      </xdr:txBody>
    </xdr:sp>
    <xdr:clientData/>
  </xdr:oneCellAnchor>
  <xdr:oneCellAnchor>
    <xdr:from>
      <xdr:col>7</xdr:col>
      <xdr:colOff>76201</xdr:colOff>
      <xdr:row>232</xdr:row>
      <xdr:rowOff>161925</xdr:rowOff>
    </xdr:from>
    <xdr:ext cx="1371600" cy="356234"/>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5948680" y="47466885"/>
          <a:ext cx="1371600" cy="355600"/>
        </a:xfrm>
        <a:prstGeom prst="rect">
          <a:avLst/>
        </a:prstGeom>
        <a:noFill/>
        <a:ln>
          <a:solidFill>
            <a:srgbClr val="0000FF"/>
          </a:solidFill>
        </a:ln>
        <a:effectLst/>
      </xdr:spPr>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defRPr/>
          </a:pPr>
          <a:r>
            <a:rPr kumimoji="0" lang="el-GR" altLang="zh-CN" sz="1100" b="0" i="0" u="none" strike="noStrike" kern="0" cap="none" spc="0" normalizeH="0" baseline="0" noProof="0">
              <a:ln>
                <a:noFill/>
              </a:ln>
              <a:solidFill>
                <a:sysClr val="windowText" lastClr="000000"/>
              </a:solidFill>
              <a:effectLst/>
              <a:uLnTx/>
              <a:uFillTx/>
              <a:latin typeface="Calibri" panose="020F0502020204030204"/>
              <a:ea typeface="宋体" panose="02010600030101010101" pitchFamily="7" charset="-122"/>
              <a:cs typeface="+mn-cs"/>
            </a:rPr>
            <a:t>σ</a:t>
          </a:r>
          <a:r>
            <a:rPr kumimoji="0" lang="en-US" altLang="zh-CN" sz="1100" b="0" i="0" u="none" strike="noStrike" kern="0" cap="none" spc="0" normalizeH="0" baseline="-25000" noProof="0">
              <a:ln>
                <a:noFill/>
              </a:ln>
              <a:solidFill>
                <a:sysClr val="windowText" lastClr="000000"/>
              </a:solidFill>
              <a:effectLst/>
              <a:uLnTx/>
              <a:uFillTx/>
              <a:latin typeface="Calibri" panose="020F0502020204030204"/>
              <a:ea typeface="宋体" panose="02010600030101010101" pitchFamily="7" charset="-122"/>
              <a:cs typeface="+mn-cs"/>
            </a:rPr>
            <a:t>L3</a:t>
          </a:r>
          <a:r>
            <a:rPr kumimoji="0" lang="en-US" altLang="zh-CN" sz="1100" b="0" i="0" u="none" strike="noStrike" kern="0" cap="none" spc="0" normalizeH="0" baseline="0" noProof="0">
              <a:ln>
                <a:noFill/>
              </a:ln>
              <a:solidFill>
                <a:sysClr val="windowText" lastClr="000000"/>
              </a:solidFill>
              <a:effectLst/>
              <a:uLnTx/>
              <a:uFillTx/>
              <a:latin typeface="Calibri" panose="020F0502020204030204"/>
              <a:ea typeface="宋体" panose="02010600030101010101" pitchFamily="7" charset="-122"/>
              <a:cs typeface="+mn-cs"/>
            </a:rPr>
            <a:t>=aE</a:t>
          </a:r>
          <a:r>
            <a:rPr kumimoji="0" lang="en-US" altLang="zh-CN" sz="1100" b="0" i="0" u="none" strike="noStrike" kern="0" cap="none" spc="0" normalizeH="0" baseline="-25000" noProof="0">
              <a:ln>
                <a:noFill/>
              </a:ln>
              <a:solidFill>
                <a:sysClr val="windowText" lastClr="000000"/>
              </a:solidFill>
              <a:effectLst/>
              <a:uLnTx/>
              <a:uFillTx/>
              <a:latin typeface="Calibri" panose="020F0502020204030204"/>
              <a:ea typeface="宋体" panose="02010600030101010101" pitchFamily="7" charset="-122"/>
              <a:cs typeface="+mn-cs"/>
            </a:rPr>
            <a:t>p</a:t>
          </a:r>
          <a:r>
            <a:rPr kumimoji="0" lang="zh-CN" altLang="en-US" sz="1100" b="0" i="0" u="none" strike="noStrike" kern="0" cap="none" spc="0" normalizeH="0" baseline="0" noProof="0">
              <a:ln>
                <a:noFill/>
              </a:ln>
              <a:solidFill>
                <a:sysClr val="windowText" lastClr="000000"/>
              </a:solidFill>
              <a:effectLst/>
              <a:uLnTx/>
              <a:uFillTx/>
              <a:latin typeface="Calibri" panose="020F0502020204030204"/>
              <a:ea typeface="宋体" panose="02010600030101010101" pitchFamily="7" charset="-122"/>
              <a:cs typeface="+mn-cs"/>
            </a:rPr>
            <a:t>△</a:t>
          </a:r>
          <a:r>
            <a:rPr kumimoji="0" lang="en-US" altLang="zh-CN" sz="1100" b="0" i="0" u="none" strike="noStrike" kern="0" cap="none" spc="0" normalizeH="0" baseline="0" noProof="0">
              <a:ln>
                <a:noFill/>
              </a:ln>
              <a:solidFill>
                <a:sysClr val="windowText" lastClr="000000"/>
              </a:solidFill>
              <a:effectLst/>
              <a:uLnTx/>
              <a:uFillTx/>
              <a:latin typeface="Calibri" panose="020F0502020204030204"/>
              <a:ea typeface="宋体" panose="02010600030101010101" pitchFamily="7" charset="-122"/>
              <a:cs typeface="+mn-cs"/>
            </a:rPr>
            <a:t>t</a:t>
          </a:r>
          <a:endParaRPr kumimoji="0" lang="zh-CN" altLang="en-US" sz="1100" b="0" i="0" u="none" strike="noStrike" kern="0" cap="none" spc="0" normalizeH="0" baseline="0" noProof="0">
            <a:ln>
              <a:noFill/>
            </a:ln>
            <a:solidFill>
              <a:sysClr val="windowText" lastClr="000000"/>
            </a:solidFill>
            <a:effectLst/>
            <a:uLnTx/>
            <a:uFillTx/>
            <a:latin typeface="Calibri" panose="020F0502020204030204"/>
            <a:ea typeface="宋体" panose="02010600030101010101" pitchFamily="7" charset="-122"/>
            <a:cs typeface="+mn-cs"/>
          </a:endParaRPr>
        </a:p>
      </xdr:txBody>
    </xdr:sp>
    <xdr:clientData/>
  </xdr:oneCellAnchor>
  <xdr:oneCellAnchor>
    <xdr:from>
      <xdr:col>13</xdr:col>
      <xdr:colOff>295274</xdr:colOff>
      <xdr:row>235</xdr:row>
      <xdr:rowOff>28575</xdr:rowOff>
    </xdr:from>
    <xdr:ext cx="1914525" cy="348614"/>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10085070" y="47927895"/>
          <a:ext cx="1914525" cy="347980"/>
        </a:xfrm>
        <a:prstGeom prst="rect">
          <a:avLst/>
        </a:prstGeom>
        <a:noFill/>
        <a:ln>
          <a:solidFill>
            <a:srgbClr val="0000FF"/>
          </a:solidFill>
        </a:ln>
        <a:effectLst/>
      </xdr:spPr>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defRPr/>
          </a:pPr>
          <a:r>
            <a:rPr kumimoji="0" lang="el-GR" altLang="zh-CN" sz="1100" b="0" i="0" u="none" strike="noStrike" kern="0" cap="none" spc="0" normalizeH="0" baseline="0" noProof="0">
              <a:ln>
                <a:noFill/>
              </a:ln>
              <a:solidFill>
                <a:sysClr val="windowText" lastClr="000000"/>
              </a:solidFill>
              <a:effectLst/>
              <a:uLnTx/>
              <a:uFillTx/>
              <a:latin typeface="Calibri" panose="020F0502020204030204"/>
              <a:ea typeface="宋体" panose="02010600030101010101" pitchFamily="7" charset="-122"/>
              <a:cs typeface="+mn-cs"/>
            </a:rPr>
            <a:t>σ</a:t>
          </a:r>
          <a:r>
            <a:rPr kumimoji="0" lang="en-US" altLang="zh-CN" sz="1100" b="0" i="0" u="none" strike="noStrike" kern="0" cap="none" spc="0" normalizeH="0" baseline="-25000" noProof="0">
              <a:ln>
                <a:noFill/>
              </a:ln>
              <a:solidFill>
                <a:sysClr val="windowText" lastClr="000000"/>
              </a:solidFill>
              <a:effectLst/>
              <a:uLnTx/>
              <a:uFillTx/>
              <a:latin typeface="Calibri" panose="020F0502020204030204"/>
              <a:ea typeface="宋体" panose="02010600030101010101" pitchFamily="7" charset="-122"/>
              <a:cs typeface="+mn-cs"/>
            </a:rPr>
            <a:t>L4</a:t>
          </a:r>
          <a:r>
            <a:rPr kumimoji="0" lang="en-US" altLang="zh-CN" sz="1100" b="0" i="0" u="none" strike="noStrike" kern="0" cap="none" spc="0" normalizeH="0" baseline="0" noProof="0">
              <a:ln>
                <a:noFill/>
              </a:ln>
              <a:solidFill>
                <a:sysClr val="windowText" lastClr="000000"/>
              </a:solidFill>
              <a:effectLst/>
              <a:uLnTx/>
              <a:uFillTx/>
              <a:latin typeface="Calibri" panose="020F0502020204030204"/>
              <a:ea typeface="宋体" panose="02010600030101010101" pitchFamily="7" charset="-122"/>
              <a:cs typeface="+mn-cs"/>
            </a:rPr>
            <a:t>=0.125</a:t>
          </a:r>
          <a:r>
            <a:rPr kumimoji="0" lang="zh-CN" altLang="el-GR" sz="1100" b="0" i="0" u="none" strike="noStrike" kern="0" cap="none" spc="0" normalizeH="0" baseline="0" noProof="0">
              <a:ln>
                <a:noFill/>
              </a:ln>
              <a:solidFill>
                <a:sysClr val="windowText" lastClr="000000"/>
              </a:solidFill>
              <a:effectLst/>
              <a:uLnTx/>
              <a:uFillTx/>
              <a:latin typeface="+mn-lt"/>
              <a:ea typeface="+mn-ea"/>
              <a:cs typeface="+mn-cs"/>
            </a:rPr>
            <a:t>（</a:t>
          </a:r>
          <a:r>
            <a:rPr kumimoji="0" lang="el-GR" altLang="zh-CN" sz="1100" b="0" i="0" u="none" strike="noStrike" kern="0" cap="none" spc="0" normalizeH="0" baseline="0" noProof="0">
              <a:ln>
                <a:noFill/>
              </a:ln>
              <a:solidFill>
                <a:sysClr val="windowText" lastClr="000000"/>
              </a:solidFill>
              <a:effectLst/>
              <a:uLnTx/>
              <a:uFillTx/>
              <a:latin typeface="+mn-lt"/>
              <a:ea typeface="+mn-ea"/>
              <a:cs typeface="+mn-cs"/>
            </a:rPr>
            <a:t>σ</a:t>
          </a:r>
          <a:r>
            <a:rPr kumimoji="0" lang="en-US" altLang="zh-CN" sz="1100" b="0" i="0" u="none" strike="noStrike" kern="0" cap="none" spc="0" normalizeH="0" baseline="-25000" noProof="0">
              <a:ln>
                <a:noFill/>
              </a:ln>
              <a:solidFill>
                <a:sysClr val="windowText" lastClr="000000"/>
              </a:solidFill>
              <a:effectLst/>
              <a:uLnTx/>
              <a:uFillTx/>
              <a:latin typeface="+mn-lt"/>
              <a:ea typeface="+mn-ea"/>
              <a:cs typeface="+mn-cs"/>
            </a:rPr>
            <a:t>con</a:t>
          </a:r>
          <a:r>
            <a:rPr kumimoji="0" lang="en-US" altLang="zh-CN" sz="1100" b="0" i="0" u="none" strike="noStrike" kern="0" cap="none" spc="0" normalizeH="0" baseline="0" noProof="0">
              <a:ln>
                <a:noFill/>
              </a:ln>
              <a:solidFill>
                <a:sysClr val="windowText" lastClr="000000"/>
              </a:solidFill>
              <a:effectLst/>
              <a:uLnTx/>
              <a:uFillTx/>
              <a:latin typeface="+mn-lt"/>
              <a:ea typeface="+mn-ea"/>
              <a:cs typeface="+mn-cs"/>
            </a:rPr>
            <a:t>/f</a:t>
          </a:r>
          <a:r>
            <a:rPr kumimoji="0" lang="en-US" altLang="zh-CN" sz="1100" b="0" i="0" u="none" strike="noStrike" kern="0" cap="none" spc="0" normalizeH="0" baseline="-25000" noProof="0">
              <a:ln>
                <a:noFill/>
              </a:ln>
              <a:solidFill>
                <a:sysClr val="windowText" lastClr="000000"/>
              </a:solidFill>
              <a:effectLst/>
              <a:uLnTx/>
              <a:uFillTx/>
              <a:latin typeface="+mn-lt"/>
              <a:ea typeface="+mn-ea"/>
              <a:cs typeface="+mn-cs"/>
            </a:rPr>
            <a:t>ptk</a:t>
          </a:r>
          <a:r>
            <a:rPr kumimoji="0" lang="en-US" altLang="zh-CN" sz="1100" b="0" i="0" u="none" strike="noStrike" kern="0" cap="none" spc="0" normalizeH="0" baseline="0" noProof="0">
              <a:ln>
                <a:noFill/>
              </a:ln>
              <a:solidFill>
                <a:sysClr val="windowText" lastClr="000000"/>
              </a:solidFill>
              <a:effectLst/>
              <a:uLnTx/>
              <a:uFillTx/>
              <a:latin typeface="+mn-lt"/>
              <a:ea typeface="+mn-ea"/>
              <a:cs typeface="+mn-cs"/>
            </a:rPr>
            <a:t>-0.5)</a:t>
          </a:r>
          <a:r>
            <a:rPr kumimoji="0" lang="el-GR" altLang="zh-CN" sz="1100" b="0" i="0" u="none" strike="noStrike" kern="0" cap="none" spc="0" normalizeH="0" baseline="0" noProof="0">
              <a:ln>
                <a:noFill/>
              </a:ln>
              <a:solidFill>
                <a:sysClr val="windowText" lastClr="000000"/>
              </a:solidFill>
              <a:effectLst/>
              <a:uLnTx/>
              <a:uFillTx/>
              <a:latin typeface="+mn-lt"/>
              <a:ea typeface="+mn-ea"/>
              <a:cs typeface="+mn-cs"/>
            </a:rPr>
            <a:t>σ</a:t>
          </a:r>
          <a:r>
            <a:rPr kumimoji="0" lang="en-US" altLang="zh-CN" sz="1100" b="0" i="0" u="none" strike="noStrike" kern="0" cap="none" spc="0" normalizeH="0" baseline="-25000" noProof="0">
              <a:ln>
                <a:noFill/>
              </a:ln>
              <a:solidFill>
                <a:sysClr val="windowText" lastClr="000000"/>
              </a:solidFill>
              <a:effectLst/>
              <a:uLnTx/>
              <a:uFillTx/>
              <a:latin typeface="+mn-lt"/>
              <a:ea typeface="+mn-ea"/>
              <a:cs typeface="+mn-cs"/>
            </a:rPr>
            <a:t>con</a:t>
          </a:r>
          <a:endParaRPr kumimoji="0" lang="zh-CN" altLang="en-US" sz="11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oneCellAnchor>
  <xdr:oneCellAnchor>
    <xdr:from>
      <xdr:col>8</xdr:col>
      <xdr:colOff>247650</xdr:colOff>
      <xdr:row>305</xdr:row>
      <xdr:rowOff>152400</xdr:rowOff>
    </xdr:from>
    <xdr:ext cx="2352675" cy="340994"/>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6737350" y="62316360"/>
          <a:ext cx="2352675" cy="340360"/>
        </a:xfrm>
        <a:prstGeom prst="rect">
          <a:avLst/>
        </a:prstGeom>
        <a:noFill/>
        <a:ln>
          <a:solidFill>
            <a:srgbClr val="0000FF"/>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altLang="zh-CN" sz="1100" baseline="0"/>
            <a:t>x</a:t>
          </a:r>
          <a:r>
            <a:rPr lang="en-US" altLang="zh-CN" sz="1100"/>
            <a:t>=(f</a:t>
          </a:r>
          <a:r>
            <a:rPr lang="en-US" altLang="zh-CN" sz="1100" baseline="-25000"/>
            <a:t>y</a:t>
          </a:r>
          <a:r>
            <a:rPr lang="en-US" altLang="zh-CN" sz="1100"/>
            <a:t>A</a:t>
          </a:r>
          <a:r>
            <a:rPr lang="en-US" altLang="zh-CN" sz="1100" baseline="-25000"/>
            <a:t>s</a:t>
          </a:r>
          <a:r>
            <a:rPr lang="en-US" altLang="zh-CN" sz="1100"/>
            <a:t>-f'</a:t>
          </a:r>
          <a:r>
            <a:rPr lang="en-US" altLang="zh-CN" sz="1100" baseline="-25000"/>
            <a:t>y</a:t>
          </a:r>
          <a:r>
            <a:rPr lang="en-US" altLang="zh-CN" sz="1100"/>
            <a:t>A'</a:t>
          </a:r>
          <a:r>
            <a:rPr lang="en-US" altLang="zh-CN" sz="1100" baseline="-25000"/>
            <a:t>s</a:t>
          </a:r>
          <a:r>
            <a:rPr lang="en-US" altLang="zh-CN" sz="1100"/>
            <a:t>+f</a:t>
          </a:r>
          <a:r>
            <a:rPr lang="en-US" altLang="zh-CN" sz="1100" baseline="-25000"/>
            <a:t>py</a:t>
          </a:r>
          <a:r>
            <a:rPr lang="en-US" altLang="zh-CN" sz="1100"/>
            <a:t>A</a:t>
          </a:r>
          <a:r>
            <a:rPr lang="en-US" altLang="zh-CN" sz="1100" baseline="-25000"/>
            <a:t>p</a:t>
          </a:r>
          <a:r>
            <a:rPr lang="en-US" altLang="zh-CN" sz="1100"/>
            <a:t>+(</a:t>
          </a:r>
          <a:r>
            <a:rPr lang="el-GR" altLang="zh-CN" sz="1100">
              <a:ea typeface="宋体" panose="02010600030101010101" pitchFamily="7" charset="-122"/>
            </a:rPr>
            <a:t>σ</a:t>
          </a:r>
          <a:r>
            <a:rPr lang="en-US" altLang="zh-CN" sz="1100">
              <a:ea typeface="宋体" panose="02010600030101010101" pitchFamily="7" charset="-122"/>
            </a:rPr>
            <a:t>'</a:t>
          </a:r>
          <a:r>
            <a:rPr lang="en-US" altLang="zh-CN" sz="1100" baseline="-25000">
              <a:ea typeface="宋体" panose="02010600030101010101" pitchFamily="7" charset="-122"/>
            </a:rPr>
            <a:t>p0</a:t>
          </a:r>
          <a:r>
            <a:rPr lang="en-US" altLang="zh-CN" sz="1100">
              <a:ea typeface="宋体" panose="02010600030101010101" pitchFamily="7" charset="-122"/>
            </a:rPr>
            <a:t>-f'</a:t>
          </a:r>
          <a:r>
            <a:rPr lang="en-US" altLang="zh-CN" sz="1100" baseline="-25000">
              <a:ea typeface="宋体" panose="02010600030101010101" pitchFamily="7" charset="-122"/>
            </a:rPr>
            <a:t>py</a:t>
          </a:r>
          <a:r>
            <a:rPr lang="en-US" altLang="zh-CN" sz="1100"/>
            <a:t>)A'</a:t>
          </a:r>
          <a:r>
            <a:rPr lang="en-US" altLang="zh-CN" sz="1100" baseline="-25000"/>
            <a:t>p</a:t>
          </a:r>
          <a:r>
            <a:rPr lang="en-US" altLang="zh-CN" sz="1100" baseline="0"/>
            <a:t>)/(f</a:t>
          </a:r>
          <a:r>
            <a:rPr lang="en-US" altLang="zh-CN" sz="1100" baseline="-25000"/>
            <a:t>c</a:t>
          </a:r>
          <a:r>
            <a:rPr lang="en-US" altLang="zh-CN" sz="1100" baseline="0"/>
            <a:t>b'</a:t>
          </a:r>
          <a:r>
            <a:rPr lang="en-US" altLang="zh-CN" sz="1100" baseline="-25000"/>
            <a:t>f</a:t>
          </a:r>
          <a:r>
            <a:rPr lang="en-US" altLang="zh-CN" sz="1100" baseline="0"/>
            <a:t>)</a:t>
          </a:r>
          <a:endParaRPr lang="zh-CN" altLang="en-US" sz="1100" baseline="0"/>
        </a:p>
      </xdr:txBody>
    </xdr:sp>
    <xdr:clientData/>
  </xdr:oneCellAnchor>
  <xdr:oneCellAnchor>
    <xdr:from>
      <xdr:col>7</xdr:col>
      <xdr:colOff>9525</xdr:colOff>
      <xdr:row>323</xdr:row>
      <xdr:rowOff>38100</xdr:rowOff>
    </xdr:from>
    <xdr:ext cx="2352675" cy="354329"/>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5882005" y="65547240"/>
          <a:ext cx="2352675" cy="353695"/>
        </a:xfrm>
        <a:prstGeom prst="rect">
          <a:avLst/>
        </a:prstGeom>
        <a:noFill/>
        <a:ln>
          <a:solidFill>
            <a:srgbClr val="0000FF"/>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altLang="zh-CN" sz="1100" baseline="0"/>
            <a:t>h</a:t>
          </a:r>
          <a:r>
            <a:rPr lang="en-US" altLang="zh-CN" sz="1100" baseline="-25000"/>
            <a:t>w</a:t>
          </a:r>
          <a:r>
            <a:rPr lang="en-US" altLang="zh-CN" sz="1100" baseline="0"/>
            <a:t>/b&lt;4,KV&lt;0.25f</a:t>
          </a:r>
          <a:r>
            <a:rPr lang="en-US" altLang="zh-CN" sz="1100" baseline="-25000"/>
            <a:t>c</a:t>
          </a:r>
          <a:r>
            <a:rPr lang="en-US" altLang="zh-CN" sz="1100" baseline="0"/>
            <a:t>bh</a:t>
          </a:r>
          <a:r>
            <a:rPr lang="en-US" altLang="zh-CN" sz="1100" baseline="-25000"/>
            <a:t>0</a:t>
          </a:r>
          <a:endParaRPr lang="zh-CN" altLang="en-US" sz="1100" baseline="-25000"/>
        </a:p>
      </xdr:txBody>
    </xdr:sp>
    <xdr:clientData/>
  </xdr:oneCellAnchor>
  <xdr:oneCellAnchor>
    <xdr:from>
      <xdr:col>10</xdr:col>
      <xdr:colOff>609600</xdr:colOff>
      <xdr:row>323</xdr:row>
      <xdr:rowOff>38100</xdr:rowOff>
    </xdr:from>
    <xdr:ext cx="2352675" cy="354329"/>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8368030" y="65547240"/>
          <a:ext cx="2352675" cy="353695"/>
        </a:xfrm>
        <a:prstGeom prst="rect">
          <a:avLst/>
        </a:prstGeom>
        <a:noFill/>
        <a:ln>
          <a:solidFill>
            <a:srgbClr val="0000FF"/>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altLang="zh-CN" sz="1100" baseline="0"/>
            <a:t>h</a:t>
          </a:r>
          <a:r>
            <a:rPr lang="en-US" altLang="zh-CN" sz="1100" baseline="-25000"/>
            <a:t>w</a:t>
          </a:r>
          <a:r>
            <a:rPr lang="en-US" altLang="zh-CN" sz="1100" baseline="0"/>
            <a:t>/b&gt;6,KV&lt;0.2f</a:t>
          </a:r>
          <a:r>
            <a:rPr lang="en-US" altLang="zh-CN" sz="1100" baseline="-25000"/>
            <a:t>c</a:t>
          </a:r>
          <a:r>
            <a:rPr lang="en-US" altLang="zh-CN" sz="1100" baseline="0"/>
            <a:t>bh</a:t>
          </a:r>
          <a:r>
            <a:rPr lang="en-US" altLang="zh-CN" sz="1100" baseline="-25000"/>
            <a:t>0</a:t>
          </a:r>
          <a:r>
            <a:rPr lang="en-US" altLang="zh-CN" sz="1100" baseline="0"/>
            <a:t>;4~6</a:t>
          </a:r>
          <a:r>
            <a:rPr lang="zh-CN" altLang="en-US" sz="1100" baseline="0"/>
            <a:t>间则插值</a:t>
          </a:r>
        </a:p>
      </xdr:txBody>
    </xdr:sp>
    <xdr:clientData/>
  </xdr:oneCellAnchor>
  <xdr:oneCellAnchor>
    <xdr:from>
      <xdr:col>7</xdr:col>
      <xdr:colOff>47625</xdr:colOff>
      <xdr:row>327</xdr:row>
      <xdr:rowOff>161925</xdr:rowOff>
    </xdr:from>
    <xdr:ext cx="2352675" cy="373379"/>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5920105" y="66486405"/>
          <a:ext cx="2352675" cy="372745"/>
        </a:xfrm>
        <a:prstGeom prst="rect">
          <a:avLst/>
        </a:prstGeom>
        <a:noFill/>
        <a:ln>
          <a:solidFill>
            <a:srgbClr val="0000FF"/>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altLang="zh-CN" sz="1100" baseline="0"/>
            <a:t>N</a:t>
          </a:r>
          <a:r>
            <a:rPr lang="en-US" altLang="zh-CN" sz="1100" baseline="-25000"/>
            <a:t>p0</a:t>
          </a:r>
          <a:r>
            <a:rPr lang="en-US" altLang="zh-CN" sz="1100" baseline="0"/>
            <a:t>=</a:t>
          </a:r>
          <a:r>
            <a:rPr lang="el-GR" altLang="zh-CN" sz="1100" baseline="0">
              <a:ea typeface="宋体" panose="02010600030101010101" pitchFamily="7" charset="-122"/>
            </a:rPr>
            <a:t>σ</a:t>
          </a:r>
          <a:r>
            <a:rPr lang="en-US" altLang="zh-CN" sz="1100" baseline="-25000">
              <a:ea typeface="宋体" panose="02010600030101010101" pitchFamily="7" charset="-122"/>
            </a:rPr>
            <a:t>p0</a:t>
          </a:r>
          <a:r>
            <a:rPr lang="en-US" altLang="zh-CN" sz="1100" baseline="0">
              <a:ea typeface="宋体" panose="02010600030101010101" pitchFamily="7" charset="-122"/>
            </a:rPr>
            <a:t>A</a:t>
          </a:r>
          <a:r>
            <a:rPr lang="en-US" altLang="zh-CN" sz="1100" baseline="-25000">
              <a:ea typeface="宋体" panose="02010600030101010101" pitchFamily="7" charset="-122"/>
            </a:rPr>
            <a:t>p</a:t>
          </a:r>
          <a:r>
            <a:rPr lang="en-US" altLang="zh-CN" sz="1100" baseline="0">
              <a:ea typeface="宋体" panose="02010600030101010101" pitchFamily="7" charset="-122"/>
            </a:rPr>
            <a:t>+</a:t>
          </a:r>
          <a:r>
            <a:rPr lang="el-GR" altLang="zh-CN" sz="1100" baseline="0">
              <a:ea typeface="宋体" panose="02010600030101010101" pitchFamily="7" charset="-122"/>
            </a:rPr>
            <a:t>σ</a:t>
          </a:r>
          <a:r>
            <a:rPr lang="en-US" altLang="zh-CN" sz="1100" baseline="0">
              <a:ea typeface="宋体" panose="02010600030101010101" pitchFamily="7" charset="-122"/>
            </a:rPr>
            <a:t>'</a:t>
          </a:r>
          <a:r>
            <a:rPr lang="en-US" altLang="zh-CN" sz="1100" baseline="-25000">
              <a:ea typeface="宋体" panose="02010600030101010101" pitchFamily="7" charset="-122"/>
            </a:rPr>
            <a:t>p0</a:t>
          </a:r>
          <a:r>
            <a:rPr lang="en-US" altLang="zh-CN" sz="1100" baseline="0">
              <a:ea typeface="宋体" panose="02010600030101010101" pitchFamily="7" charset="-122"/>
            </a:rPr>
            <a:t>A'</a:t>
          </a:r>
          <a:r>
            <a:rPr lang="en-US" altLang="zh-CN" sz="1100" baseline="-25000">
              <a:ea typeface="宋体" panose="02010600030101010101" pitchFamily="7" charset="-122"/>
            </a:rPr>
            <a:t>p</a:t>
          </a:r>
          <a:r>
            <a:rPr lang="en-US" altLang="zh-CN" sz="1100" baseline="0">
              <a:ea typeface="宋体" panose="02010600030101010101" pitchFamily="7" charset="-122"/>
            </a:rPr>
            <a:t>-</a:t>
          </a:r>
          <a:r>
            <a:rPr lang="el-GR" altLang="zh-CN" sz="1100" baseline="0">
              <a:ea typeface="宋体" panose="02010600030101010101" pitchFamily="7" charset="-122"/>
            </a:rPr>
            <a:t>σ</a:t>
          </a:r>
          <a:r>
            <a:rPr lang="en-US" altLang="zh-CN" sz="1100" baseline="-25000">
              <a:ea typeface="宋体" panose="02010600030101010101" pitchFamily="7" charset="-122"/>
            </a:rPr>
            <a:t>l5</a:t>
          </a:r>
          <a:r>
            <a:rPr lang="en-US" altLang="zh-CN" sz="1100" baseline="0">
              <a:ea typeface="宋体" panose="02010600030101010101" pitchFamily="7" charset="-122"/>
            </a:rPr>
            <a:t>A</a:t>
          </a:r>
          <a:r>
            <a:rPr lang="en-US" altLang="zh-CN" sz="1100" baseline="-25000">
              <a:ea typeface="宋体" panose="02010600030101010101" pitchFamily="7" charset="-122"/>
            </a:rPr>
            <a:t>s</a:t>
          </a:r>
          <a:r>
            <a:rPr lang="en-US" altLang="zh-CN" sz="1100" baseline="0">
              <a:ea typeface="宋体" panose="02010600030101010101" pitchFamily="7" charset="-122"/>
            </a:rPr>
            <a:t>-</a:t>
          </a:r>
          <a:r>
            <a:rPr lang="el-GR" altLang="zh-CN" sz="1100" baseline="0">
              <a:ea typeface="宋体" panose="02010600030101010101" pitchFamily="7" charset="-122"/>
            </a:rPr>
            <a:t>σ</a:t>
          </a:r>
          <a:r>
            <a:rPr lang="en-US" altLang="zh-CN" sz="1100" baseline="0">
              <a:ea typeface="宋体" panose="02010600030101010101" pitchFamily="7" charset="-122"/>
            </a:rPr>
            <a:t>'</a:t>
          </a:r>
          <a:r>
            <a:rPr lang="en-US" altLang="zh-CN" sz="1100" baseline="-25000">
              <a:ea typeface="宋体" panose="02010600030101010101" pitchFamily="7" charset="-122"/>
            </a:rPr>
            <a:t>l5</a:t>
          </a:r>
          <a:r>
            <a:rPr lang="en-US" altLang="zh-CN" sz="1100" baseline="0">
              <a:ea typeface="宋体" panose="02010600030101010101" pitchFamily="7" charset="-122"/>
            </a:rPr>
            <a:t>A'</a:t>
          </a:r>
          <a:r>
            <a:rPr lang="en-US" altLang="zh-CN" sz="1100" baseline="-25000">
              <a:ea typeface="宋体" panose="02010600030101010101" pitchFamily="7" charset="-122"/>
            </a:rPr>
            <a:t>s</a:t>
          </a:r>
          <a:endParaRPr lang="zh-CN" altLang="en-US" sz="1100" baseline="-25000"/>
        </a:p>
      </xdr:txBody>
    </xdr:sp>
    <xdr:clientData/>
  </xdr:oneCellAnchor>
  <xdr:oneCellAnchor>
    <xdr:from>
      <xdr:col>7</xdr:col>
      <xdr:colOff>542926</xdr:colOff>
      <xdr:row>344</xdr:row>
      <xdr:rowOff>47625</xdr:rowOff>
    </xdr:from>
    <xdr:ext cx="1066799" cy="310514"/>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6415405" y="69953505"/>
          <a:ext cx="1066800" cy="309880"/>
        </a:xfrm>
        <a:prstGeom prst="rect">
          <a:avLst/>
        </a:prstGeom>
        <a:noFill/>
        <a:ln>
          <a:solidFill>
            <a:srgbClr val="0000FF"/>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altLang="zh-CN" sz="1100" baseline="0"/>
            <a:t>KV&lt;</a:t>
          </a:r>
          <a:r>
            <a:rPr lang="en-US" altLang="zh-CN" sz="1100" baseline="0">
              <a:ea typeface="宋体" panose="02010600030101010101" pitchFamily="7" charset="-122"/>
            </a:rPr>
            <a:t>V</a:t>
          </a:r>
          <a:r>
            <a:rPr lang="en-US" altLang="zh-CN" sz="1100" baseline="-25000">
              <a:ea typeface="宋体" panose="02010600030101010101" pitchFamily="7" charset="-122"/>
            </a:rPr>
            <a:t>C</a:t>
          </a:r>
          <a:r>
            <a:rPr lang="en-US" altLang="zh-CN" sz="1100" baseline="0">
              <a:ea typeface="宋体" panose="02010600030101010101" pitchFamily="7" charset="-122"/>
            </a:rPr>
            <a:t>+V</a:t>
          </a:r>
          <a:r>
            <a:rPr lang="en-US" altLang="zh-CN" sz="1100" baseline="-25000">
              <a:ea typeface="宋体" panose="02010600030101010101" pitchFamily="7" charset="-122"/>
            </a:rPr>
            <a:t>p</a:t>
          </a:r>
          <a:r>
            <a:rPr lang="en-US" altLang="zh-CN" sz="1100" baseline="0">
              <a:ea typeface="宋体" panose="02010600030101010101" pitchFamily="7" charset="-122"/>
            </a:rPr>
            <a:t>+V</a:t>
          </a:r>
          <a:r>
            <a:rPr lang="en-US" altLang="zh-CN" sz="1100" baseline="-25000">
              <a:ea typeface="宋体" panose="02010600030101010101" pitchFamily="7" charset="-122"/>
            </a:rPr>
            <a:t>sV</a:t>
          </a:r>
          <a:endParaRPr lang="zh-CN" altLang="en-US" sz="1100" baseline="-25000"/>
        </a:p>
      </xdr:txBody>
    </xdr:sp>
    <xdr:clientData/>
  </xdr:oneCellAnchor>
  <xdr:oneCellAnchor>
    <xdr:from>
      <xdr:col>7</xdr:col>
      <xdr:colOff>304801</xdr:colOff>
      <xdr:row>355</xdr:row>
      <xdr:rowOff>28575</xdr:rowOff>
    </xdr:from>
    <xdr:ext cx="1885950" cy="356234"/>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6177280" y="72159495"/>
          <a:ext cx="1885950" cy="355600"/>
        </a:xfrm>
        <a:prstGeom prst="rect">
          <a:avLst/>
        </a:prstGeom>
        <a:noFill/>
        <a:ln>
          <a:solidFill>
            <a:srgbClr val="0000FF"/>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l-GR" altLang="zh-CN" sz="1100" baseline="0">
              <a:ea typeface="宋体" panose="02010600030101010101" pitchFamily="7" charset="-122"/>
            </a:rPr>
            <a:t>σ</a:t>
          </a:r>
          <a:r>
            <a:rPr lang="en-US" altLang="zh-CN" sz="1100" baseline="-25000"/>
            <a:t>CK</a:t>
          </a:r>
          <a:r>
            <a:rPr lang="en-US" altLang="zh-CN" sz="1100" baseline="0"/>
            <a:t>-</a:t>
          </a:r>
          <a:r>
            <a:rPr lang="el-GR" altLang="zh-CN" sz="1100" baseline="0">
              <a:ea typeface="宋体" panose="02010600030101010101" pitchFamily="7" charset="-122"/>
            </a:rPr>
            <a:t>σ</a:t>
          </a:r>
          <a:r>
            <a:rPr lang="en-US" altLang="zh-CN" sz="1100" baseline="-25000">
              <a:ea typeface="宋体" panose="02010600030101010101" pitchFamily="7" charset="-122"/>
            </a:rPr>
            <a:t>pC</a:t>
          </a:r>
          <a:r>
            <a:rPr lang="en-US" altLang="zh-CN" sz="1100" baseline="0">
              <a:ea typeface="宋体" panose="02010600030101010101" pitchFamily="7" charset="-122"/>
            </a:rPr>
            <a:t>&lt;</a:t>
          </a:r>
          <a:r>
            <a:rPr lang="el-GR" altLang="zh-CN" sz="1100" baseline="0">
              <a:ea typeface="宋体" panose="02010600030101010101" pitchFamily="7" charset="-122"/>
            </a:rPr>
            <a:t>α</a:t>
          </a:r>
          <a:r>
            <a:rPr lang="en-US" altLang="zh-CN" sz="1100" baseline="-25000">
              <a:ea typeface="宋体" panose="02010600030101010101" pitchFamily="7" charset="-122"/>
            </a:rPr>
            <a:t>Ct</a:t>
          </a:r>
          <a:r>
            <a:rPr lang="en-US" altLang="zh-CN" sz="1100" baseline="0">
              <a:ea typeface="宋体" panose="02010600030101010101" pitchFamily="7" charset="-122"/>
            </a:rPr>
            <a:t>rf</a:t>
          </a:r>
          <a:r>
            <a:rPr lang="en-US" altLang="zh-CN" sz="1100" baseline="-25000">
              <a:ea typeface="宋体" panose="02010600030101010101" pitchFamily="7" charset="-122"/>
            </a:rPr>
            <a:t>tk</a:t>
          </a:r>
          <a:endParaRPr lang="zh-CN" altLang="en-US" sz="1100" baseline="-25000"/>
        </a:p>
      </xdr:txBody>
    </xdr:sp>
    <xdr:clientData/>
  </xdr:oneCellAnchor>
  <xdr:oneCellAnchor>
    <xdr:from>
      <xdr:col>7</xdr:col>
      <xdr:colOff>47625</xdr:colOff>
      <xdr:row>425</xdr:row>
      <xdr:rowOff>57150</xdr:rowOff>
    </xdr:from>
    <xdr:ext cx="2028825" cy="342899"/>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5920105" y="86932770"/>
          <a:ext cx="2028825" cy="342265"/>
        </a:xfrm>
        <a:prstGeom prst="rect">
          <a:avLst/>
        </a:prstGeom>
        <a:noFill/>
        <a:ln>
          <a:solidFill>
            <a:srgbClr val="0000FF"/>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l-GR" altLang="zh-CN" sz="1100" baseline="0">
              <a:ea typeface="宋体" panose="02010600030101010101" pitchFamily="7" charset="-122"/>
            </a:rPr>
            <a:t>σ</a:t>
          </a:r>
          <a:r>
            <a:rPr lang="en-US" altLang="zh-CN" sz="1100" baseline="-25000">
              <a:ea typeface="宋体" panose="02010600030101010101" pitchFamily="7" charset="-122"/>
            </a:rPr>
            <a:t>cc</a:t>
          </a:r>
          <a:r>
            <a:rPr lang="zh-CN" altLang="en-US" sz="1100" baseline="0">
              <a:ea typeface="宋体" panose="02010600030101010101" pitchFamily="7" charset="-122"/>
            </a:rPr>
            <a:t>或</a:t>
          </a:r>
          <a:r>
            <a:rPr lang="el-GR" altLang="zh-CN" sz="1100" baseline="0">
              <a:ea typeface="宋体" panose="02010600030101010101" pitchFamily="7" charset="-122"/>
            </a:rPr>
            <a:t>σ</a:t>
          </a:r>
          <a:r>
            <a:rPr lang="en-US" altLang="zh-CN" sz="1100" baseline="-25000">
              <a:ea typeface="宋体" panose="02010600030101010101" pitchFamily="7" charset="-122"/>
            </a:rPr>
            <a:t>ct</a:t>
          </a:r>
          <a:r>
            <a:rPr lang="en-US" altLang="zh-CN" sz="1100" baseline="0">
              <a:ea typeface="宋体" panose="02010600030101010101" pitchFamily="7" charset="-122"/>
            </a:rPr>
            <a:t>=</a:t>
          </a:r>
          <a:r>
            <a:rPr lang="el-GR" altLang="zh-CN" sz="1100" baseline="0">
              <a:ea typeface="宋体" panose="02010600030101010101" pitchFamily="7" charset="-122"/>
            </a:rPr>
            <a:t>σ</a:t>
          </a:r>
          <a:r>
            <a:rPr lang="en-US" altLang="zh-CN" sz="1100" baseline="-25000">
              <a:ea typeface="宋体" panose="02010600030101010101" pitchFamily="7" charset="-122"/>
            </a:rPr>
            <a:t>pc</a:t>
          </a:r>
          <a:r>
            <a:rPr lang="en-US" altLang="zh-CN" sz="1100" baseline="0">
              <a:ea typeface="宋体" panose="02010600030101010101" pitchFamily="7" charset="-122"/>
            </a:rPr>
            <a:t>+N</a:t>
          </a:r>
          <a:r>
            <a:rPr lang="en-US" altLang="zh-CN" sz="1100" baseline="-25000">
              <a:ea typeface="宋体" panose="02010600030101010101" pitchFamily="7" charset="-122"/>
            </a:rPr>
            <a:t>k</a:t>
          </a:r>
          <a:r>
            <a:rPr lang="en-US" altLang="zh-CN" sz="1100" baseline="0">
              <a:ea typeface="宋体" panose="02010600030101010101" pitchFamily="7" charset="-122"/>
            </a:rPr>
            <a:t>/A</a:t>
          </a:r>
          <a:r>
            <a:rPr lang="en-US" altLang="zh-CN" sz="1100" baseline="-25000">
              <a:ea typeface="宋体" panose="02010600030101010101" pitchFamily="7" charset="-122"/>
            </a:rPr>
            <a:t>0</a:t>
          </a:r>
          <a:r>
            <a:rPr lang="en-US" altLang="zh-CN" sz="1100" u="sng" baseline="0">
              <a:ea typeface="宋体" panose="02010600030101010101" pitchFamily="7" charset="-122"/>
            </a:rPr>
            <a:t>+</a:t>
          </a:r>
          <a:r>
            <a:rPr lang="en-US" altLang="zh-CN" sz="1100" baseline="0">
              <a:ea typeface="宋体" panose="02010600030101010101" pitchFamily="7" charset="-122"/>
            </a:rPr>
            <a:t>M</a:t>
          </a:r>
          <a:r>
            <a:rPr lang="en-US" altLang="zh-CN" sz="1100" baseline="-25000">
              <a:ea typeface="宋体" panose="02010600030101010101" pitchFamily="7" charset="-122"/>
            </a:rPr>
            <a:t>k</a:t>
          </a:r>
          <a:r>
            <a:rPr lang="en-US" altLang="zh-CN" sz="1100" baseline="0">
              <a:ea typeface="宋体" panose="02010600030101010101" pitchFamily="7" charset="-122"/>
            </a:rPr>
            <a:t>/W</a:t>
          </a:r>
          <a:r>
            <a:rPr lang="en-US" altLang="zh-CN" sz="1100" baseline="-25000">
              <a:ea typeface="宋体" panose="02010600030101010101" pitchFamily="7" charset="-122"/>
            </a:rPr>
            <a:t>0</a:t>
          </a:r>
          <a:endParaRPr lang="zh-CN" altLang="en-US" sz="1100" baseline="-25000"/>
        </a:p>
      </xdr:txBody>
    </xdr:sp>
    <xdr:clientData/>
  </xdr:oneCellAnchor>
  <mc:AlternateContent xmlns:mc="http://schemas.openxmlformats.org/markup-compatibility/2006">
    <mc:Choice xmlns:a14="http://schemas.microsoft.com/office/drawing/2010/main" Requires="a14">
      <xdr:twoCellAnchor>
        <xdr:from>
          <xdr:col>7</xdr:col>
          <xdr:colOff>47625</xdr:colOff>
          <xdr:row>78</xdr:row>
          <xdr:rowOff>85725</xdr:rowOff>
        </xdr:from>
        <xdr:to>
          <xdr:col>9</xdr:col>
          <xdr:colOff>400050</xdr:colOff>
          <xdr:row>79</xdr:row>
          <xdr:rowOff>142875</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66675</xdr:colOff>
          <xdr:row>80</xdr:row>
          <xdr:rowOff>28575</xdr:rowOff>
        </xdr:from>
        <xdr:to>
          <xdr:col>10</xdr:col>
          <xdr:colOff>476250</xdr:colOff>
          <xdr:row>82</xdr:row>
          <xdr:rowOff>142875</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w="9525">
              <a:solidFill>
                <a:srgbClr val="2C36F8"/>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47625</xdr:colOff>
          <xdr:row>196</xdr:row>
          <xdr:rowOff>57150</xdr:rowOff>
        </xdr:from>
        <xdr:to>
          <xdr:col>12</xdr:col>
          <xdr:colOff>476250</xdr:colOff>
          <xdr:row>198</xdr:row>
          <xdr:rowOff>200025</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47625</xdr:colOff>
          <xdr:row>201</xdr:row>
          <xdr:rowOff>114300</xdr:rowOff>
        </xdr:from>
        <xdr:to>
          <xdr:col>14</xdr:col>
          <xdr:colOff>247650</xdr:colOff>
          <xdr:row>202</xdr:row>
          <xdr:rowOff>190500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9525</xdr:colOff>
          <xdr:row>210</xdr:row>
          <xdr:rowOff>114300</xdr:rowOff>
        </xdr:from>
        <xdr:to>
          <xdr:col>11</xdr:col>
          <xdr:colOff>495300</xdr:colOff>
          <xdr:row>211</xdr:row>
          <xdr:rowOff>190500</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161925</xdr:colOff>
          <xdr:row>224</xdr:row>
          <xdr:rowOff>104775</xdr:rowOff>
        </xdr:from>
        <xdr:to>
          <xdr:col>8</xdr:col>
          <xdr:colOff>133350</xdr:colOff>
          <xdr:row>226</xdr:row>
          <xdr:rowOff>28575</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57150</xdr:colOff>
          <xdr:row>229</xdr:row>
          <xdr:rowOff>19050</xdr:rowOff>
        </xdr:from>
        <xdr:to>
          <xdr:col>13</xdr:col>
          <xdr:colOff>466725</xdr:colOff>
          <xdr:row>230</xdr:row>
          <xdr:rowOff>19050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209550</xdr:colOff>
          <xdr:row>235</xdr:row>
          <xdr:rowOff>57150</xdr:rowOff>
        </xdr:from>
        <xdr:to>
          <xdr:col>9</xdr:col>
          <xdr:colOff>295275</xdr:colOff>
          <xdr:row>236</xdr:row>
          <xdr:rowOff>114300</xdr:rowOff>
        </xdr:to>
        <xdr:sp macro="" textlink="">
          <xdr:nvSpPr>
            <xdr:cNvPr id="1036" name="Object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638175</xdr:colOff>
          <xdr:row>240</xdr:row>
          <xdr:rowOff>133350</xdr:rowOff>
        </xdr:from>
        <xdr:to>
          <xdr:col>10</xdr:col>
          <xdr:colOff>219075</xdr:colOff>
          <xdr:row>242</xdr:row>
          <xdr:rowOff>85725</xdr:rowOff>
        </xdr:to>
        <xdr:sp macro="" textlink="">
          <xdr:nvSpPr>
            <xdr:cNvPr id="1037" name="Object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542925</xdr:colOff>
          <xdr:row>245</xdr:row>
          <xdr:rowOff>171450</xdr:rowOff>
        </xdr:from>
        <xdr:to>
          <xdr:col>10</xdr:col>
          <xdr:colOff>476250</xdr:colOff>
          <xdr:row>249</xdr:row>
          <xdr:rowOff>57150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609600</xdr:colOff>
          <xdr:row>250</xdr:row>
          <xdr:rowOff>104775</xdr:rowOff>
        </xdr:from>
        <xdr:to>
          <xdr:col>8</xdr:col>
          <xdr:colOff>561975</xdr:colOff>
          <xdr:row>254</xdr:row>
          <xdr:rowOff>9525</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600075</xdr:colOff>
          <xdr:row>254</xdr:row>
          <xdr:rowOff>66675</xdr:rowOff>
        </xdr:from>
        <xdr:to>
          <xdr:col>8</xdr:col>
          <xdr:colOff>590550</xdr:colOff>
          <xdr:row>258</xdr:row>
          <xdr:rowOff>85725</xdr:rowOff>
        </xdr:to>
        <xdr:sp macro="" textlink="">
          <xdr:nvSpPr>
            <xdr:cNvPr id="1040" name="Object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638175</xdr:colOff>
          <xdr:row>259</xdr:row>
          <xdr:rowOff>104775</xdr:rowOff>
        </xdr:from>
        <xdr:to>
          <xdr:col>8</xdr:col>
          <xdr:colOff>76200</xdr:colOff>
          <xdr:row>262</xdr:row>
          <xdr:rowOff>38100</xdr:rowOff>
        </xdr:to>
        <xdr:sp macro="" textlink="">
          <xdr:nvSpPr>
            <xdr:cNvPr id="1041" name="Object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476250</xdr:colOff>
          <xdr:row>259</xdr:row>
          <xdr:rowOff>142875</xdr:rowOff>
        </xdr:from>
        <xdr:to>
          <xdr:col>10</xdr:col>
          <xdr:colOff>66675</xdr:colOff>
          <xdr:row>262</xdr:row>
          <xdr:rowOff>133350</xdr:rowOff>
        </xdr:to>
        <xdr:sp macro="" textlink="">
          <xdr:nvSpPr>
            <xdr:cNvPr id="1043" name="Object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19050</xdr:colOff>
          <xdr:row>263</xdr:row>
          <xdr:rowOff>19050</xdr:rowOff>
        </xdr:from>
        <xdr:to>
          <xdr:col>8</xdr:col>
          <xdr:colOff>361950</xdr:colOff>
          <xdr:row>266</xdr:row>
          <xdr:rowOff>123825</xdr:rowOff>
        </xdr:to>
        <xdr:sp macro="" textlink="">
          <xdr:nvSpPr>
            <xdr:cNvPr id="1044" name="Object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542925</xdr:colOff>
          <xdr:row>263</xdr:row>
          <xdr:rowOff>85725</xdr:rowOff>
        </xdr:from>
        <xdr:to>
          <xdr:col>10</xdr:col>
          <xdr:colOff>400050</xdr:colOff>
          <xdr:row>266</xdr:row>
          <xdr:rowOff>104775</xdr:rowOff>
        </xdr:to>
        <xdr:sp macro="" textlink="">
          <xdr:nvSpPr>
            <xdr:cNvPr id="1046" name="Object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647700</xdr:colOff>
          <xdr:row>266</xdr:row>
          <xdr:rowOff>66675</xdr:rowOff>
        </xdr:from>
        <xdr:to>
          <xdr:col>4</xdr:col>
          <xdr:colOff>647700</xdr:colOff>
          <xdr:row>267</xdr:row>
          <xdr:rowOff>142875</xdr:rowOff>
        </xdr:to>
        <xdr:sp macro="" textlink="">
          <xdr:nvSpPr>
            <xdr:cNvPr id="1048" name="Object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271</xdr:row>
          <xdr:rowOff>200025</xdr:rowOff>
        </xdr:from>
        <xdr:to>
          <xdr:col>4</xdr:col>
          <xdr:colOff>609600</xdr:colOff>
          <xdr:row>273</xdr:row>
          <xdr:rowOff>57150</xdr:rowOff>
        </xdr:to>
        <xdr:sp macro="" textlink="">
          <xdr:nvSpPr>
            <xdr:cNvPr id="1049" name="Object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314325</xdr:colOff>
          <xdr:row>273</xdr:row>
          <xdr:rowOff>200025</xdr:rowOff>
        </xdr:from>
        <xdr:to>
          <xdr:col>4</xdr:col>
          <xdr:colOff>590550</xdr:colOff>
          <xdr:row>276</xdr:row>
          <xdr:rowOff>123825</xdr:rowOff>
        </xdr:to>
        <xdr:sp macro="" textlink="">
          <xdr:nvSpPr>
            <xdr:cNvPr id="1050" name="Object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278</xdr:row>
          <xdr:rowOff>38100</xdr:rowOff>
        </xdr:from>
        <xdr:to>
          <xdr:col>5</xdr:col>
          <xdr:colOff>0</xdr:colOff>
          <xdr:row>280</xdr:row>
          <xdr:rowOff>133350</xdr:rowOff>
        </xdr:to>
        <xdr:sp macro="" textlink="">
          <xdr:nvSpPr>
            <xdr:cNvPr id="1051" name="Object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723900</xdr:colOff>
          <xdr:row>281</xdr:row>
          <xdr:rowOff>9525</xdr:rowOff>
        </xdr:from>
        <xdr:to>
          <xdr:col>4</xdr:col>
          <xdr:colOff>638175</xdr:colOff>
          <xdr:row>283</xdr:row>
          <xdr:rowOff>133350</xdr:rowOff>
        </xdr:to>
        <xdr:sp macro="" textlink="">
          <xdr:nvSpPr>
            <xdr:cNvPr id="1054" name="Object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504825</xdr:colOff>
          <xdr:row>290</xdr:row>
          <xdr:rowOff>95250</xdr:rowOff>
        </xdr:from>
        <xdr:to>
          <xdr:col>3</xdr:col>
          <xdr:colOff>657225</xdr:colOff>
          <xdr:row>295</xdr:row>
          <xdr:rowOff>0</xdr:rowOff>
        </xdr:to>
        <xdr:sp macro="" textlink="">
          <xdr:nvSpPr>
            <xdr:cNvPr id="1055" name="Object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200025</xdr:colOff>
          <xdr:row>302</xdr:row>
          <xdr:rowOff>19050</xdr:rowOff>
        </xdr:from>
        <xdr:to>
          <xdr:col>4</xdr:col>
          <xdr:colOff>657225</xdr:colOff>
          <xdr:row>303</xdr:row>
          <xdr:rowOff>28575</xdr:rowOff>
        </xdr:to>
        <xdr:sp macro="" textlink="">
          <xdr:nvSpPr>
            <xdr:cNvPr id="1056" name="Object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676275</xdr:colOff>
          <xdr:row>303</xdr:row>
          <xdr:rowOff>57150</xdr:rowOff>
        </xdr:from>
        <xdr:to>
          <xdr:col>4</xdr:col>
          <xdr:colOff>619125</xdr:colOff>
          <xdr:row>304</xdr:row>
          <xdr:rowOff>142875</xdr:rowOff>
        </xdr:to>
        <xdr:sp macro="" textlink="">
          <xdr:nvSpPr>
            <xdr:cNvPr id="1057" name="Object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206</xdr:row>
          <xdr:rowOff>95250</xdr:rowOff>
        </xdr:from>
        <xdr:to>
          <xdr:col>10</xdr:col>
          <xdr:colOff>219075</xdr:colOff>
          <xdr:row>208</xdr:row>
          <xdr:rowOff>38100</xdr:rowOff>
        </xdr:to>
        <xdr:sp macro="" textlink="">
          <xdr:nvSpPr>
            <xdr:cNvPr id="1058" name="Object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12</xdr:col>
          <xdr:colOff>0</xdr:colOff>
          <xdr:row>305</xdr:row>
          <xdr:rowOff>123825</xdr:rowOff>
        </xdr:from>
        <xdr:to>
          <xdr:col>15</xdr:col>
          <xdr:colOff>723900</xdr:colOff>
          <xdr:row>308</xdr:row>
          <xdr:rowOff>38100</xdr:rowOff>
        </xdr:to>
        <xdr:sp macro="" textlink="">
          <xdr:nvSpPr>
            <xdr:cNvPr id="1060" name="Object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310</xdr:row>
          <xdr:rowOff>152400</xdr:rowOff>
        </xdr:from>
        <xdr:to>
          <xdr:col>19</xdr:col>
          <xdr:colOff>142875</xdr:colOff>
          <xdr:row>312</xdr:row>
          <xdr:rowOff>142875</xdr:rowOff>
        </xdr:to>
        <xdr:sp macro="" textlink="">
          <xdr:nvSpPr>
            <xdr:cNvPr id="1061" name="Object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310</xdr:row>
          <xdr:rowOff>152400</xdr:rowOff>
        </xdr:from>
        <xdr:to>
          <xdr:col>12</xdr:col>
          <xdr:colOff>695325</xdr:colOff>
          <xdr:row>312</xdr:row>
          <xdr:rowOff>161925</xdr:rowOff>
        </xdr:to>
        <xdr:sp macro="" textlink="">
          <xdr:nvSpPr>
            <xdr:cNvPr id="1063" name="Object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251</xdr:row>
          <xdr:rowOff>0</xdr:rowOff>
        </xdr:from>
        <xdr:to>
          <xdr:col>13</xdr:col>
          <xdr:colOff>266700</xdr:colOff>
          <xdr:row>251</xdr:row>
          <xdr:rowOff>171450</xdr:rowOff>
        </xdr:to>
        <xdr:sp macro="" textlink="">
          <xdr:nvSpPr>
            <xdr:cNvPr id="1064" name="Object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251</xdr:row>
          <xdr:rowOff>0</xdr:rowOff>
        </xdr:from>
        <xdr:to>
          <xdr:col>13</xdr:col>
          <xdr:colOff>266700</xdr:colOff>
          <xdr:row>251</xdr:row>
          <xdr:rowOff>171450</xdr:rowOff>
        </xdr:to>
        <xdr:sp macro="" textlink="">
          <xdr:nvSpPr>
            <xdr:cNvPr id="1066" name="Object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251</xdr:row>
          <xdr:rowOff>0</xdr:rowOff>
        </xdr:from>
        <xdr:to>
          <xdr:col>13</xdr:col>
          <xdr:colOff>266700</xdr:colOff>
          <xdr:row>251</xdr:row>
          <xdr:rowOff>171450</xdr:rowOff>
        </xdr:to>
        <xdr:sp macro="" textlink="">
          <xdr:nvSpPr>
            <xdr:cNvPr id="1067" name="Object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251</xdr:row>
          <xdr:rowOff>0</xdr:rowOff>
        </xdr:from>
        <xdr:to>
          <xdr:col>13</xdr:col>
          <xdr:colOff>266700</xdr:colOff>
          <xdr:row>251</xdr:row>
          <xdr:rowOff>171450</xdr:rowOff>
        </xdr:to>
        <xdr:sp macro="" textlink="">
          <xdr:nvSpPr>
            <xdr:cNvPr id="1068" name="Object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714375</xdr:colOff>
          <xdr:row>378</xdr:row>
          <xdr:rowOff>19050</xdr:rowOff>
        </xdr:from>
        <xdr:to>
          <xdr:col>4</xdr:col>
          <xdr:colOff>647700</xdr:colOff>
          <xdr:row>380</xdr:row>
          <xdr:rowOff>57150</xdr:rowOff>
        </xdr:to>
        <xdr:sp macro="" textlink="">
          <xdr:nvSpPr>
            <xdr:cNvPr id="1069" name="Object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733425</xdr:colOff>
          <xdr:row>392</xdr:row>
          <xdr:rowOff>0</xdr:rowOff>
        </xdr:from>
        <xdr:to>
          <xdr:col>4</xdr:col>
          <xdr:colOff>666750</xdr:colOff>
          <xdr:row>394</xdr:row>
          <xdr:rowOff>38100</xdr:rowOff>
        </xdr:to>
        <xdr:sp macro="" textlink="">
          <xdr:nvSpPr>
            <xdr:cNvPr id="1070" name="Object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402</xdr:row>
          <xdr:rowOff>38100</xdr:rowOff>
        </xdr:from>
        <xdr:to>
          <xdr:col>10</xdr:col>
          <xdr:colOff>95250</xdr:colOff>
          <xdr:row>403</xdr:row>
          <xdr:rowOff>171450</xdr:rowOff>
        </xdr:to>
        <xdr:sp macro="" textlink="">
          <xdr:nvSpPr>
            <xdr:cNvPr id="1071" name="Object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400</xdr:row>
          <xdr:rowOff>9525</xdr:rowOff>
        </xdr:from>
        <xdr:to>
          <xdr:col>8</xdr:col>
          <xdr:colOff>581025</xdr:colOff>
          <xdr:row>401</xdr:row>
          <xdr:rowOff>114300</xdr:rowOff>
        </xdr:to>
        <xdr:sp macro="" textlink="">
          <xdr:nvSpPr>
            <xdr:cNvPr id="1072" name="Object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66675</xdr:colOff>
          <xdr:row>397</xdr:row>
          <xdr:rowOff>123825</xdr:rowOff>
        </xdr:from>
        <xdr:to>
          <xdr:col>13</xdr:col>
          <xdr:colOff>123825</xdr:colOff>
          <xdr:row>398</xdr:row>
          <xdr:rowOff>161925</xdr:rowOff>
        </xdr:to>
        <xdr:sp macro="" textlink="">
          <xdr:nvSpPr>
            <xdr:cNvPr id="1073" name="Object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666750</xdr:colOff>
          <xdr:row>399</xdr:row>
          <xdr:rowOff>57150</xdr:rowOff>
        </xdr:from>
        <xdr:to>
          <xdr:col>11</xdr:col>
          <xdr:colOff>676275</xdr:colOff>
          <xdr:row>400</xdr:row>
          <xdr:rowOff>85725</xdr:rowOff>
        </xdr:to>
        <xdr:sp macro="" textlink="">
          <xdr:nvSpPr>
            <xdr:cNvPr id="1074" name="Object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xdr:colOff>
          <xdr:row>409</xdr:row>
          <xdr:rowOff>142875</xdr:rowOff>
        </xdr:from>
        <xdr:to>
          <xdr:col>9</xdr:col>
          <xdr:colOff>104775</xdr:colOff>
          <xdr:row>411</xdr:row>
          <xdr:rowOff>200025</xdr:rowOff>
        </xdr:to>
        <xdr:sp macro="" textlink="">
          <xdr:nvSpPr>
            <xdr:cNvPr id="1075" name="Object 51" hidden="1">
              <a:extLst>
                <a:ext uri="{63B3BB69-23CF-44E3-9099-C40C66FF867C}">
                  <a14:compatExt spid="_x0000_s1075"/>
                </a:ext>
                <a:ext uri="{FF2B5EF4-FFF2-40B4-BE49-F238E27FC236}">
                  <a16:creationId xmlns:a16="http://schemas.microsoft.com/office/drawing/2014/main" id="{00000000-0008-0000-0000-00003304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11</xdr:col>
      <xdr:colOff>371475</xdr:colOff>
      <xdr:row>1</xdr:row>
      <xdr:rowOff>57150</xdr:rowOff>
    </xdr:from>
    <xdr:to>
      <xdr:col>19</xdr:col>
      <xdr:colOff>473429</xdr:colOff>
      <xdr:row>27</xdr:row>
      <xdr:rowOff>95659</xdr:rowOff>
    </xdr:to>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10525" y="278130"/>
          <a:ext cx="5468620" cy="5036820"/>
        </a:xfrm>
        <a:prstGeom prst="rect">
          <a:avLst/>
        </a:prstGeom>
      </xdr:spPr>
    </xdr:pic>
    <xdr:clientData/>
  </xdr:twoCellAnchor>
  <xdr:twoCellAnchor editAs="oneCell">
    <xdr:from>
      <xdr:col>10</xdr:col>
      <xdr:colOff>152400</xdr:colOff>
      <xdr:row>148</xdr:row>
      <xdr:rowOff>114300</xdr:rowOff>
    </xdr:from>
    <xdr:to>
      <xdr:col>12</xdr:col>
      <xdr:colOff>533400</xdr:colOff>
      <xdr:row>160</xdr:row>
      <xdr:rowOff>15595</xdr:rowOff>
    </xdr:to>
    <xdr:pic>
      <xdr:nvPicPr>
        <xdr:cNvPr id="6" name="图片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38435" t="16500" r="6435" b="-1"/>
        <a:stretch>
          <a:fillRect/>
        </a:stretch>
      </xdr:blipFill>
      <xdr:spPr>
        <a:xfrm>
          <a:off x="7174230" y="29996130"/>
          <a:ext cx="1684020" cy="2278380"/>
        </a:xfrm>
        <a:prstGeom prst="rect">
          <a:avLst/>
        </a:prstGeom>
      </xdr:spPr>
    </xdr:pic>
    <xdr:clientData/>
  </xdr:twoCellAnchor>
  <xdr:oneCellAnchor>
    <xdr:from>
      <xdr:col>7</xdr:col>
      <xdr:colOff>38100</xdr:colOff>
      <xdr:row>228</xdr:row>
      <xdr:rowOff>142876</xdr:rowOff>
    </xdr:from>
    <xdr:ext cx="1724025" cy="318134"/>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4650740" y="46361985"/>
          <a:ext cx="1724025" cy="318135"/>
        </a:xfrm>
        <a:prstGeom prst="rect">
          <a:avLst/>
        </a:prstGeom>
        <a:noFill/>
        <a:ln>
          <a:solidFill>
            <a:srgbClr val="0000FF"/>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l-GR" altLang="zh-CN" sz="1100"/>
            <a:t>σ</a:t>
          </a:r>
          <a:r>
            <a:rPr lang="en-US" altLang="zh-CN" sz="1100" baseline="-25000"/>
            <a:t>L2</a:t>
          </a:r>
          <a:r>
            <a:rPr lang="en-US" altLang="zh-CN" sz="1100"/>
            <a:t>=</a:t>
          </a:r>
          <a:r>
            <a:rPr lang="el-GR" altLang="zh-CN" sz="1100"/>
            <a:t>σ</a:t>
          </a:r>
          <a:r>
            <a:rPr lang="en-US" altLang="zh-CN" sz="1100" baseline="-25000"/>
            <a:t>con</a:t>
          </a:r>
          <a:r>
            <a:rPr lang="en-US" altLang="zh-CN" sz="1100"/>
            <a:t>[1-e </a:t>
          </a:r>
          <a:r>
            <a:rPr lang="en-US" altLang="zh-CN" sz="1100" baseline="30000"/>
            <a:t>-(</a:t>
          </a:r>
          <a:r>
            <a:rPr lang="el-GR" altLang="zh-CN" sz="1100" baseline="30000"/>
            <a:t>μθ+κ</a:t>
          </a:r>
          <a:r>
            <a:rPr lang="en-US" altLang="zh-CN" sz="1100" baseline="30000"/>
            <a:t>x) </a:t>
          </a:r>
          <a:r>
            <a:rPr lang="en-US" altLang="zh-CN" sz="1100" baseline="0"/>
            <a:t>]</a:t>
          </a:r>
          <a:endParaRPr lang="zh-CN" altLang="en-US" sz="1100" baseline="0"/>
        </a:p>
      </xdr:txBody>
    </xdr:sp>
    <xdr:clientData/>
  </xdr:oneCellAnchor>
  <xdr:oneCellAnchor>
    <xdr:from>
      <xdr:col>7</xdr:col>
      <xdr:colOff>76201</xdr:colOff>
      <xdr:row>232</xdr:row>
      <xdr:rowOff>161925</xdr:rowOff>
    </xdr:from>
    <xdr:ext cx="1371600" cy="394334"/>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4688840" y="47150655"/>
          <a:ext cx="1371600" cy="393700"/>
        </a:xfrm>
        <a:prstGeom prst="rect">
          <a:avLst/>
        </a:prstGeom>
        <a:noFill/>
        <a:ln>
          <a:solidFill>
            <a:srgbClr val="0000FF"/>
          </a:solidFill>
        </a:ln>
        <a:effectLst/>
      </xdr:spPr>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defRPr/>
          </a:pPr>
          <a:r>
            <a:rPr kumimoji="0" lang="el-GR" altLang="zh-CN" sz="1100" b="0" i="0" u="none" strike="noStrike" kern="0" cap="none" spc="0" normalizeH="0" baseline="0" noProof="0">
              <a:ln>
                <a:noFill/>
              </a:ln>
              <a:solidFill>
                <a:sysClr val="windowText" lastClr="000000"/>
              </a:solidFill>
              <a:effectLst/>
              <a:uLnTx/>
              <a:uFillTx/>
              <a:latin typeface="Calibri" panose="020F0502020204030204"/>
              <a:ea typeface="宋体" panose="02010600030101010101" pitchFamily="7" charset="-122"/>
              <a:cs typeface="+mn-cs"/>
            </a:rPr>
            <a:t>σ</a:t>
          </a:r>
          <a:r>
            <a:rPr kumimoji="0" lang="en-US" altLang="zh-CN" sz="1100" b="0" i="0" u="none" strike="noStrike" kern="0" cap="none" spc="0" normalizeH="0" baseline="-25000" noProof="0">
              <a:ln>
                <a:noFill/>
              </a:ln>
              <a:solidFill>
                <a:sysClr val="windowText" lastClr="000000"/>
              </a:solidFill>
              <a:effectLst/>
              <a:uLnTx/>
              <a:uFillTx/>
              <a:latin typeface="Calibri" panose="020F0502020204030204"/>
              <a:ea typeface="宋体" panose="02010600030101010101" pitchFamily="7" charset="-122"/>
              <a:cs typeface="+mn-cs"/>
            </a:rPr>
            <a:t>L3</a:t>
          </a:r>
          <a:r>
            <a:rPr kumimoji="0" lang="en-US" altLang="zh-CN" sz="1100" b="0" i="0" u="none" strike="noStrike" kern="0" cap="none" spc="0" normalizeH="0" baseline="0" noProof="0">
              <a:ln>
                <a:noFill/>
              </a:ln>
              <a:solidFill>
                <a:sysClr val="windowText" lastClr="000000"/>
              </a:solidFill>
              <a:effectLst/>
              <a:uLnTx/>
              <a:uFillTx/>
              <a:latin typeface="Calibri" panose="020F0502020204030204"/>
              <a:ea typeface="宋体" panose="02010600030101010101" pitchFamily="7" charset="-122"/>
              <a:cs typeface="+mn-cs"/>
            </a:rPr>
            <a:t>=aE</a:t>
          </a:r>
          <a:r>
            <a:rPr kumimoji="0" lang="en-US" altLang="zh-CN" sz="1100" b="0" i="0" u="none" strike="noStrike" kern="0" cap="none" spc="0" normalizeH="0" baseline="-25000" noProof="0">
              <a:ln>
                <a:noFill/>
              </a:ln>
              <a:solidFill>
                <a:sysClr val="windowText" lastClr="000000"/>
              </a:solidFill>
              <a:effectLst/>
              <a:uLnTx/>
              <a:uFillTx/>
              <a:latin typeface="Calibri" panose="020F0502020204030204"/>
              <a:ea typeface="宋体" panose="02010600030101010101" pitchFamily="7" charset="-122"/>
              <a:cs typeface="+mn-cs"/>
            </a:rPr>
            <a:t>p</a:t>
          </a:r>
          <a:r>
            <a:rPr kumimoji="0" lang="zh-CN" altLang="en-US" sz="1100" b="0" i="0" u="none" strike="noStrike" kern="0" cap="none" spc="0" normalizeH="0" baseline="0" noProof="0">
              <a:ln>
                <a:noFill/>
              </a:ln>
              <a:solidFill>
                <a:sysClr val="windowText" lastClr="000000"/>
              </a:solidFill>
              <a:effectLst/>
              <a:uLnTx/>
              <a:uFillTx/>
              <a:latin typeface="Calibri" panose="020F0502020204030204"/>
              <a:ea typeface="宋体" panose="02010600030101010101" pitchFamily="7" charset="-122"/>
              <a:cs typeface="+mn-cs"/>
            </a:rPr>
            <a:t>△</a:t>
          </a:r>
          <a:r>
            <a:rPr kumimoji="0" lang="en-US" altLang="zh-CN" sz="1100" b="0" i="0" u="none" strike="noStrike" kern="0" cap="none" spc="0" normalizeH="0" baseline="0" noProof="0">
              <a:ln>
                <a:noFill/>
              </a:ln>
              <a:solidFill>
                <a:sysClr val="windowText" lastClr="000000"/>
              </a:solidFill>
              <a:effectLst/>
              <a:uLnTx/>
              <a:uFillTx/>
              <a:latin typeface="Calibri" panose="020F0502020204030204"/>
              <a:ea typeface="宋体" panose="02010600030101010101" pitchFamily="7" charset="-122"/>
              <a:cs typeface="+mn-cs"/>
            </a:rPr>
            <a:t>t</a:t>
          </a:r>
          <a:endParaRPr kumimoji="0" lang="zh-CN" altLang="en-US" sz="1100" b="0" i="0" u="none" strike="noStrike" kern="0" cap="none" spc="0" normalizeH="0" baseline="0" noProof="0">
            <a:ln>
              <a:noFill/>
            </a:ln>
            <a:solidFill>
              <a:sysClr val="windowText" lastClr="000000"/>
            </a:solidFill>
            <a:effectLst/>
            <a:uLnTx/>
            <a:uFillTx/>
            <a:latin typeface="Calibri" panose="020F0502020204030204"/>
            <a:ea typeface="宋体" panose="02010600030101010101" pitchFamily="7" charset="-122"/>
            <a:cs typeface="+mn-cs"/>
          </a:endParaRPr>
        </a:p>
      </xdr:txBody>
    </xdr:sp>
    <xdr:clientData/>
  </xdr:oneCellAnchor>
  <xdr:oneCellAnchor>
    <xdr:from>
      <xdr:col>13</xdr:col>
      <xdr:colOff>295274</xdr:colOff>
      <xdr:row>235</xdr:row>
      <xdr:rowOff>28575</xdr:rowOff>
    </xdr:from>
    <xdr:ext cx="1914525" cy="340994"/>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9348470" y="47604045"/>
          <a:ext cx="1914525" cy="340360"/>
        </a:xfrm>
        <a:prstGeom prst="rect">
          <a:avLst/>
        </a:prstGeom>
        <a:noFill/>
        <a:ln>
          <a:solidFill>
            <a:srgbClr val="0000FF"/>
          </a:solidFill>
        </a:ln>
        <a:effectLst/>
      </xdr:spPr>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defRPr/>
          </a:pPr>
          <a:r>
            <a:rPr kumimoji="0" lang="el-GR" altLang="zh-CN" sz="1100" b="0" i="0" u="none" strike="noStrike" kern="0" cap="none" spc="0" normalizeH="0" baseline="0" noProof="0">
              <a:ln>
                <a:noFill/>
              </a:ln>
              <a:solidFill>
                <a:sysClr val="windowText" lastClr="000000"/>
              </a:solidFill>
              <a:effectLst/>
              <a:uLnTx/>
              <a:uFillTx/>
              <a:latin typeface="Calibri" panose="020F0502020204030204"/>
              <a:ea typeface="宋体" panose="02010600030101010101" pitchFamily="7" charset="-122"/>
              <a:cs typeface="+mn-cs"/>
            </a:rPr>
            <a:t>σ</a:t>
          </a:r>
          <a:r>
            <a:rPr kumimoji="0" lang="en-US" altLang="zh-CN" sz="1100" b="0" i="0" u="none" strike="noStrike" kern="0" cap="none" spc="0" normalizeH="0" baseline="-25000" noProof="0">
              <a:ln>
                <a:noFill/>
              </a:ln>
              <a:solidFill>
                <a:sysClr val="windowText" lastClr="000000"/>
              </a:solidFill>
              <a:effectLst/>
              <a:uLnTx/>
              <a:uFillTx/>
              <a:latin typeface="Calibri" panose="020F0502020204030204"/>
              <a:ea typeface="宋体" panose="02010600030101010101" pitchFamily="7" charset="-122"/>
              <a:cs typeface="+mn-cs"/>
            </a:rPr>
            <a:t>L4</a:t>
          </a:r>
          <a:r>
            <a:rPr kumimoji="0" lang="en-US" altLang="zh-CN" sz="1100" b="0" i="0" u="none" strike="noStrike" kern="0" cap="none" spc="0" normalizeH="0" baseline="0" noProof="0">
              <a:ln>
                <a:noFill/>
              </a:ln>
              <a:solidFill>
                <a:sysClr val="windowText" lastClr="000000"/>
              </a:solidFill>
              <a:effectLst/>
              <a:uLnTx/>
              <a:uFillTx/>
              <a:latin typeface="Calibri" panose="020F0502020204030204"/>
              <a:ea typeface="宋体" panose="02010600030101010101" pitchFamily="7" charset="-122"/>
              <a:cs typeface="+mn-cs"/>
            </a:rPr>
            <a:t>=0.125</a:t>
          </a:r>
          <a:r>
            <a:rPr kumimoji="0" lang="zh-CN" altLang="el-GR" sz="1100" b="0" i="0" u="none" strike="noStrike" kern="0" cap="none" spc="0" normalizeH="0" baseline="0" noProof="0">
              <a:ln>
                <a:noFill/>
              </a:ln>
              <a:solidFill>
                <a:sysClr val="windowText" lastClr="000000"/>
              </a:solidFill>
              <a:effectLst/>
              <a:uLnTx/>
              <a:uFillTx/>
              <a:latin typeface="+mn-lt"/>
              <a:ea typeface="+mn-ea"/>
              <a:cs typeface="+mn-cs"/>
            </a:rPr>
            <a:t>（</a:t>
          </a:r>
          <a:r>
            <a:rPr kumimoji="0" lang="el-GR" altLang="zh-CN" sz="1100" b="0" i="0" u="none" strike="noStrike" kern="0" cap="none" spc="0" normalizeH="0" baseline="0" noProof="0">
              <a:ln>
                <a:noFill/>
              </a:ln>
              <a:solidFill>
                <a:sysClr val="windowText" lastClr="000000"/>
              </a:solidFill>
              <a:effectLst/>
              <a:uLnTx/>
              <a:uFillTx/>
              <a:latin typeface="+mn-lt"/>
              <a:ea typeface="+mn-ea"/>
              <a:cs typeface="+mn-cs"/>
            </a:rPr>
            <a:t>σ</a:t>
          </a:r>
          <a:r>
            <a:rPr kumimoji="0" lang="en-US" altLang="zh-CN" sz="1100" b="0" i="0" u="none" strike="noStrike" kern="0" cap="none" spc="0" normalizeH="0" baseline="-25000" noProof="0">
              <a:ln>
                <a:noFill/>
              </a:ln>
              <a:solidFill>
                <a:sysClr val="windowText" lastClr="000000"/>
              </a:solidFill>
              <a:effectLst/>
              <a:uLnTx/>
              <a:uFillTx/>
              <a:latin typeface="+mn-lt"/>
              <a:ea typeface="+mn-ea"/>
              <a:cs typeface="+mn-cs"/>
            </a:rPr>
            <a:t>con</a:t>
          </a:r>
          <a:r>
            <a:rPr kumimoji="0" lang="en-US" altLang="zh-CN" sz="1100" b="0" i="0" u="none" strike="noStrike" kern="0" cap="none" spc="0" normalizeH="0" baseline="0" noProof="0">
              <a:ln>
                <a:noFill/>
              </a:ln>
              <a:solidFill>
                <a:sysClr val="windowText" lastClr="000000"/>
              </a:solidFill>
              <a:effectLst/>
              <a:uLnTx/>
              <a:uFillTx/>
              <a:latin typeface="+mn-lt"/>
              <a:ea typeface="+mn-ea"/>
              <a:cs typeface="+mn-cs"/>
            </a:rPr>
            <a:t>/f</a:t>
          </a:r>
          <a:r>
            <a:rPr kumimoji="0" lang="en-US" altLang="zh-CN" sz="1100" b="0" i="0" u="none" strike="noStrike" kern="0" cap="none" spc="0" normalizeH="0" baseline="-25000" noProof="0">
              <a:ln>
                <a:noFill/>
              </a:ln>
              <a:solidFill>
                <a:sysClr val="windowText" lastClr="000000"/>
              </a:solidFill>
              <a:effectLst/>
              <a:uLnTx/>
              <a:uFillTx/>
              <a:latin typeface="+mn-lt"/>
              <a:ea typeface="+mn-ea"/>
              <a:cs typeface="+mn-cs"/>
            </a:rPr>
            <a:t>ptk</a:t>
          </a:r>
          <a:r>
            <a:rPr kumimoji="0" lang="en-US" altLang="zh-CN" sz="1100" b="0" i="0" u="none" strike="noStrike" kern="0" cap="none" spc="0" normalizeH="0" baseline="0" noProof="0">
              <a:ln>
                <a:noFill/>
              </a:ln>
              <a:solidFill>
                <a:sysClr val="windowText" lastClr="000000"/>
              </a:solidFill>
              <a:effectLst/>
              <a:uLnTx/>
              <a:uFillTx/>
              <a:latin typeface="+mn-lt"/>
              <a:ea typeface="+mn-ea"/>
              <a:cs typeface="+mn-cs"/>
            </a:rPr>
            <a:t>-0.5)</a:t>
          </a:r>
          <a:r>
            <a:rPr kumimoji="0" lang="el-GR" altLang="zh-CN" sz="1100" b="0" i="0" u="none" strike="noStrike" kern="0" cap="none" spc="0" normalizeH="0" baseline="0" noProof="0">
              <a:ln>
                <a:noFill/>
              </a:ln>
              <a:solidFill>
                <a:sysClr val="windowText" lastClr="000000"/>
              </a:solidFill>
              <a:effectLst/>
              <a:uLnTx/>
              <a:uFillTx/>
              <a:latin typeface="+mn-lt"/>
              <a:ea typeface="+mn-ea"/>
              <a:cs typeface="+mn-cs"/>
            </a:rPr>
            <a:t>σ</a:t>
          </a:r>
          <a:r>
            <a:rPr kumimoji="0" lang="en-US" altLang="zh-CN" sz="1100" b="0" i="0" u="none" strike="noStrike" kern="0" cap="none" spc="0" normalizeH="0" baseline="-25000" noProof="0">
              <a:ln>
                <a:noFill/>
              </a:ln>
              <a:solidFill>
                <a:sysClr val="windowText" lastClr="000000"/>
              </a:solidFill>
              <a:effectLst/>
              <a:uLnTx/>
              <a:uFillTx/>
              <a:latin typeface="+mn-lt"/>
              <a:ea typeface="+mn-ea"/>
              <a:cs typeface="+mn-cs"/>
            </a:rPr>
            <a:t>con</a:t>
          </a:r>
          <a:endParaRPr kumimoji="0" lang="zh-CN" altLang="en-US" sz="11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oneCellAnchor>
  <xdr:oneCellAnchor>
    <xdr:from>
      <xdr:col>8</xdr:col>
      <xdr:colOff>247650</xdr:colOff>
      <xdr:row>305</xdr:row>
      <xdr:rowOff>152400</xdr:rowOff>
    </xdr:from>
    <xdr:ext cx="2352675" cy="394334"/>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6000750" y="61862970"/>
          <a:ext cx="2352675" cy="393700"/>
        </a:xfrm>
        <a:prstGeom prst="rect">
          <a:avLst/>
        </a:prstGeom>
        <a:noFill/>
        <a:ln>
          <a:solidFill>
            <a:srgbClr val="0000FF"/>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altLang="zh-CN" sz="1100" baseline="0"/>
            <a:t>x</a:t>
          </a:r>
          <a:r>
            <a:rPr lang="en-US" altLang="zh-CN" sz="1100"/>
            <a:t>=(f</a:t>
          </a:r>
          <a:r>
            <a:rPr lang="en-US" altLang="zh-CN" sz="1100" baseline="-25000"/>
            <a:t>y</a:t>
          </a:r>
          <a:r>
            <a:rPr lang="en-US" altLang="zh-CN" sz="1100"/>
            <a:t>A</a:t>
          </a:r>
          <a:r>
            <a:rPr lang="en-US" altLang="zh-CN" sz="1100" baseline="-25000"/>
            <a:t>s</a:t>
          </a:r>
          <a:r>
            <a:rPr lang="en-US" altLang="zh-CN" sz="1100"/>
            <a:t>-f'</a:t>
          </a:r>
          <a:r>
            <a:rPr lang="en-US" altLang="zh-CN" sz="1100" baseline="-25000"/>
            <a:t>y</a:t>
          </a:r>
          <a:r>
            <a:rPr lang="en-US" altLang="zh-CN" sz="1100"/>
            <a:t>A'</a:t>
          </a:r>
          <a:r>
            <a:rPr lang="en-US" altLang="zh-CN" sz="1100" baseline="-25000"/>
            <a:t>s</a:t>
          </a:r>
          <a:r>
            <a:rPr lang="en-US" altLang="zh-CN" sz="1100"/>
            <a:t>+f</a:t>
          </a:r>
          <a:r>
            <a:rPr lang="en-US" altLang="zh-CN" sz="1100" baseline="-25000"/>
            <a:t>py</a:t>
          </a:r>
          <a:r>
            <a:rPr lang="en-US" altLang="zh-CN" sz="1100"/>
            <a:t>A</a:t>
          </a:r>
          <a:r>
            <a:rPr lang="en-US" altLang="zh-CN" sz="1100" baseline="-25000"/>
            <a:t>p</a:t>
          </a:r>
          <a:r>
            <a:rPr lang="en-US" altLang="zh-CN" sz="1100"/>
            <a:t>+(</a:t>
          </a:r>
          <a:r>
            <a:rPr lang="el-GR" altLang="zh-CN" sz="1100">
              <a:ea typeface="宋体" panose="02010600030101010101" pitchFamily="7" charset="-122"/>
            </a:rPr>
            <a:t>σ</a:t>
          </a:r>
          <a:r>
            <a:rPr lang="en-US" altLang="zh-CN" sz="1100">
              <a:ea typeface="宋体" panose="02010600030101010101" pitchFamily="7" charset="-122"/>
            </a:rPr>
            <a:t>'</a:t>
          </a:r>
          <a:r>
            <a:rPr lang="en-US" altLang="zh-CN" sz="1100" baseline="-25000">
              <a:ea typeface="宋体" panose="02010600030101010101" pitchFamily="7" charset="-122"/>
            </a:rPr>
            <a:t>p0</a:t>
          </a:r>
          <a:r>
            <a:rPr lang="en-US" altLang="zh-CN" sz="1100">
              <a:ea typeface="宋体" panose="02010600030101010101" pitchFamily="7" charset="-122"/>
            </a:rPr>
            <a:t>-f'</a:t>
          </a:r>
          <a:r>
            <a:rPr lang="en-US" altLang="zh-CN" sz="1100" baseline="-25000">
              <a:ea typeface="宋体" panose="02010600030101010101" pitchFamily="7" charset="-122"/>
            </a:rPr>
            <a:t>py</a:t>
          </a:r>
          <a:r>
            <a:rPr lang="en-US" altLang="zh-CN" sz="1100"/>
            <a:t>)A'</a:t>
          </a:r>
          <a:r>
            <a:rPr lang="en-US" altLang="zh-CN" sz="1100" baseline="-25000"/>
            <a:t>p</a:t>
          </a:r>
          <a:r>
            <a:rPr lang="en-US" altLang="zh-CN" sz="1100" baseline="0"/>
            <a:t>)/(f</a:t>
          </a:r>
          <a:r>
            <a:rPr lang="en-US" altLang="zh-CN" sz="1100" baseline="-25000"/>
            <a:t>c</a:t>
          </a:r>
          <a:r>
            <a:rPr lang="en-US" altLang="zh-CN" sz="1100" baseline="0"/>
            <a:t>b'</a:t>
          </a:r>
          <a:r>
            <a:rPr lang="en-US" altLang="zh-CN" sz="1100" baseline="-25000"/>
            <a:t>f</a:t>
          </a:r>
          <a:r>
            <a:rPr lang="en-US" altLang="zh-CN" sz="1100" baseline="0"/>
            <a:t>)</a:t>
          </a:r>
          <a:endParaRPr lang="zh-CN" altLang="en-US" sz="1100" baseline="0"/>
        </a:p>
      </xdr:txBody>
    </xdr:sp>
    <xdr:clientData/>
  </xdr:oneCellAnchor>
  <xdr:oneCellAnchor>
    <xdr:from>
      <xdr:col>7</xdr:col>
      <xdr:colOff>9525</xdr:colOff>
      <xdr:row>323</xdr:row>
      <xdr:rowOff>38100</xdr:rowOff>
    </xdr:from>
    <xdr:ext cx="2352675" cy="384809"/>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4622165" y="65147190"/>
          <a:ext cx="2352675" cy="384175"/>
        </a:xfrm>
        <a:prstGeom prst="rect">
          <a:avLst/>
        </a:prstGeom>
        <a:noFill/>
        <a:ln>
          <a:solidFill>
            <a:srgbClr val="0000FF"/>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altLang="zh-CN" sz="1100" baseline="0"/>
            <a:t>h</a:t>
          </a:r>
          <a:r>
            <a:rPr lang="en-US" altLang="zh-CN" sz="1100" baseline="-25000"/>
            <a:t>w</a:t>
          </a:r>
          <a:r>
            <a:rPr lang="en-US" altLang="zh-CN" sz="1100" baseline="0"/>
            <a:t>/b&lt;4,KV&lt;0.25f</a:t>
          </a:r>
          <a:r>
            <a:rPr lang="en-US" altLang="zh-CN" sz="1100" baseline="-25000"/>
            <a:t>c</a:t>
          </a:r>
          <a:r>
            <a:rPr lang="en-US" altLang="zh-CN" sz="1100" baseline="0"/>
            <a:t>bh</a:t>
          </a:r>
          <a:r>
            <a:rPr lang="en-US" altLang="zh-CN" sz="1100" baseline="-25000"/>
            <a:t>0</a:t>
          </a:r>
          <a:endParaRPr lang="zh-CN" altLang="en-US" sz="1100" baseline="-25000"/>
        </a:p>
      </xdr:txBody>
    </xdr:sp>
    <xdr:clientData/>
  </xdr:oneCellAnchor>
  <xdr:oneCellAnchor>
    <xdr:from>
      <xdr:col>10</xdr:col>
      <xdr:colOff>609600</xdr:colOff>
      <xdr:row>323</xdr:row>
      <xdr:rowOff>38100</xdr:rowOff>
    </xdr:from>
    <xdr:ext cx="2352675" cy="384809"/>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631430" y="65147190"/>
          <a:ext cx="2352675" cy="384175"/>
        </a:xfrm>
        <a:prstGeom prst="rect">
          <a:avLst/>
        </a:prstGeom>
        <a:noFill/>
        <a:ln>
          <a:solidFill>
            <a:srgbClr val="0000FF"/>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altLang="zh-CN" sz="1100" baseline="0"/>
            <a:t>h</a:t>
          </a:r>
          <a:r>
            <a:rPr lang="en-US" altLang="zh-CN" sz="1100" baseline="-25000"/>
            <a:t>w</a:t>
          </a:r>
          <a:r>
            <a:rPr lang="en-US" altLang="zh-CN" sz="1100" baseline="0"/>
            <a:t>/b&gt;6,KV&lt;0.2f</a:t>
          </a:r>
          <a:r>
            <a:rPr lang="en-US" altLang="zh-CN" sz="1100" baseline="-25000"/>
            <a:t>c</a:t>
          </a:r>
          <a:r>
            <a:rPr lang="en-US" altLang="zh-CN" sz="1100" baseline="0"/>
            <a:t>bh</a:t>
          </a:r>
          <a:r>
            <a:rPr lang="en-US" altLang="zh-CN" sz="1100" baseline="-25000"/>
            <a:t>0</a:t>
          </a:r>
          <a:r>
            <a:rPr lang="en-US" altLang="zh-CN" sz="1100" baseline="0"/>
            <a:t>;4~6</a:t>
          </a:r>
          <a:r>
            <a:rPr lang="zh-CN" altLang="en-US" sz="1100" baseline="0"/>
            <a:t>间则插值</a:t>
          </a:r>
        </a:p>
      </xdr:txBody>
    </xdr:sp>
    <xdr:clientData/>
  </xdr:oneCellAnchor>
  <xdr:oneCellAnchor>
    <xdr:from>
      <xdr:col>7</xdr:col>
      <xdr:colOff>47625</xdr:colOff>
      <xdr:row>327</xdr:row>
      <xdr:rowOff>161925</xdr:rowOff>
    </xdr:from>
    <xdr:ext cx="2352675" cy="384809"/>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4660265" y="66078735"/>
          <a:ext cx="2352675" cy="384175"/>
        </a:xfrm>
        <a:prstGeom prst="rect">
          <a:avLst/>
        </a:prstGeom>
        <a:noFill/>
        <a:ln>
          <a:solidFill>
            <a:srgbClr val="0000FF"/>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altLang="zh-CN" sz="1100" baseline="0"/>
            <a:t>N</a:t>
          </a:r>
          <a:r>
            <a:rPr lang="en-US" altLang="zh-CN" sz="1100" baseline="-25000"/>
            <a:t>p0</a:t>
          </a:r>
          <a:r>
            <a:rPr lang="en-US" altLang="zh-CN" sz="1100" baseline="0"/>
            <a:t>=</a:t>
          </a:r>
          <a:r>
            <a:rPr lang="el-GR" altLang="zh-CN" sz="1100" baseline="0">
              <a:ea typeface="宋体" panose="02010600030101010101" pitchFamily="7" charset="-122"/>
            </a:rPr>
            <a:t>σ</a:t>
          </a:r>
          <a:r>
            <a:rPr lang="en-US" altLang="zh-CN" sz="1100" baseline="-25000">
              <a:ea typeface="宋体" panose="02010600030101010101" pitchFamily="7" charset="-122"/>
            </a:rPr>
            <a:t>p0</a:t>
          </a:r>
          <a:r>
            <a:rPr lang="en-US" altLang="zh-CN" sz="1100" baseline="0">
              <a:ea typeface="宋体" panose="02010600030101010101" pitchFamily="7" charset="-122"/>
            </a:rPr>
            <a:t>A</a:t>
          </a:r>
          <a:r>
            <a:rPr lang="en-US" altLang="zh-CN" sz="1100" baseline="-25000">
              <a:ea typeface="宋体" panose="02010600030101010101" pitchFamily="7" charset="-122"/>
            </a:rPr>
            <a:t>p</a:t>
          </a:r>
          <a:r>
            <a:rPr lang="en-US" altLang="zh-CN" sz="1100" baseline="0">
              <a:ea typeface="宋体" panose="02010600030101010101" pitchFamily="7" charset="-122"/>
            </a:rPr>
            <a:t>+</a:t>
          </a:r>
          <a:r>
            <a:rPr lang="el-GR" altLang="zh-CN" sz="1100" baseline="0">
              <a:ea typeface="宋体" panose="02010600030101010101" pitchFamily="7" charset="-122"/>
            </a:rPr>
            <a:t>σ</a:t>
          </a:r>
          <a:r>
            <a:rPr lang="en-US" altLang="zh-CN" sz="1100" baseline="0">
              <a:ea typeface="宋体" panose="02010600030101010101" pitchFamily="7" charset="-122"/>
            </a:rPr>
            <a:t>'</a:t>
          </a:r>
          <a:r>
            <a:rPr lang="en-US" altLang="zh-CN" sz="1100" baseline="-25000">
              <a:ea typeface="宋体" panose="02010600030101010101" pitchFamily="7" charset="-122"/>
            </a:rPr>
            <a:t>p0</a:t>
          </a:r>
          <a:r>
            <a:rPr lang="en-US" altLang="zh-CN" sz="1100" baseline="0">
              <a:ea typeface="宋体" panose="02010600030101010101" pitchFamily="7" charset="-122"/>
            </a:rPr>
            <a:t>A'</a:t>
          </a:r>
          <a:r>
            <a:rPr lang="en-US" altLang="zh-CN" sz="1100" baseline="-25000">
              <a:ea typeface="宋体" panose="02010600030101010101" pitchFamily="7" charset="-122"/>
            </a:rPr>
            <a:t>p</a:t>
          </a:r>
          <a:r>
            <a:rPr lang="en-US" altLang="zh-CN" sz="1100" baseline="0">
              <a:ea typeface="宋体" panose="02010600030101010101" pitchFamily="7" charset="-122"/>
            </a:rPr>
            <a:t>-</a:t>
          </a:r>
          <a:r>
            <a:rPr lang="el-GR" altLang="zh-CN" sz="1100" baseline="0">
              <a:ea typeface="宋体" panose="02010600030101010101" pitchFamily="7" charset="-122"/>
            </a:rPr>
            <a:t>σ</a:t>
          </a:r>
          <a:r>
            <a:rPr lang="en-US" altLang="zh-CN" sz="1100" baseline="-25000">
              <a:ea typeface="宋体" panose="02010600030101010101" pitchFamily="7" charset="-122"/>
            </a:rPr>
            <a:t>l5</a:t>
          </a:r>
          <a:r>
            <a:rPr lang="en-US" altLang="zh-CN" sz="1100" baseline="0">
              <a:ea typeface="宋体" panose="02010600030101010101" pitchFamily="7" charset="-122"/>
            </a:rPr>
            <a:t>A</a:t>
          </a:r>
          <a:r>
            <a:rPr lang="en-US" altLang="zh-CN" sz="1100" baseline="-25000">
              <a:ea typeface="宋体" panose="02010600030101010101" pitchFamily="7" charset="-122"/>
            </a:rPr>
            <a:t>s</a:t>
          </a:r>
          <a:r>
            <a:rPr lang="en-US" altLang="zh-CN" sz="1100" baseline="0">
              <a:ea typeface="宋体" panose="02010600030101010101" pitchFamily="7" charset="-122"/>
            </a:rPr>
            <a:t>-</a:t>
          </a:r>
          <a:r>
            <a:rPr lang="el-GR" altLang="zh-CN" sz="1100" baseline="0">
              <a:ea typeface="宋体" panose="02010600030101010101" pitchFamily="7" charset="-122"/>
            </a:rPr>
            <a:t>σ</a:t>
          </a:r>
          <a:r>
            <a:rPr lang="en-US" altLang="zh-CN" sz="1100" baseline="0">
              <a:ea typeface="宋体" panose="02010600030101010101" pitchFamily="7" charset="-122"/>
            </a:rPr>
            <a:t>'</a:t>
          </a:r>
          <a:r>
            <a:rPr lang="en-US" altLang="zh-CN" sz="1100" baseline="-25000">
              <a:ea typeface="宋体" panose="02010600030101010101" pitchFamily="7" charset="-122"/>
            </a:rPr>
            <a:t>l5</a:t>
          </a:r>
          <a:r>
            <a:rPr lang="en-US" altLang="zh-CN" sz="1100" baseline="0">
              <a:ea typeface="宋体" panose="02010600030101010101" pitchFamily="7" charset="-122"/>
            </a:rPr>
            <a:t>A'</a:t>
          </a:r>
          <a:r>
            <a:rPr lang="en-US" altLang="zh-CN" sz="1100" baseline="-25000">
              <a:ea typeface="宋体" panose="02010600030101010101" pitchFamily="7" charset="-122"/>
            </a:rPr>
            <a:t>s</a:t>
          </a:r>
          <a:endParaRPr lang="zh-CN" altLang="en-US" sz="1100" baseline="-25000"/>
        </a:p>
      </xdr:txBody>
    </xdr:sp>
    <xdr:clientData/>
  </xdr:oneCellAnchor>
  <xdr:oneCellAnchor>
    <xdr:from>
      <xdr:col>7</xdr:col>
      <xdr:colOff>542926</xdr:colOff>
      <xdr:row>344</xdr:row>
      <xdr:rowOff>47625</xdr:rowOff>
    </xdr:from>
    <xdr:ext cx="1066799" cy="302894"/>
    <xdr:sp macro="" textlink="">
      <xdr:nvSpPr>
        <xdr:cNvPr id="43" name="TextBox 42">
          <a:extLst>
            <a:ext uri="{FF2B5EF4-FFF2-40B4-BE49-F238E27FC236}">
              <a16:creationId xmlns:a16="http://schemas.microsoft.com/office/drawing/2014/main" id="{00000000-0008-0000-0100-00002B000000}"/>
            </a:ext>
          </a:extLst>
        </xdr:cNvPr>
        <xdr:cNvSpPr txBox="1"/>
      </xdr:nvSpPr>
      <xdr:spPr>
        <a:xfrm>
          <a:off x="5155565" y="69462015"/>
          <a:ext cx="1066800" cy="302260"/>
        </a:xfrm>
        <a:prstGeom prst="rect">
          <a:avLst/>
        </a:prstGeom>
        <a:noFill/>
        <a:ln>
          <a:solidFill>
            <a:srgbClr val="0000FF"/>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altLang="zh-CN" sz="1100" baseline="0"/>
            <a:t>KV&lt;</a:t>
          </a:r>
          <a:r>
            <a:rPr lang="en-US" altLang="zh-CN" sz="1100" baseline="0">
              <a:ea typeface="宋体" panose="02010600030101010101" pitchFamily="7" charset="-122"/>
            </a:rPr>
            <a:t>V</a:t>
          </a:r>
          <a:r>
            <a:rPr lang="en-US" altLang="zh-CN" sz="1100" baseline="-25000">
              <a:ea typeface="宋体" panose="02010600030101010101" pitchFamily="7" charset="-122"/>
            </a:rPr>
            <a:t>C</a:t>
          </a:r>
          <a:r>
            <a:rPr lang="en-US" altLang="zh-CN" sz="1100" baseline="0">
              <a:ea typeface="宋体" panose="02010600030101010101" pitchFamily="7" charset="-122"/>
            </a:rPr>
            <a:t>+V</a:t>
          </a:r>
          <a:r>
            <a:rPr lang="en-US" altLang="zh-CN" sz="1100" baseline="-25000">
              <a:ea typeface="宋体" panose="02010600030101010101" pitchFamily="7" charset="-122"/>
            </a:rPr>
            <a:t>p</a:t>
          </a:r>
          <a:r>
            <a:rPr lang="en-US" altLang="zh-CN" sz="1100" baseline="0">
              <a:ea typeface="宋体" panose="02010600030101010101" pitchFamily="7" charset="-122"/>
            </a:rPr>
            <a:t>+V</a:t>
          </a:r>
          <a:r>
            <a:rPr lang="en-US" altLang="zh-CN" sz="1100" baseline="-25000">
              <a:ea typeface="宋体" panose="02010600030101010101" pitchFamily="7" charset="-122"/>
            </a:rPr>
            <a:t>sV</a:t>
          </a:r>
          <a:endParaRPr lang="zh-CN" altLang="en-US" sz="1100" baseline="-25000"/>
        </a:p>
      </xdr:txBody>
    </xdr:sp>
    <xdr:clientData/>
  </xdr:oneCellAnchor>
  <xdr:oneCellAnchor>
    <xdr:from>
      <xdr:col>7</xdr:col>
      <xdr:colOff>304801</xdr:colOff>
      <xdr:row>355</xdr:row>
      <xdr:rowOff>28575</xdr:rowOff>
    </xdr:from>
    <xdr:ext cx="1885950" cy="356234"/>
    <xdr:sp macro="" textlink="">
      <xdr:nvSpPr>
        <xdr:cNvPr id="44" name="TextBox 43">
          <a:extLst>
            <a:ext uri="{FF2B5EF4-FFF2-40B4-BE49-F238E27FC236}">
              <a16:creationId xmlns:a16="http://schemas.microsoft.com/office/drawing/2014/main" id="{00000000-0008-0000-0100-00002C000000}"/>
            </a:ext>
          </a:extLst>
        </xdr:cNvPr>
        <xdr:cNvSpPr txBox="1"/>
      </xdr:nvSpPr>
      <xdr:spPr>
        <a:xfrm>
          <a:off x="4917440" y="71637525"/>
          <a:ext cx="1885950" cy="355600"/>
        </a:xfrm>
        <a:prstGeom prst="rect">
          <a:avLst/>
        </a:prstGeom>
        <a:noFill/>
        <a:ln>
          <a:solidFill>
            <a:srgbClr val="0000FF"/>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l-GR" altLang="zh-CN" sz="1100" baseline="0">
              <a:ea typeface="宋体" panose="02010600030101010101" pitchFamily="7" charset="-122"/>
            </a:rPr>
            <a:t>σ</a:t>
          </a:r>
          <a:r>
            <a:rPr lang="en-US" altLang="zh-CN" sz="1100" baseline="-25000"/>
            <a:t>CK</a:t>
          </a:r>
          <a:r>
            <a:rPr lang="en-US" altLang="zh-CN" sz="1100" baseline="0"/>
            <a:t>-</a:t>
          </a:r>
          <a:r>
            <a:rPr lang="el-GR" altLang="zh-CN" sz="1100" baseline="0">
              <a:ea typeface="宋体" panose="02010600030101010101" pitchFamily="7" charset="-122"/>
            </a:rPr>
            <a:t>σ</a:t>
          </a:r>
          <a:r>
            <a:rPr lang="en-US" altLang="zh-CN" sz="1100" baseline="-25000">
              <a:ea typeface="宋体" panose="02010600030101010101" pitchFamily="7" charset="-122"/>
            </a:rPr>
            <a:t>pC</a:t>
          </a:r>
          <a:r>
            <a:rPr lang="en-US" altLang="zh-CN" sz="1100" baseline="0">
              <a:ea typeface="宋体" panose="02010600030101010101" pitchFamily="7" charset="-122"/>
            </a:rPr>
            <a:t>&lt;</a:t>
          </a:r>
          <a:r>
            <a:rPr lang="el-GR" altLang="zh-CN" sz="1100" baseline="0">
              <a:ea typeface="宋体" panose="02010600030101010101" pitchFamily="7" charset="-122"/>
            </a:rPr>
            <a:t>α</a:t>
          </a:r>
          <a:r>
            <a:rPr lang="en-US" altLang="zh-CN" sz="1100" baseline="-25000">
              <a:ea typeface="宋体" panose="02010600030101010101" pitchFamily="7" charset="-122"/>
            </a:rPr>
            <a:t>Ct</a:t>
          </a:r>
          <a:r>
            <a:rPr lang="en-US" altLang="zh-CN" sz="1100" baseline="0">
              <a:ea typeface="宋体" panose="02010600030101010101" pitchFamily="7" charset="-122"/>
            </a:rPr>
            <a:t>rf</a:t>
          </a:r>
          <a:r>
            <a:rPr lang="en-US" altLang="zh-CN" sz="1100" baseline="-25000">
              <a:ea typeface="宋体" panose="02010600030101010101" pitchFamily="7" charset="-122"/>
            </a:rPr>
            <a:t>tk</a:t>
          </a:r>
          <a:endParaRPr lang="zh-CN" altLang="en-US" sz="1100" baseline="-25000"/>
        </a:p>
      </xdr:txBody>
    </xdr:sp>
    <xdr:clientData/>
  </xdr:oneCellAnchor>
  <xdr:oneCellAnchor>
    <xdr:from>
      <xdr:col>7</xdr:col>
      <xdr:colOff>47625</xdr:colOff>
      <xdr:row>425</xdr:row>
      <xdr:rowOff>57150</xdr:rowOff>
    </xdr:from>
    <xdr:ext cx="2028825" cy="335279"/>
    <xdr:sp macro="" textlink="">
      <xdr:nvSpPr>
        <xdr:cNvPr id="52" name="TextBox 51">
          <a:extLst>
            <a:ext uri="{FF2B5EF4-FFF2-40B4-BE49-F238E27FC236}">
              <a16:creationId xmlns:a16="http://schemas.microsoft.com/office/drawing/2014/main" id="{00000000-0008-0000-0100-000034000000}"/>
            </a:ext>
          </a:extLst>
        </xdr:cNvPr>
        <xdr:cNvSpPr txBox="1"/>
      </xdr:nvSpPr>
      <xdr:spPr>
        <a:xfrm>
          <a:off x="4660265" y="86128860"/>
          <a:ext cx="2028825" cy="334645"/>
        </a:xfrm>
        <a:prstGeom prst="rect">
          <a:avLst/>
        </a:prstGeom>
        <a:noFill/>
        <a:ln>
          <a:solidFill>
            <a:srgbClr val="0000FF"/>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l-GR" altLang="zh-CN" sz="1100" baseline="0">
              <a:ea typeface="宋体" panose="02010600030101010101" pitchFamily="7" charset="-122"/>
            </a:rPr>
            <a:t>σ</a:t>
          </a:r>
          <a:r>
            <a:rPr lang="en-US" altLang="zh-CN" sz="1100" baseline="-25000">
              <a:ea typeface="宋体" panose="02010600030101010101" pitchFamily="7" charset="-122"/>
            </a:rPr>
            <a:t>cc</a:t>
          </a:r>
          <a:r>
            <a:rPr lang="zh-CN" altLang="en-US" sz="1100" baseline="0">
              <a:ea typeface="宋体" panose="02010600030101010101" pitchFamily="7" charset="-122"/>
            </a:rPr>
            <a:t>或</a:t>
          </a:r>
          <a:r>
            <a:rPr lang="el-GR" altLang="zh-CN" sz="1100" baseline="0">
              <a:ea typeface="宋体" panose="02010600030101010101" pitchFamily="7" charset="-122"/>
            </a:rPr>
            <a:t>σ</a:t>
          </a:r>
          <a:r>
            <a:rPr lang="en-US" altLang="zh-CN" sz="1100" baseline="-25000">
              <a:ea typeface="宋体" panose="02010600030101010101" pitchFamily="7" charset="-122"/>
            </a:rPr>
            <a:t>ct</a:t>
          </a:r>
          <a:r>
            <a:rPr lang="en-US" altLang="zh-CN" sz="1100" baseline="0">
              <a:ea typeface="宋体" panose="02010600030101010101" pitchFamily="7" charset="-122"/>
            </a:rPr>
            <a:t>=</a:t>
          </a:r>
          <a:r>
            <a:rPr lang="el-GR" altLang="zh-CN" sz="1100" baseline="0">
              <a:ea typeface="宋体" panose="02010600030101010101" pitchFamily="7" charset="-122"/>
            </a:rPr>
            <a:t>σ</a:t>
          </a:r>
          <a:r>
            <a:rPr lang="en-US" altLang="zh-CN" sz="1100" baseline="-25000">
              <a:ea typeface="宋体" panose="02010600030101010101" pitchFamily="7" charset="-122"/>
            </a:rPr>
            <a:t>pc</a:t>
          </a:r>
          <a:r>
            <a:rPr lang="en-US" altLang="zh-CN" sz="1100" baseline="0">
              <a:ea typeface="宋体" panose="02010600030101010101" pitchFamily="7" charset="-122"/>
            </a:rPr>
            <a:t>+N</a:t>
          </a:r>
          <a:r>
            <a:rPr lang="en-US" altLang="zh-CN" sz="1100" baseline="-25000">
              <a:ea typeface="宋体" panose="02010600030101010101" pitchFamily="7" charset="-122"/>
            </a:rPr>
            <a:t>k</a:t>
          </a:r>
          <a:r>
            <a:rPr lang="en-US" altLang="zh-CN" sz="1100" baseline="0">
              <a:ea typeface="宋体" panose="02010600030101010101" pitchFamily="7" charset="-122"/>
            </a:rPr>
            <a:t>/A</a:t>
          </a:r>
          <a:r>
            <a:rPr lang="en-US" altLang="zh-CN" sz="1100" baseline="-25000">
              <a:ea typeface="宋体" panose="02010600030101010101" pitchFamily="7" charset="-122"/>
            </a:rPr>
            <a:t>0</a:t>
          </a:r>
          <a:r>
            <a:rPr lang="en-US" altLang="zh-CN" sz="1100" u="sng" baseline="0">
              <a:ea typeface="宋体" panose="02010600030101010101" pitchFamily="7" charset="-122"/>
            </a:rPr>
            <a:t>+</a:t>
          </a:r>
          <a:r>
            <a:rPr lang="en-US" altLang="zh-CN" sz="1100" baseline="0">
              <a:ea typeface="宋体" panose="02010600030101010101" pitchFamily="7" charset="-122"/>
            </a:rPr>
            <a:t>M</a:t>
          </a:r>
          <a:r>
            <a:rPr lang="en-US" altLang="zh-CN" sz="1100" baseline="-25000">
              <a:ea typeface="宋体" panose="02010600030101010101" pitchFamily="7" charset="-122"/>
            </a:rPr>
            <a:t>k</a:t>
          </a:r>
          <a:r>
            <a:rPr lang="en-US" altLang="zh-CN" sz="1100" baseline="0">
              <a:ea typeface="宋体" panose="02010600030101010101" pitchFamily="7" charset="-122"/>
            </a:rPr>
            <a:t>/W</a:t>
          </a:r>
          <a:r>
            <a:rPr lang="en-US" altLang="zh-CN" sz="1100" baseline="-25000">
              <a:ea typeface="宋体" panose="02010600030101010101" pitchFamily="7" charset="-122"/>
            </a:rPr>
            <a:t>0</a:t>
          </a:r>
          <a:endParaRPr lang="zh-CN" altLang="en-US" sz="1100" baseline="-25000"/>
        </a:p>
      </xdr:txBody>
    </xdr:sp>
    <xdr:clientData/>
  </xdr:oneCellAnchor>
  <mc:AlternateContent xmlns:mc="http://schemas.openxmlformats.org/markup-compatibility/2006">
    <mc:Choice xmlns:a14="http://schemas.microsoft.com/office/drawing/2010/main" Requires="a14">
      <xdr:twoCellAnchor>
        <xdr:from>
          <xdr:col>7</xdr:col>
          <xdr:colOff>47625</xdr:colOff>
          <xdr:row>78</xdr:row>
          <xdr:rowOff>85725</xdr:rowOff>
        </xdr:from>
        <xdr:to>
          <xdr:col>9</xdr:col>
          <xdr:colOff>400050</xdr:colOff>
          <xdr:row>79</xdr:row>
          <xdr:rowOff>142875</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657225</xdr:colOff>
          <xdr:row>80</xdr:row>
          <xdr:rowOff>57150</xdr:rowOff>
        </xdr:from>
        <xdr:to>
          <xdr:col>10</xdr:col>
          <xdr:colOff>190500</xdr:colOff>
          <xdr:row>82</xdr:row>
          <xdr:rowOff>142875</xdr:rowOff>
        </xdr:to>
        <xdr:sp macro="" textlink="">
          <xdr:nvSpPr>
            <xdr:cNvPr id="6146" name="Object 2" hidden="1">
              <a:extLst>
                <a:ext uri="{63B3BB69-23CF-44E3-9099-C40C66FF867C}">
                  <a14:compatExt spid="_x0000_s6146"/>
                </a:ext>
                <a:ext uri="{FF2B5EF4-FFF2-40B4-BE49-F238E27FC236}">
                  <a16:creationId xmlns:a16="http://schemas.microsoft.com/office/drawing/2014/main" id="{00000000-0008-0000-0100-000002180000}"/>
                </a:ext>
              </a:extLst>
            </xdr:cNvPr>
            <xdr:cNvSpPr/>
          </xdr:nvSpPr>
          <xdr:spPr bwMode="auto">
            <a:xfrm>
              <a:off x="0" y="0"/>
              <a:ext cx="0" cy="0"/>
            </a:xfrm>
            <a:prstGeom prst="rect">
              <a:avLst/>
            </a:prstGeom>
            <a:noFill/>
            <a:ln w="9525">
              <a:solidFill>
                <a:srgbClr val="2C36F8"/>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47625</xdr:colOff>
          <xdr:row>196</xdr:row>
          <xdr:rowOff>57150</xdr:rowOff>
        </xdr:from>
        <xdr:to>
          <xdr:col>12</xdr:col>
          <xdr:colOff>476250</xdr:colOff>
          <xdr:row>198</xdr:row>
          <xdr:rowOff>200025</xdr:rowOff>
        </xdr:to>
        <xdr:sp macro="" textlink="">
          <xdr:nvSpPr>
            <xdr:cNvPr id="6147" name="Object 3" hidden="1">
              <a:extLst>
                <a:ext uri="{63B3BB69-23CF-44E3-9099-C40C66FF867C}">
                  <a14:compatExt spid="_x0000_s6147"/>
                </a:ext>
                <a:ext uri="{FF2B5EF4-FFF2-40B4-BE49-F238E27FC236}">
                  <a16:creationId xmlns:a16="http://schemas.microsoft.com/office/drawing/2014/main" id="{00000000-0008-0000-0100-00000318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47625</xdr:colOff>
          <xdr:row>201</xdr:row>
          <xdr:rowOff>114300</xdr:rowOff>
        </xdr:from>
        <xdr:to>
          <xdr:col>14</xdr:col>
          <xdr:colOff>247650</xdr:colOff>
          <xdr:row>202</xdr:row>
          <xdr:rowOff>190500</xdr:rowOff>
        </xdr:to>
        <xdr:sp macro="" textlink="">
          <xdr:nvSpPr>
            <xdr:cNvPr id="6148" name="Object 4" hidden="1">
              <a:extLst>
                <a:ext uri="{63B3BB69-23CF-44E3-9099-C40C66FF867C}">
                  <a14:compatExt spid="_x0000_s6148"/>
                </a:ext>
                <a:ext uri="{FF2B5EF4-FFF2-40B4-BE49-F238E27FC236}">
                  <a16:creationId xmlns:a16="http://schemas.microsoft.com/office/drawing/2014/main" id="{00000000-0008-0000-0100-00000418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9525</xdr:colOff>
          <xdr:row>210</xdr:row>
          <xdr:rowOff>114300</xdr:rowOff>
        </xdr:from>
        <xdr:to>
          <xdr:col>11</xdr:col>
          <xdr:colOff>495300</xdr:colOff>
          <xdr:row>211</xdr:row>
          <xdr:rowOff>190500</xdr:rowOff>
        </xdr:to>
        <xdr:sp macro="" textlink="">
          <xdr:nvSpPr>
            <xdr:cNvPr id="6149" name="Object 5" hidden="1">
              <a:extLst>
                <a:ext uri="{63B3BB69-23CF-44E3-9099-C40C66FF867C}">
                  <a14:compatExt spid="_x0000_s6149"/>
                </a:ext>
                <a:ext uri="{FF2B5EF4-FFF2-40B4-BE49-F238E27FC236}">
                  <a16:creationId xmlns:a16="http://schemas.microsoft.com/office/drawing/2014/main" id="{00000000-0008-0000-0100-00000518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161925</xdr:colOff>
          <xdr:row>224</xdr:row>
          <xdr:rowOff>104775</xdr:rowOff>
        </xdr:from>
        <xdr:to>
          <xdr:col>7</xdr:col>
          <xdr:colOff>819150</xdr:colOff>
          <xdr:row>226</xdr:row>
          <xdr:rowOff>47625</xdr:rowOff>
        </xdr:to>
        <xdr:sp macro="" textlink="">
          <xdr:nvSpPr>
            <xdr:cNvPr id="6150" name="Object 6" hidden="1">
              <a:extLst>
                <a:ext uri="{63B3BB69-23CF-44E3-9099-C40C66FF867C}">
                  <a14:compatExt spid="_x0000_s6150"/>
                </a:ext>
                <a:ext uri="{FF2B5EF4-FFF2-40B4-BE49-F238E27FC236}">
                  <a16:creationId xmlns:a16="http://schemas.microsoft.com/office/drawing/2014/main" id="{00000000-0008-0000-0100-00000618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57150</xdr:colOff>
          <xdr:row>229</xdr:row>
          <xdr:rowOff>19050</xdr:rowOff>
        </xdr:from>
        <xdr:to>
          <xdr:col>13</xdr:col>
          <xdr:colOff>219075</xdr:colOff>
          <xdr:row>230</xdr:row>
          <xdr:rowOff>28575</xdr:rowOff>
        </xdr:to>
        <xdr:sp macro="" textlink="">
          <xdr:nvSpPr>
            <xdr:cNvPr id="6151" name="Object 7" hidden="1">
              <a:extLst>
                <a:ext uri="{63B3BB69-23CF-44E3-9099-C40C66FF867C}">
                  <a14:compatExt spid="_x0000_s6151"/>
                </a:ext>
                <a:ext uri="{FF2B5EF4-FFF2-40B4-BE49-F238E27FC236}">
                  <a16:creationId xmlns:a16="http://schemas.microsoft.com/office/drawing/2014/main" id="{00000000-0008-0000-0100-00000718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209550</xdr:colOff>
          <xdr:row>235</xdr:row>
          <xdr:rowOff>57150</xdr:rowOff>
        </xdr:from>
        <xdr:to>
          <xdr:col>8</xdr:col>
          <xdr:colOff>361950</xdr:colOff>
          <xdr:row>236</xdr:row>
          <xdr:rowOff>114300</xdr:rowOff>
        </xdr:to>
        <xdr:sp macro="" textlink="">
          <xdr:nvSpPr>
            <xdr:cNvPr id="6152" name="Object 8" hidden="1">
              <a:extLst>
                <a:ext uri="{63B3BB69-23CF-44E3-9099-C40C66FF867C}">
                  <a14:compatExt spid="_x0000_s6152"/>
                </a:ext>
                <a:ext uri="{FF2B5EF4-FFF2-40B4-BE49-F238E27FC236}">
                  <a16:creationId xmlns:a16="http://schemas.microsoft.com/office/drawing/2014/main" id="{00000000-0008-0000-0100-00000818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638175</xdr:colOff>
          <xdr:row>240</xdr:row>
          <xdr:rowOff>133350</xdr:rowOff>
        </xdr:from>
        <xdr:to>
          <xdr:col>10</xdr:col>
          <xdr:colOff>219075</xdr:colOff>
          <xdr:row>242</xdr:row>
          <xdr:rowOff>85725</xdr:rowOff>
        </xdr:to>
        <xdr:sp macro="" textlink="">
          <xdr:nvSpPr>
            <xdr:cNvPr id="6153" name="Object 9" hidden="1">
              <a:extLst>
                <a:ext uri="{63B3BB69-23CF-44E3-9099-C40C66FF867C}">
                  <a14:compatExt spid="_x0000_s6153"/>
                </a:ext>
                <a:ext uri="{FF2B5EF4-FFF2-40B4-BE49-F238E27FC236}">
                  <a16:creationId xmlns:a16="http://schemas.microsoft.com/office/drawing/2014/main" id="{00000000-0008-0000-0100-00000918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542925</xdr:colOff>
          <xdr:row>245</xdr:row>
          <xdr:rowOff>171450</xdr:rowOff>
        </xdr:from>
        <xdr:to>
          <xdr:col>10</xdr:col>
          <xdr:colOff>476250</xdr:colOff>
          <xdr:row>249</xdr:row>
          <xdr:rowOff>57150</xdr:rowOff>
        </xdr:to>
        <xdr:sp macro="" textlink="">
          <xdr:nvSpPr>
            <xdr:cNvPr id="6154" name="Object 10" hidden="1">
              <a:extLst>
                <a:ext uri="{63B3BB69-23CF-44E3-9099-C40C66FF867C}">
                  <a14:compatExt spid="_x0000_s6154"/>
                </a:ext>
                <a:ext uri="{FF2B5EF4-FFF2-40B4-BE49-F238E27FC236}">
                  <a16:creationId xmlns:a16="http://schemas.microsoft.com/office/drawing/2014/main" id="{00000000-0008-0000-0100-00000A18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609600</xdr:colOff>
          <xdr:row>250</xdr:row>
          <xdr:rowOff>104775</xdr:rowOff>
        </xdr:from>
        <xdr:to>
          <xdr:col>8</xdr:col>
          <xdr:colOff>561975</xdr:colOff>
          <xdr:row>254</xdr:row>
          <xdr:rowOff>9525</xdr:rowOff>
        </xdr:to>
        <xdr:sp macro="" textlink="">
          <xdr:nvSpPr>
            <xdr:cNvPr id="6155" name="Object 11" hidden="1">
              <a:extLst>
                <a:ext uri="{63B3BB69-23CF-44E3-9099-C40C66FF867C}">
                  <a14:compatExt spid="_x0000_s6155"/>
                </a:ext>
                <a:ext uri="{FF2B5EF4-FFF2-40B4-BE49-F238E27FC236}">
                  <a16:creationId xmlns:a16="http://schemas.microsoft.com/office/drawing/2014/main" id="{00000000-0008-0000-0100-00000B18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600075</xdr:colOff>
          <xdr:row>254</xdr:row>
          <xdr:rowOff>66675</xdr:rowOff>
        </xdr:from>
        <xdr:to>
          <xdr:col>8</xdr:col>
          <xdr:colOff>590550</xdr:colOff>
          <xdr:row>258</xdr:row>
          <xdr:rowOff>85725</xdr:rowOff>
        </xdr:to>
        <xdr:sp macro="" textlink="">
          <xdr:nvSpPr>
            <xdr:cNvPr id="6156" name="Object 12" hidden="1">
              <a:extLst>
                <a:ext uri="{63B3BB69-23CF-44E3-9099-C40C66FF867C}">
                  <a14:compatExt spid="_x0000_s6156"/>
                </a:ext>
                <a:ext uri="{FF2B5EF4-FFF2-40B4-BE49-F238E27FC236}">
                  <a16:creationId xmlns:a16="http://schemas.microsoft.com/office/drawing/2014/main" id="{00000000-0008-0000-0100-00000C18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638175</xdr:colOff>
          <xdr:row>259</xdr:row>
          <xdr:rowOff>104775</xdr:rowOff>
        </xdr:from>
        <xdr:to>
          <xdr:col>8</xdr:col>
          <xdr:colOff>76200</xdr:colOff>
          <xdr:row>262</xdr:row>
          <xdr:rowOff>38100</xdr:rowOff>
        </xdr:to>
        <xdr:sp macro="" textlink="">
          <xdr:nvSpPr>
            <xdr:cNvPr id="6157" name="Object 13" hidden="1">
              <a:extLst>
                <a:ext uri="{63B3BB69-23CF-44E3-9099-C40C66FF867C}">
                  <a14:compatExt spid="_x0000_s6157"/>
                </a:ext>
                <a:ext uri="{FF2B5EF4-FFF2-40B4-BE49-F238E27FC236}">
                  <a16:creationId xmlns:a16="http://schemas.microsoft.com/office/drawing/2014/main" id="{00000000-0008-0000-0100-00000D18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476250</xdr:colOff>
          <xdr:row>259</xdr:row>
          <xdr:rowOff>142875</xdr:rowOff>
        </xdr:from>
        <xdr:to>
          <xdr:col>10</xdr:col>
          <xdr:colOff>66675</xdr:colOff>
          <xdr:row>262</xdr:row>
          <xdr:rowOff>133350</xdr:rowOff>
        </xdr:to>
        <xdr:sp macro="" textlink="">
          <xdr:nvSpPr>
            <xdr:cNvPr id="6158" name="Object 14" hidden="1">
              <a:extLst>
                <a:ext uri="{63B3BB69-23CF-44E3-9099-C40C66FF867C}">
                  <a14:compatExt spid="_x0000_s6158"/>
                </a:ext>
                <a:ext uri="{FF2B5EF4-FFF2-40B4-BE49-F238E27FC236}">
                  <a16:creationId xmlns:a16="http://schemas.microsoft.com/office/drawing/2014/main" id="{00000000-0008-0000-0100-00000E18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19050</xdr:colOff>
          <xdr:row>263</xdr:row>
          <xdr:rowOff>19050</xdr:rowOff>
        </xdr:from>
        <xdr:to>
          <xdr:col>8</xdr:col>
          <xdr:colOff>361950</xdr:colOff>
          <xdr:row>266</xdr:row>
          <xdr:rowOff>123825</xdr:rowOff>
        </xdr:to>
        <xdr:sp macro="" textlink="">
          <xdr:nvSpPr>
            <xdr:cNvPr id="6159" name="Object 15" hidden="1">
              <a:extLst>
                <a:ext uri="{63B3BB69-23CF-44E3-9099-C40C66FF867C}">
                  <a14:compatExt spid="_x0000_s6159"/>
                </a:ext>
                <a:ext uri="{FF2B5EF4-FFF2-40B4-BE49-F238E27FC236}">
                  <a16:creationId xmlns:a16="http://schemas.microsoft.com/office/drawing/2014/main" id="{00000000-0008-0000-0100-00000F18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542925</xdr:colOff>
          <xdr:row>263</xdr:row>
          <xdr:rowOff>85725</xdr:rowOff>
        </xdr:from>
        <xdr:to>
          <xdr:col>10</xdr:col>
          <xdr:colOff>400050</xdr:colOff>
          <xdr:row>266</xdr:row>
          <xdr:rowOff>104775</xdr:rowOff>
        </xdr:to>
        <xdr:sp macro="" textlink="">
          <xdr:nvSpPr>
            <xdr:cNvPr id="6160" name="Object 16" hidden="1">
              <a:extLst>
                <a:ext uri="{63B3BB69-23CF-44E3-9099-C40C66FF867C}">
                  <a14:compatExt spid="_x0000_s6160"/>
                </a:ext>
                <a:ext uri="{FF2B5EF4-FFF2-40B4-BE49-F238E27FC236}">
                  <a16:creationId xmlns:a16="http://schemas.microsoft.com/office/drawing/2014/main" id="{00000000-0008-0000-0100-00001018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647700</xdr:colOff>
          <xdr:row>266</xdr:row>
          <xdr:rowOff>66675</xdr:rowOff>
        </xdr:from>
        <xdr:to>
          <xdr:col>4</xdr:col>
          <xdr:colOff>647700</xdr:colOff>
          <xdr:row>267</xdr:row>
          <xdr:rowOff>142875</xdr:rowOff>
        </xdr:to>
        <xdr:sp macro="" textlink="">
          <xdr:nvSpPr>
            <xdr:cNvPr id="6161" name="Object 17" hidden="1">
              <a:extLst>
                <a:ext uri="{63B3BB69-23CF-44E3-9099-C40C66FF867C}">
                  <a14:compatExt spid="_x0000_s6161"/>
                </a:ext>
                <a:ext uri="{FF2B5EF4-FFF2-40B4-BE49-F238E27FC236}">
                  <a16:creationId xmlns:a16="http://schemas.microsoft.com/office/drawing/2014/main" id="{00000000-0008-0000-0100-00001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271</xdr:row>
          <xdr:rowOff>200025</xdr:rowOff>
        </xdr:from>
        <xdr:to>
          <xdr:col>4</xdr:col>
          <xdr:colOff>609600</xdr:colOff>
          <xdr:row>273</xdr:row>
          <xdr:rowOff>57150</xdr:rowOff>
        </xdr:to>
        <xdr:sp macro="" textlink="">
          <xdr:nvSpPr>
            <xdr:cNvPr id="6162" name="Object 18" hidden="1">
              <a:extLst>
                <a:ext uri="{63B3BB69-23CF-44E3-9099-C40C66FF867C}">
                  <a14:compatExt spid="_x0000_s6162"/>
                </a:ext>
                <a:ext uri="{FF2B5EF4-FFF2-40B4-BE49-F238E27FC236}">
                  <a16:creationId xmlns:a16="http://schemas.microsoft.com/office/drawing/2014/main" id="{00000000-0008-0000-0100-000012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314325</xdr:colOff>
          <xdr:row>273</xdr:row>
          <xdr:rowOff>200025</xdr:rowOff>
        </xdr:from>
        <xdr:to>
          <xdr:col>4</xdr:col>
          <xdr:colOff>590550</xdr:colOff>
          <xdr:row>276</xdr:row>
          <xdr:rowOff>123825</xdr:rowOff>
        </xdr:to>
        <xdr:sp macro="" textlink="">
          <xdr:nvSpPr>
            <xdr:cNvPr id="6163" name="Object 19" hidden="1">
              <a:extLst>
                <a:ext uri="{63B3BB69-23CF-44E3-9099-C40C66FF867C}">
                  <a14:compatExt spid="_x0000_s6163"/>
                </a:ext>
                <a:ext uri="{FF2B5EF4-FFF2-40B4-BE49-F238E27FC236}">
                  <a16:creationId xmlns:a16="http://schemas.microsoft.com/office/drawing/2014/main" id="{00000000-0008-0000-0100-000013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278</xdr:row>
          <xdr:rowOff>38100</xdr:rowOff>
        </xdr:from>
        <xdr:to>
          <xdr:col>5</xdr:col>
          <xdr:colOff>0</xdr:colOff>
          <xdr:row>280</xdr:row>
          <xdr:rowOff>133350</xdr:rowOff>
        </xdr:to>
        <xdr:sp macro="" textlink="">
          <xdr:nvSpPr>
            <xdr:cNvPr id="6164" name="Object 20" hidden="1">
              <a:extLst>
                <a:ext uri="{63B3BB69-23CF-44E3-9099-C40C66FF867C}">
                  <a14:compatExt spid="_x0000_s6164"/>
                </a:ext>
                <a:ext uri="{FF2B5EF4-FFF2-40B4-BE49-F238E27FC236}">
                  <a16:creationId xmlns:a16="http://schemas.microsoft.com/office/drawing/2014/main" id="{00000000-0008-0000-0100-000014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723900</xdr:colOff>
          <xdr:row>281</xdr:row>
          <xdr:rowOff>9525</xdr:rowOff>
        </xdr:from>
        <xdr:to>
          <xdr:col>4</xdr:col>
          <xdr:colOff>638175</xdr:colOff>
          <xdr:row>283</xdr:row>
          <xdr:rowOff>133350</xdr:rowOff>
        </xdr:to>
        <xdr:sp macro="" textlink="">
          <xdr:nvSpPr>
            <xdr:cNvPr id="6165" name="Object 21" hidden="1">
              <a:extLst>
                <a:ext uri="{63B3BB69-23CF-44E3-9099-C40C66FF867C}">
                  <a14:compatExt spid="_x0000_s6165"/>
                </a:ext>
                <a:ext uri="{FF2B5EF4-FFF2-40B4-BE49-F238E27FC236}">
                  <a16:creationId xmlns:a16="http://schemas.microsoft.com/office/drawing/2014/main" id="{00000000-0008-0000-0100-000015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504825</xdr:colOff>
          <xdr:row>290</xdr:row>
          <xdr:rowOff>95250</xdr:rowOff>
        </xdr:from>
        <xdr:to>
          <xdr:col>3</xdr:col>
          <xdr:colOff>657225</xdr:colOff>
          <xdr:row>295</xdr:row>
          <xdr:rowOff>0</xdr:rowOff>
        </xdr:to>
        <xdr:sp macro="" textlink="">
          <xdr:nvSpPr>
            <xdr:cNvPr id="6166" name="Object 22" hidden="1">
              <a:extLst>
                <a:ext uri="{63B3BB69-23CF-44E3-9099-C40C66FF867C}">
                  <a14:compatExt spid="_x0000_s6166"/>
                </a:ext>
                <a:ext uri="{FF2B5EF4-FFF2-40B4-BE49-F238E27FC236}">
                  <a16:creationId xmlns:a16="http://schemas.microsoft.com/office/drawing/2014/main" id="{00000000-0008-0000-0100-000016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200025</xdr:colOff>
          <xdr:row>302</xdr:row>
          <xdr:rowOff>19050</xdr:rowOff>
        </xdr:from>
        <xdr:to>
          <xdr:col>4</xdr:col>
          <xdr:colOff>657225</xdr:colOff>
          <xdr:row>303</xdr:row>
          <xdr:rowOff>28575</xdr:rowOff>
        </xdr:to>
        <xdr:sp macro="" textlink="">
          <xdr:nvSpPr>
            <xdr:cNvPr id="6167" name="Object 23" hidden="1">
              <a:extLst>
                <a:ext uri="{63B3BB69-23CF-44E3-9099-C40C66FF867C}">
                  <a14:compatExt spid="_x0000_s6167"/>
                </a:ext>
                <a:ext uri="{FF2B5EF4-FFF2-40B4-BE49-F238E27FC236}">
                  <a16:creationId xmlns:a16="http://schemas.microsoft.com/office/drawing/2014/main" id="{00000000-0008-0000-0100-000017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676275</xdr:colOff>
          <xdr:row>303</xdr:row>
          <xdr:rowOff>57150</xdr:rowOff>
        </xdr:from>
        <xdr:to>
          <xdr:col>4</xdr:col>
          <xdr:colOff>619125</xdr:colOff>
          <xdr:row>304</xdr:row>
          <xdr:rowOff>142875</xdr:rowOff>
        </xdr:to>
        <xdr:sp macro="" textlink="">
          <xdr:nvSpPr>
            <xdr:cNvPr id="6168" name="Object 24" hidden="1">
              <a:extLst>
                <a:ext uri="{63B3BB69-23CF-44E3-9099-C40C66FF867C}">
                  <a14:compatExt spid="_x0000_s6168"/>
                </a:ext>
                <a:ext uri="{FF2B5EF4-FFF2-40B4-BE49-F238E27FC236}">
                  <a16:creationId xmlns:a16="http://schemas.microsoft.com/office/drawing/2014/main" id="{00000000-0008-0000-0100-000018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206</xdr:row>
          <xdr:rowOff>95250</xdr:rowOff>
        </xdr:from>
        <xdr:to>
          <xdr:col>9</xdr:col>
          <xdr:colOff>247650</xdr:colOff>
          <xdr:row>208</xdr:row>
          <xdr:rowOff>38100</xdr:rowOff>
        </xdr:to>
        <xdr:sp macro="" textlink="">
          <xdr:nvSpPr>
            <xdr:cNvPr id="6169" name="Object 25" hidden="1">
              <a:extLst>
                <a:ext uri="{63B3BB69-23CF-44E3-9099-C40C66FF867C}">
                  <a14:compatExt spid="_x0000_s6169"/>
                </a:ext>
                <a:ext uri="{FF2B5EF4-FFF2-40B4-BE49-F238E27FC236}">
                  <a16:creationId xmlns:a16="http://schemas.microsoft.com/office/drawing/2014/main" id="{00000000-0008-0000-0100-00001918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12</xdr:col>
          <xdr:colOff>0</xdr:colOff>
          <xdr:row>305</xdr:row>
          <xdr:rowOff>123825</xdr:rowOff>
        </xdr:from>
        <xdr:to>
          <xdr:col>15</xdr:col>
          <xdr:colOff>723900</xdr:colOff>
          <xdr:row>308</xdr:row>
          <xdr:rowOff>38100</xdr:rowOff>
        </xdr:to>
        <xdr:sp macro="" textlink="">
          <xdr:nvSpPr>
            <xdr:cNvPr id="6170" name="Object 26" hidden="1">
              <a:extLst>
                <a:ext uri="{63B3BB69-23CF-44E3-9099-C40C66FF867C}">
                  <a14:compatExt spid="_x0000_s6170"/>
                </a:ext>
                <a:ext uri="{FF2B5EF4-FFF2-40B4-BE49-F238E27FC236}">
                  <a16:creationId xmlns:a16="http://schemas.microsoft.com/office/drawing/2014/main" id="{00000000-0008-0000-0100-00001A18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310</xdr:row>
          <xdr:rowOff>152400</xdr:rowOff>
        </xdr:from>
        <xdr:to>
          <xdr:col>19</xdr:col>
          <xdr:colOff>142875</xdr:colOff>
          <xdr:row>312</xdr:row>
          <xdr:rowOff>142875</xdr:rowOff>
        </xdr:to>
        <xdr:sp macro="" textlink="">
          <xdr:nvSpPr>
            <xdr:cNvPr id="6171" name="Object 27" hidden="1">
              <a:extLst>
                <a:ext uri="{63B3BB69-23CF-44E3-9099-C40C66FF867C}">
                  <a14:compatExt spid="_x0000_s6171"/>
                </a:ext>
                <a:ext uri="{FF2B5EF4-FFF2-40B4-BE49-F238E27FC236}">
                  <a16:creationId xmlns:a16="http://schemas.microsoft.com/office/drawing/2014/main" id="{00000000-0008-0000-0100-00001B180000}"/>
                </a:ext>
              </a:extLst>
            </xdr:cNvPr>
            <xdr:cNvSpPr/>
          </xdr:nvSpPr>
          <xdr:spPr bwMode="auto">
            <a:xfrm>
              <a:off x="0" y="0"/>
              <a:ext cx="0" cy="0"/>
            </a:xfrm>
            <a:prstGeom prst="rect">
              <a:avLst/>
            </a:prstGeom>
            <a:noFill/>
            <a:ln w="9525">
              <a:solidFill>
                <a:srgbClr val="0000FF"/>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310</xdr:row>
          <xdr:rowOff>142875</xdr:rowOff>
        </xdr:from>
        <xdr:to>
          <xdr:col>12</xdr:col>
          <xdr:colOff>438150</xdr:colOff>
          <xdr:row>313</xdr:row>
          <xdr:rowOff>123825</xdr:rowOff>
        </xdr:to>
        <xdr:sp macro="" textlink="">
          <xdr:nvSpPr>
            <xdr:cNvPr id="6172" name="Object 28" hidden="1">
              <a:extLst>
                <a:ext uri="{63B3BB69-23CF-44E3-9099-C40C66FF867C}">
                  <a14:compatExt spid="_x0000_s6172"/>
                </a:ext>
                <a:ext uri="{FF2B5EF4-FFF2-40B4-BE49-F238E27FC236}">
                  <a16:creationId xmlns:a16="http://schemas.microsoft.com/office/drawing/2014/main" id="{00000000-0008-0000-0100-00001C18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251</xdr:row>
          <xdr:rowOff>0</xdr:rowOff>
        </xdr:from>
        <xdr:to>
          <xdr:col>12</xdr:col>
          <xdr:colOff>676275</xdr:colOff>
          <xdr:row>252</xdr:row>
          <xdr:rowOff>9525</xdr:rowOff>
        </xdr:to>
        <xdr:sp macro="" textlink="">
          <xdr:nvSpPr>
            <xdr:cNvPr id="6173" name="Object 29" hidden="1">
              <a:extLst>
                <a:ext uri="{63B3BB69-23CF-44E3-9099-C40C66FF867C}">
                  <a14:compatExt spid="_x0000_s6173"/>
                </a:ext>
                <a:ext uri="{FF2B5EF4-FFF2-40B4-BE49-F238E27FC236}">
                  <a16:creationId xmlns:a16="http://schemas.microsoft.com/office/drawing/2014/main" id="{00000000-0008-0000-0100-00001D1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251</xdr:row>
          <xdr:rowOff>0</xdr:rowOff>
        </xdr:from>
        <xdr:to>
          <xdr:col>12</xdr:col>
          <xdr:colOff>676275</xdr:colOff>
          <xdr:row>252</xdr:row>
          <xdr:rowOff>9525</xdr:rowOff>
        </xdr:to>
        <xdr:sp macro="" textlink="">
          <xdr:nvSpPr>
            <xdr:cNvPr id="6174" name="Object 30" hidden="1">
              <a:extLst>
                <a:ext uri="{63B3BB69-23CF-44E3-9099-C40C66FF867C}">
                  <a14:compatExt spid="_x0000_s6174"/>
                </a:ext>
                <a:ext uri="{FF2B5EF4-FFF2-40B4-BE49-F238E27FC236}">
                  <a16:creationId xmlns:a16="http://schemas.microsoft.com/office/drawing/2014/main" id="{00000000-0008-0000-0100-00001E1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251</xdr:row>
          <xdr:rowOff>0</xdr:rowOff>
        </xdr:from>
        <xdr:to>
          <xdr:col>12</xdr:col>
          <xdr:colOff>676275</xdr:colOff>
          <xdr:row>252</xdr:row>
          <xdr:rowOff>9525</xdr:rowOff>
        </xdr:to>
        <xdr:sp macro="" textlink="">
          <xdr:nvSpPr>
            <xdr:cNvPr id="6175" name="Object 31" hidden="1">
              <a:extLst>
                <a:ext uri="{63B3BB69-23CF-44E3-9099-C40C66FF867C}">
                  <a14:compatExt spid="_x0000_s6175"/>
                </a:ext>
                <a:ext uri="{FF2B5EF4-FFF2-40B4-BE49-F238E27FC236}">
                  <a16:creationId xmlns:a16="http://schemas.microsoft.com/office/drawing/2014/main" id="{00000000-0008-0000-0100-00001F1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251</xdr:row>
          <xdr:rowOff>0</xdr:rowOff>
        </xdr:from>
        <xdr:to>
          <xdr:col>12</xdr:col>
          <xdr:colOff>676275</xdr:colOff>
          <xdr:row>252</xdr:row>
          <xdr:rowOff>9525</xdr:rowOff>
        </xdr:to>
        <xdr:sp macro="" textlink="">
          <xdr:nvSpPr>
            <xdr:cNvPr id="6176" name="Object 32" hidden="1">
              <a:extLst>
                <a:ext uri="{63B3BB69-23CF-44E3-9099-C40C66FF867C}">
                  <a14:compatExt spid="_x0000_s6176"/>
                </a:ext>
                <a:ext uri="{FF2B5EF4-FFF2-40B4-BE49-F238E27FC236}">
                  <a16:creationId xmlns:a16="http://schemas.microsoft.com/office/drawing/2014/main" id="{00000000-0008-0000-0100-0000201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714375</xdr:colOff>
          <xdr:row>378</xdr:row>
          <xdr:rowOff>19050</xdr:rowOff>
        </xdr:from>
        <xdr:to>
          <xdr:col>4</xdr:col>
          <xdr:colOff>647700</xdr:colOff>
          <xdr:row>380</xdr:row>
          <xdr:rowOff>57150</xdr:rowOff>
        </xdr:to>
        <xdr:sp macro="" textlink="">
          <xdr:nvSpPr>
            <xdr:cNvPr id="6177" name="Object 33" hidden="1">
              <a:extLst>
                <a:ext uri="{63B3BB69-23CF-44E3-9099-C40C66FF867C}">
                  <a14:compatExt spid="_x0000_s6177"/>
                </a:ext>
                <a:ext uri="{FF2B5EF4-FFF2-40B4-BE49-F238E27FC236}">
                  <a16:creationId xmlns:a16="http://schemas.microsoft.com/office/drawing/2014/main" id="{00000000-0008-0000-0100-00002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733425</xdr:colOff>
          <xdr:row>392</xdr:row>
          <xdr:rowOff>0</xdr:rowOff>
        </xdr:from>
        <xdr:to>
          <xdr:col>4</xdr:col>
          <xdr:colOff>666750</xdr:colOff>
          <xdr:row>394</xdr:row>
          <xdr:rowOff>38100</xdr:rowOff>
        </xdr:to>
        <xdr:sp macro="" textlink="">
          <xdr:nvSpPr>
            <xdr:cNvPr id="6178" name="Object 34" hidden="1">
              <a:extLst>
                <a:ext uri="{63B3BB69-23CF-44E3-9099-C40C66FF867C}">
                  <a14:compatExt spid="_x0000_s6178"/>
                </a:ext>
                <a:ext uri="{FF2B5EF4-FFF2-40B4-BE49-F238E27FC236}">
                  <a16:creationId xmlns:a16="http://schemas.microsoft.com/office/drawing/2014/main" id="{00000000-0008-0000-0100-000022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402</xdr:row>
          <xdr:rowOff>38100</xdr:rowOff>
        </xdr:from>
        <xdr:to>
          <xdr:col>10</xdr:col>
          <xdr:colOff>95250</xdr:colOff>
          <xdr:row>404</xdr:row>
          <xdr:rowOff>0</xdr:rowOff>
        </xdr:to>
        <xdr:sp macro="" textlink="">
          <xdr:nvSpPr>
            <xdr:cNvPr id="6179" name="Object 35" hidden="1">
              <a:extLst>
                <a:ext uri="{63B3BB69-23CF-44E3-9099-C40C66FF867C}">
                  <a14:compatExt spid="_x0000_s6179"/>
                </a:ext>
                <a:ext uri="{FF2B5EF4-FFF2-40B4-BE49-F238E27FC236}">
                  <a16:creationId xmlns:a16="http://schemas.microsoft.com/office/drawing/2014/main" id="{00000000-0008-0000-0100-00002318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400</xdr:row>
          <xdr:rowOff>9525</xdr:rowOff>
        </xdr:from>
        <xdr:to>
          <xdr:col>8</xdr:col>
          <xdr:colOff>581025</xdr:colOff>
          <xdr:row>401</xdr:row>
          <xdr:rowOff>133350</xdr:rowOff>
        </xdr:to>
        <xdr:sp macro="" textlink="">
          <xdr:nvSpPr>
            <xdr:cNvPr id="6180" name="Object 36" hidden="1">
              <a:extLst>
                <a:ext uri="{63B3BB69-23CF-44E3-9099-C40C66FF867C}">
                  <a14:compatExt spid="_x0000_s6180"/>
                </a:ext>
                <a:ext uri="{FF2B5EF4-FFF2-40B4-BE49-F238E27FC236}">
                  <a16:creationId xmlns:a16="http://schemas.microsoft.com/office/drawing/2014/main" id="{00000000-0008-0000-0100-00002418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66675</xdr:colOff>
          <xdr:row>397</xdr:row>
          <xdr:rowOff>123825</xdr:rowOff>
        </xdr:from>
        <xdr:to>
          <xdr:col>12</xdr:col>
          <xdr:colOff>685800</xdr:colOff>
          <xdr:row>398</xdr:row>
          <xdr:rowOff>161925</xdr:rowOff>
        </xdr:to>
        <xdr:sp macro="" textlink="">
          <xdr:nvSpPr>
            <xdr:cNvPr id="6181" name="Object 37" hidden="1">
              <a:extLst>
                <a:ext uri="{63B3BB69-23CF-44E3-9099-C40C66FF867C}">
                  <a14:compatExt spid="_x0000_s6181"/>
                </a:ext>
                <a:ext uri="{FF2B5EF4-FFF2-40B4-BE49-F238E27FC236}">
                  <a16:creationId xmlns:a16="http://schemas.microsoft.com/office/drawing/2014/main" id="{00000000-0008-0000-0100-00002518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666750</xdr:colOff>
          <xdr:row>399</xdr:row>
          <xdr:rowOff>57150</xdr:rowOff>
        </xdr:from>
        <xdr:to>
          <xdr:col>11</xdr:col>
          <xdr:colOff>676275</xdr:colOff>
          <xdr:row>400</xdr:row>
          <xdr:rowOff>76200</xdr:rowOff>
        </xdr:to>
        <xdr:sp macro="" textlink="">
          <xdr:nvSpPr>
            <xdr:cNvPr id="6182" name="Object 38" hidden="1">
              <a:extLst>
                <a:ext uri="{63B3BB69-23CF-44E3-9099-C40C66FF867C}">
                  <a14:compatExt spid="_x0000_s6182"/>
                </a:ext>
                <a:ext uri="{FF2B5EF4-FFF2-40B4-BE49-F238E27FC236}">
                  <a16:creationId xmlns:a16="http://schemas.microsoft.com/office/drawing/2014/main" id="{00000000-0008-0000-0100-00002618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xdr:colOff>
          <xdr:row>409</xdr:row>
          <xdr:rowOff>142875</xdr:rowOff>
        </xdr:from>
        <xdr:to>
          <xdr:col>8</xdr:col>
          <xdr:colOff>171450</xdr:colOff>
          <xdr:row>412</xdr:row>
          <xdr:rowOff>9525</xdr:rowOff>
        </xdr:to>
        <xdr:sp macro="" textlink="">
          <xdr:nvSpPr>
            <xdr:cNvPr id="6183" name="Object 39" hidden="1">
              <a:extLst>
                <a:ext uri="{63B3BB69-23CF-44E3-9099-C40C66FF867C}">
                  <a14:compatExt spid="_x0000_s6183"/>
                </a:ext>
                <a:ext uri="{FF2B5EF4-FFF2-40B4-BE49-F238E27FC236}">
                  <a16:creationId xmlns:a16="http://schemas.microsoft.com/office/drawing/2014/main" id="{00000000-0008-0000-0100-00002718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312</xdr:row>
          <xdr:rowOff>0</xdr:rowOff>
        </xdr:from>
        <xdr:to>
          <xdr:col>1</xdr:col>
          <xdr:colOff>104775</xdr:colOff>
          <xdr:row>313</xdr:row>
          <xdr:rowOff>66675</xdr:rowOff>
        </xdr:to>
        <xdr:sp macro="" textlink="">
          <xdr:nvSpPr>
            <xdr:cNvPr id="6188" name="Object 44" hidden="1">
              <a:extLst>
                <a:ext uri="{63B3BB69-23CF-44E3-9099-C40C66FF867C}">
                  <a14:compatExt spid="_x0000_s6188"/>
                </a:ext>
                <a:ext uri="{FF2B5EF4-FFF2-40B4-BE49-F238E27FC236}">
                  <a16:creationId xmlns:a16="http://schemas.microsoft.com/office/drawing/2014/main" id="{00000000-0008-0000-0100-00002C1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6</xdr:col>
      <xdr:colOff>416277</xdr:colOff>
      <xdr:row>190</xdr:row>
      <xdr:rowOff>147660</xdr:rowOff>
    </xdr:from>
    <xdr:to>
      <xdr:col>7</xdr:col>
      <xdr:colOff>979052</xdr:colOff>
      <xdr:row>202</xdr:row>
      <xdr:rowOff>110045</xdr:rowOff>
    </xdr:to>
    <xdr:pic>
      <xdr:nvPicPr>
        <xdr:cNvPr id="3" name="图片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8435" t="16500" r="6435" b="-1"/>
        <a:stretch>
          <a:fillRect/>
        </a:stretch>
      </xdr:blipFill>
      <xdr:spPr>
        <a:xfrm>
          <a:off x="9777730" y="35321240"/>
          <a:ext cx="1805940" cy="2189480"/>
        </a:xfrm>
        <a:prstGeom prst="rect">
          <a:avLst/>
        </a:prstGeom>
      </xdr:spPr>
    </xdr:pic>
    <xdr:clientData/>
  </xdr:twoCellAnchor>
  <xdr:oneCellAnchor>
    <xdr:from>
      <xdr:col>7</xdr:col>
      <xdr:colOff>164420</xdr:colOff>
      <xdr:row>241</xdr:row>
      <xdr:rowOff>197887</xdr:rowOff>
    </xdr:from>
    <xdr:ext cx="2281519" cy="574300"/>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0768965" y="47285910"/>
          <a:ext cx="2281555" cy="574675"/>
        </a:xfrm>
        <a:prstGeom prst="rect">
          <a:avLst/>
        </a:prstGeom>
        <a:solidFill>
          <a:schemeClr val="accent6">
            <a:lumMod val="20000"/>
            <a:lumOff val="80000"/>
          </a:schemeClr>
        </a:solidFill>
        <a:ln>
          <a:solidFill>
            <a:srgbClr val="0000FF"/>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l-GR" altLang="zh-CN" sz="1600"/>
            <a:t>σ</a:t>
          </a:r>
          <a:r>
            <a:rPr lang="en-US" altLang="zh-CN" sz="1600" baseline="-25000"/>
            <a:t>L2</a:t>
          </a:r>
          <a:r>
            <a:rPr lang="en-US" altLang="zh-CN" sz="1600"/>
            <a:t>=</a:t>
          </a:r>
          <a:r>
            <a:rPr lang="el-GR" altLang="zh-CN" sz="1600"/>
            <a:t>σ</a:t>
          </a:r>
          <a:r>
            <a:rPr lang="en-US" altLang="zh-CN" sz="1600" baseline="-25000"/>
            <a:t>con</a:t>
          </a:r>
          <a:r>
            <a:rPr lang="en-US" altLang="zh-CN" sz="1600"/>
            <a:t>[1-e </a:t>
          </a:r>
          <a:r>
            <a:rPr lang="en-US" altLang="zh-CN" sz="1600" baseline="30000"/>
            <a:t>-(</a:t>
          </a:r>
          <a:r>
            <a:rPr lang="el-GR" altLang="zh-CN" sz="1600" baseline="30000"/>
            <a:t>μθ+κ</a:t>
          </a:r>
          <a:r>
            <a:rPr lang="en-US" altLang="zh-CN" sz="1600" baseline="30000"/>
            <a:t>x) </a:t>
          </a:r>
          <a:r>
            <a:rPr lang="en-US" altLang="zh-CN" sz="1600" baseline="0"/>
            <a:t>]</a:t>
          </a:r>
          <a:endParaRPr lang="zh-CN" altLang="en-US" sz="1600" baseline="0"/>
        </a:p>
      </xdr:txBody>
    </xdr:sp>
    <xdr:clientData/>
  </xdr:oneCellAnchor>
  <xdr:oneCellAnchor>
    <xdr:from>
      <xdr:col>7</xdr:col>
      <xdr:colOff>135286</xdr:colOff>
      <xdr:row>245</xdr:row>
      <xdr:rowOff>85878</xdr:rowOff>
    </xdr:from>
    <xdr:ext cx="2333064" cy="615668"/>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10740390" y="47984410"/>
          <a:ext cx="2332990" cy="615315"/>
        </a:xfrm>
        <a:prstGeom prst="rect">
          <a:avLst/>
        </a:prstGeom>
        <a:solidFill>
          <a:schemeClr val="accent6">
            <a:lumMod val="40000"/>
            <a:lumOff val="60000"/>
          </a:schemeClr>
        </a:solidFill>
        <a:ln>
          <a:solidFill>
            <a:srgbClr val="0000FF"/>
          </a:solidFill>
        </a:ln>
        <a:effectLst/>
      </xdr:spPr>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defRPr/>
          </a:pPr>
          <a:r>
            <a:rPr kumimoji="0" lang="el-GR" altLang="zh-CN" sz="1100" b="0" i="0" u="none" strike="noStrike" kern="0" cap="none" spc="0" normalizeH="0" baseline="0" noProof="0">
              <a:ln>
                <a:noFill/>
              </a:ln>
              <a:solidFill>
                <a:sysClr val="windowText" lastClr="000000"/>
              </a:solidFill>
              <a:effectLst/>
              <a:uLnTx/>
              <a:uFillTx/>
              <a:latin typeface="Calibri" panose="020F0502020204030204"/>
              <a:ea typeface="宋体" panose="02010600030101010101" pitchFamily="7" charset="-122"/>
              <a:cs typeface="+mn-cs"/>
            </a:rPr>
            <a:t>σ</a:t>
          </a:r>
          <a:r>
            <a:rPr kumimoji="0" lang="en-US" altLang="zh-CN" sz="1100" b="0" i="0" u="none" strike="noStrike" kern="0" cap="none" spc="0" normalizeH="0" baseline="-25000" noProof="0">
              <a:ln>
                <a:noFill/>
              </a:ln>
              <a:solidFill>
                <a:sysClr val="windowText" lastClr="000000"/>
              </a:solidFill>
              <a:effectLst/>
              <a:uLnTx/>
              <a:uFillTx/>
              <a:latin typeface="Calibri" panose="020F0502020204030204"/>
              <a:ea typeface="宋体" panose="02010600030101010101" pitchFamily="7" charset="-122"/>
              <a:cs typeface="+mn-cs"/>
            </a:rPr>
            <a:t>L3</a:t>
          </a:r>
          <a:r>
            <a:rPr kumimoji="0" lang="en-US" altLang="zh-CN" sz="1100" b="0" i="0" u="none" strike="noStrike" kern="0" cap="none" spc="0" normalizeH="0" baseline="0" noProof="0">
              <a:ln>
                <a:noFill/>
              </a:ln>
              <a:solidFill>
                <a:sysClr val="windowText" lastClr="000000"/>
              </a:solidFill>
              <a:effectLst/>
              <a:uLnTx/>
              <a:uFillTx/>
              <a:latin typeface="Calibri" panose="020F0502020204030204"/>
              <a:ea typeface="宋体" panose="02010600030101010101" pitchFamily="7" charset="-122"/>
              <a:cs typeface="+mn-cs"/>
            </a:rPr>
            <a:t>=aE</a:t>
          </a:r>
          <a:r>
            <a:rPr kumimoji="0" lang="en-US" altLang="zh-CN" sz="1100" b="0" i="0" u="none" strike="noStrike" kern="0" cap="none" spc="0" normalizeH="0" baseline="-25000" noProof="0">
              <a:ln>
                <a:noFill/>
              </a:ln>
              <a:solidFill>
                <a:sysClr val="windowText" lastClr="000000"/>
              </a:solidFill>
              <a:effectLst/>
              <a:uLnTx/>
              <a:uFillTx/>
              <a:latin typeface="Calibri" panose="020F0502020204030204"/>
              <a:ea typeface="宋体" panose="02010600030101010101" pitchFamily="7" charset="-122"/>
              <a:cs typeface="+mn-cs"/>
            </a:rPr>
            <a:t>p</a:t>
          </a:r>
          <a:r>
            <a:rPr kumimoji="0" lang="zh-CN" altLang="en-US" sz="1100" b="0" i="0" u="none" strike="noStrike" kern="0" cap="none" spc="0" normalizeH="0" baseline="0" noProof="0">
              <a:ln>
                <a:noFill/>
              </a:ln>
              <a:solidFill>
                <a:sysClr val="windowText" lastClr="000000"/>
              </a:solidFill>
              <a:effectLst/>
              <a:uLnTx/>
              <a:uFillTx/>
              <a:latin typeface="Calibri" panose="020F0502020204030204"/>
              <a:ea typeface="宋体" panose="02010600030101010101" pitchFamily="7" charset="-122"/>
              <a:cs typeface="+mn-cs"/>
            </a:rPr>
            <a:t>△</a:t>
          </a:r>
          <a:r>
            <a:rPr kumimoji="0" lang="en-US" altLang="zh-CN" sz="1100" b="0" i="0" u="none" strike="noStrike" kern="0" cap="none" spc="0" normalizeH="0" baseline="0" noProof="0">
              <a:ln>
                <a:noFill/>
              </a:ln>
              <a:solidFill>
                <a:sysClr val="windowText" lastClr="000000"/>
              </a:solidFill>
              <a:effectLst/>
              <a:uLnTx/>
              <a:uFillTx/>
              <a:latin typeface="Calibri" panose="020F0502020204030204"/>
              <a:ea typeface="宋体" panose="02010600030101010101" pitchFamily="7" charset="-122"/>
              <a:cs typeface="+mn-cs"/>
            </a:rPr>
            <a:t>t</a:t>
          </a:r>
          <a:endParaRPr kumimoji="0" lang="zh-CN" altLang="en-US" sz="1100" b="0" i="0" u="none" strike="noStrike" kern="0" cap="none" spc="0" normalizeH="0" baseline="0" noProof="0">
            <a:ln>
              <a:noFill/>
            </a:ln>
            <a:solidFill>
              <a:sysClr val="windowText" lastClr="000000"/>
            </a:solidFill>
            <a:effectLst/>
            <a:uLnTx/>
            <a:uFillTx/>
            <a:latin typeface="Calibri" panose="020F0502020204030204"/>
            <a:ea typeface="宋体" panose="02010600030101010101" pitchFamily="7" charset="-122"/>
            <a:cs typeface="+mn-cs"/>
          </a:endParaRPr>
        </a:p>
      </xdr:txBody>
    </xdr:sp>
    <xdr:clientData/>
  </xdr:oneCellAnchor>
  <xdr:oneCellAnchor>
    <xdr:from>
      <xdr:col>6</xdr:col>
      <xdr:colOff>130752</xdr:colOff>
      <xdr:row>300</xdr:row>
      <xdr:rowOff>46758</xdr:rowOff>
    </xdr:from>
    <xdr:ext cx="3726873" cy="433301"/>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9491980" y="59131200"/>
          <a:ext cx="3727450" cy="433070"/>
        </a:xfrm>
        <a:prstGeom prst="rect">
          <a:avLst/>
        </a:prstGeom>
        <a:solidFill>
          <a:schemeClr val="accent6">
            <a:lumMod val="40000"/>
            <a:lumOff val="60000"/>
          </a:schemeClr>
        </a:solidFill>
        <a:ln>
          <a:solidFill>
            <a:srgbClr val="0000FF"/>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altLang="zh-CN" sz="1100" baseline="0">
              <a:latin typeface="Times New Roman" panose="02020603050405020304" pitchFamily="18" charset="0"/>
              <a:cs typeface="Times New Roman" panose="02020603050405020304" pitchFamily="18" charset="0"/>
            </a:rPr>
            <a:t>x</a:t>
          </a:r>
          <a:r>
            <a:rPr lang="en-US" altLang="zh-CN" sz="1100">
              <a:latin typeface="Times New Roman" panose="02020603050405020304" pitchFamily="18" charset="0"/>
              <a:cs typeface="Times New Roman" panose="02020603050405020304" pitchFamily="18" charset="0"/>
            </a:rPr>
            <a:t>=(f</a:t>
          </a:r>
          <a:r>
            <a:rPr lang="en-US" altLang="zh-CN" sz="1100" baseline="-25000">
              <a:latin typeface="Times New Roman" panose="02020603050405020304" pitchFamily="18" charset="0"/>
              <a:cs typeface="Times New Roman" panose="02020603050405020304" pitchFamily="18" charset="0"/>
            </a:rPr>
            <a:t>y</a:t>
          </a:r>
          <a:r>
            <a:rPr lang="en-US" altLang="zh-CN" sz="1100">
              <a:latin typeface="Times New Roman" panose="02020603050405020304" pitchFamily="18" charset="0"/>
              <a:cs typeface="Times New Roman" panose="02020603050405020304" pitchFamily="18" charset="0"/>
            </a:rPr>
            <a:t>A</a:t>
          </a:r>
          <a:r>
            <a:rPr lang="en-US" altLang="zh-CN" sz="1100" baseline="-25000">
              <a:latin typeface="Times New Roman" panose="02020603050405020304" pitchFamily="18" charset="0"/>
              <a:cs typeface="Times New Roman" panose="02020603050405020304" pitchFamily="18" charset="0"/>
            </a:rPr>
            <a:t>s</a:t>
          </a:r>
          <a:r>
            <a:rPr lang="en-US" altLang="zh-CN" sz="1100">
              <a:latin typeface="Times New Roman" panose="02020603050405020304" pitchFamily="18" charset="0"/>
              <a:cs typeface="Times New Roman" panose="02020603050405020304" pitchFamily="18" charset="0"/>
            </a:rPr>
            <a:t>-f'</a:t>
          </a:r>
          <a:r>
            <a:rPr lang="en-US" altLang="zh-CN" sz="1100" baseline="-25000">
              <a:latin typeface="Times New Roman" panose="02020603050405020304" pitchFamily="18" charset="0"/>
              <a:cs typeface="Times New Roman" panose="02020603050405020304" pitchFamily="18" charset="0"/>
            </a:rPr>
            <a:t>y</a:t>
          </a:r>
          <a:r>
            <a:rPr lang="en-US" altLang="zh-CN" sz="1100">
              <a:latin typeface="Times New Roman" panose="02020603050405020304" pitchFamily="18" charset="0"/>
              <a:cs typeface="Times New Roman" panose="02020603050405020304" pitchFamily="18" charset="0"/>
            </a:rPr>
            <a:t>A'</a:t>
          </a:r>
          <a:r>
            <a:rPr lang="en-US" altLang="zh-CN" sz="1100" baseline="-25000">
              <a:latin typeface="Times New Roman" panose="02020603050405020304" pitchFamily="18" charset="0"/>
              <a:cs typeface="Times New Roman" panose="02020603050405020304" pitchFamily="18" charset="0"/>
            </a:rPr>
            <a:t>s</a:t>
          </a:r>
          <a:r>
            <a:rPr lang="en-US" altLang="zh-CN" sz="1100">
              <a:latin typeface="Times New Roman" panose="02020603050405020304" pitchFamily="18" charset="0"/>
              <a:cs typeface="Times New Roman" panose="02020603050405020304" pitchFamily="18" charset="0"/>
            </a:rPr>
            <a:t>+f</a:t>
          </a:r>
          <a:r>
            <a:rPr lang="en-US" altLang="zh-CN" sz="1100" baseline="-25000">
              <a:latin typeface="Times New Roman" panose="02020603050405020304" pitchFamily="18" charset="0"/>
              <a:cs typeface="Times New Roman" panose="02020603050405020304" pitchFamily="18" charset="0"/>
            </a:rPr>
            <a:t>py</a:t>
          </a:r>
          <a:r>
            <a:rPr lang="en-US" altLang="zh-CN" sz="1100">
              <a:latin typeface="Times New Roman" panose="02020603050405020304" pitchFamily="18" charset="0"/>
              <a:cs typeface="Times New Roman" panose="02020603050405020304" pitchFamily="18" charset="0"/>
            </a:rPr>
            <a:t>A</a:t>
          </a:r>
          <a:r>
            <a:rPr lang="en-US" altLang="zh-CN" sz="1100" baseline="-25000">
              <a:latin typeface="Times New Roman" panose="02020603050405020304" pitchFamily="18" charset="0"/>
              <a:cs typeface="Times New Roman" panose="02020603050405020304" pitchFamily="18" charset="0"/>
            </a:rPr>
            <a:t>p</a:t>
          </a:r>
          <a:r>
            <a:rPr lang="en-US" altLang="zh-CN" sz="1100">
              <a:latin typeface="Times New Roman" panose="02020603050405020304" pitchFamily="18" charset="0"/>
              <a:cs typeface="Times New Roman" panose="02020603050405020304" pitchFamily="18" charset="0"/>
            </a:rPr>
            <a:t>+(</a:t>
          </a:r>
          <a:r>
            <a:rPr lang="el-GR" altLang="zh-CN" sz="1100">
              <a:latin typeface="Times New Roman" panose="02020603050405020304" pitchFamily="18" charset="0"/>
              <a:ea typeface="宋体" panose="02010600030101010101" pitchFamily="7" charset="-122"/>
              <a:cs typeface="Times New Roman" panose="02020603050405020304" pitchFamily="18" charset="0"/>
            </a:rPr>
            <a:t>σ</a:t>
          </a:r>
          <a:r>
            <a:rPr lang="en-US" altLang="zh-CN" sz="1100">
              <a:latin typeface="Times New Roman" panose="02020603050405020304" pitchFamily="18" charset="0"/>
              <a:ea typeface="宋体" panose="02010600030101010101" pitchFamily="7" charset="-122"/>
              <a:cs typeface="Times New Roman" panose="02020603050405020304" pitchFamily="18" charset="0"/>
            </a:rPr>
            <a:t>'</a:t>
          </a:r>
          <a:r>
            <a:rPr lang="en-US" altLang="zh-CN" sz="1100" baseline="-25000">
              <a:latin typeface="Times New Roman" panose="02020603050405020304" pitchFamily="18" charset="0"/>
              <a:ea typeface="宋体" panose="02010600030101010101" pitchFamily="7" charset="-122"/>
              <a:cs typeface="Times New Roman" panose="02020603050405020304" pitchFamily="18" charset="0"/>
            </a:rPr>
            <a:t>p0</a:t>
          </a:r>
          <a:r>
            <a:rPr lang="en-US" altLang="zh-CN" sz="1100">
              <a:latin typeface="Times New Roman" panose="02020603050405020304" pitchFamily="18" charset="0"/>
              <a:ea typeface="宋体" panose="02010600030101010101" pitchFamily="7" charset="-122"/>
              <a:cs typeface="Times New Roman" panose="02020603050405020304" pitchFamily="18" charset="0"/>
            </a:rPr>
            <a:t>-f'</a:t>
          </a:r>
          <a:r>
            <a:rPr lang="en-US" altLang="zh-CN" sz="1100" baseline="-25000">
              <a:latin typeface="Times New Roman" panose="02020603050405020304" pitchFamily="18" charset="0"/>
              <a:ea typeface="宋体" panose="02010600030101010101" pitchFamily="7" charset="-122"/>
              <a:cs typeface="Times New Roman" panose="02020603050405020304" pitchFamily="18" charset="0"/>
            </a:rPr>
            <a:t>py</a:t>
          </a:r>
          <a:r>
            <a:rPr lang="en-US" altLang="zh-CN" sz="1100">
              <a:latin typeface="Times New Roman" panose="02020603050405020304" pitchFamily="18" charset="0"/>
              <a:cs typeface="Times New Roman" panose="02020603050405020304" pitchFamily="18" charset="0"/>
            </a:rPr>
            <a:t>)A'</a:t>
          </a:r>
          <a:r>
            <a:rPr lang="en-US" altLang="zh-CN" sz="1100" baseline="-25000">
              <a:latin typeface="Times New Roman" panose="02020603050405020304" pitchFamily="18" charset="0"/>
              <a:cs typeface="Times New Roman" panose="02020603050405020304" pitchFamily="18" charset="0"/>
            </a:rPr>
            <a:t>p</a:t>
          </a:r>
          <a:r>
            <a:rPr lang="en-US" altLang="zh-CN" sz="1100" baseline="0">
              <a:latin typeface="Times New Roman" panose="02020603050405020304" pitchFamily="18" charset="0"/>
              <a:cs typeface="Times New Roman" panose="02020603050405020304" pitchFamily="18" charset="0"/>
            </a:rPr>
            <a:t>)/(f</a:t>
          </a:r>
          <a:r>
            <a:rPr lang="en-US" altLang="zh-CN" sz="1100" baseline="-25000">
              <a:latin typeface="Times New Roman" panose="02020603050405020304" pitchFamily="18" charset="0"/>
              <a:cs typeface="Times New Roman" panose="02020603050405020304" pitchFamily="18" charset="0"/>
            </a:rPr>
            <a:t>c</a:t>
          </a:r>
          <a:r>
            <a:rPr lang="en-US" altLang="zh-CN" sz="1100" baseline="0">
              <a:latin typeface="Times New Roman" panose="02020603050405020304" pitchFamily="18" charset="0"/>
              <a:cs typeface="Times New Roman" panose="02020603050405020304" pitchFamily="18" charset="0"/>
            </a:rPr>
            <a:t>b'</a:t>
          </a:r>
          <a:r>
            <a:rPr lang="en-US" altLang="zh-CN" sz="1100" baseline="-25000">
              <a:latin typeface="Times New Roman" panose="02020603050405020304" pitchFamily="18" charset="0"/>
              <a:cs typeface="Times New Roman" panose="02020603050405020304" pitchFamily="18" charset="0"/>
            </a:rPr>
            <a:t>f</a:t>
          </a:r>
          <a:r>
            <a:rPr lang="en-US" altLang="zh-CN" sz="1100" baseline="0">
              <a:latin typeface="Times New Roman" panose="02020603050405020304" pitchFamily="18" charset="0"/>
              <a:cs typeface="Times New Roman" panose="02020603050405020304" pitchFamily="18" charset="0"/>
            </a:rPr>
            <a:t>)</a:t>
          </a:r>
          <a:endParaRPr lang="zh-CN" altLang="en-US" sz="1100" baseline="0">
            <a:latin typeface="Times New Roman" panose="02020603050405020304" pitchFamily="18" charset="0"/>
            <a:cs typeface="Times New Roman" panose="02020603050405020304" pitchFamily="18" charset="0"/>
          </a:endParaRPr>
        </a:p>
      </xdr:txBody>
    </xdr:sp>
    <xdr:clientData/>
  </xdr:oneCellAnchor>
  <xdr:oneCellAnchor>
    <xdr:from>
      <xdr:col>7</xdr:col>
      <xdr:colOff>654627</xdr:colOff>
      <xdr:row>314</xdr:row>
      <xdr:rowOff>122959</xdr:rowOff>
    </xdr:from>
    <xdr:ext cx="2047875" cy="384809"/>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11259185" y="61798200"/>
          <a:ext cx="2047875" cy="384810"/>
        </a:xfrm>
        <a:prstGeom prst="rect">
          <a:avLst/>
        </a:prstGeom>
        <a:solidFill>
          <a:schemeClr val="accent6">
            <a:lumMod val="20000"/>
            <a:lumOff val="80000"/>
          </a:schemeClr>
        </a:solidFill>
        <a:ln>
          <a:solidFill>
            <a:srgbClr val="0000FF"/>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altLang="zh-CN" sz="1100" baseline="0"/>
            <a:t>h</a:t>
          </a:r>
          <a:r>
            <a:rPr lang="en-US" altLang="zh-CN" sz="1100" baseline="-25000"/>
            <a:t>w</a:t>
          </a:r>
          <a:r>
            <a:rPr lang="en-US" altLang="zh-CN" sz="1100" baseline="0"/>
            <a:t>/b&lt;4,KV&lt;0.25f</a:t>
          </a:r>
          <a:r>
            <a:rPr lang="en-US" altLang="zh-CN" sz="1100" baseline="-25000"/>
            <a:t>c</a:t>
          </a:r>
          <a:r>
            <a:rPr lang="en-US" altLang="zh-CN" sz="1100" baseline="0"/>
            <a:t>bh</a:t>
          </a:r>
          <a:r>
            <a:rPr lang="en-US" altLang="zh-CN" sz="1100" baseline="-25000"/>
            <a:t>0</a:t>
          </a:r>
          <a:endParaRPr lang="zh-CN" altLang="en-US" sz="1100" baseline="-25000"/>
        </a:p>
      </xdr:txBody>
    </xdr:sp>
    <xdr:clientData/>
  </xdr:oneCellAnchor>
  <xdr:oneCellAnchor>
    <xdr:from>
      <xdr:col>7</xdr:col>
      <xdr:colOff>645102</xdr:colOff>
      <xdr:row>317</xdr:row>
      <xdr:rowOff>16452</xdr:rowOff>
    </xdr:from>
    <xdr:ext cx="2352675" cy="424814"/>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11249660" y="62240160"/>
          <a:ext cx="2352675" cy="424815"/>
        </a:xfrm>
        <a:prstGeom prst="rect">
          <a:avLst/>
        </a:prstGeom>
        <a:solidFill>
          <a:schemeClr val="accent6">
            <a:lumMod val="20000"/>
            <a:lumOff val="80000"/>
          </a:schemeClr>
        </a:solidFill>
        <a:ln>
          <a:solidFill>
            <a:srgbClr val="0000FF"/>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altLang="zh-CN" sz="1100" baseline="0"/>
            <a:t>h</a:t>
          </a:r>
          <a:r>
            <a:rPr lang="en-US" altLang="zh-CN" sz="1100" baseline="-25000"/>
            <a:t>w</a:t>
          </a:r>
          <a:r>
            <a:rPr lang="en-US" altLang="zh-CN" sz="1100" baseline="0"/>
            <a:t>/b&gt;6,KV&lt;0.2f</a:t>
          </a:r>
          <a:r>
            <a:rPr lang="en-US" altLang="zh-CN" sz="1100" baseline="-25000"/>
            <a:t>c</a:t>
          </a:r>
          <a:r>
            <a:rPr lang="en-US" altLang="zh-CN" sz="1100" baseline="0"/>
            <a:t>bh</a:t>
          </a:r>
          <a:r>
            <a:rPr lang="en-US" altLang="zh-CN" sz="1100" baseline="-25000"/>
            <a:t>0</a:t>
          </a:r>
          <a:r>
            <a:rPr lang="en-US" altLang="zh-CN" sz="1100" baseline="0"/>
            <a:t>;      4~6</a:t>
          </a:r>
          <a:r>
            <a:rPr lang="zh-CN" altLang="en-US" sz="1100" baseline="0"/>
            <a:t>间则插值</a:t>
          </a:r>
        </a:p>
      </xdr:txBody>
    </xdr:sp>
    <xdr:clientData/>
  </xdr:oneCellAnchor>
  <xdr:oneCellAnchor>
    <xdr:from>
      <xdr:col>9</xdr:col>
      <xdr:colOff>567171</xdr:colOff>
      <xdr:row>322</xdr:row>
      <xdr:rowOff>92652</xdr:rowOff>
    </xdr:from>
    <xdr:ext cx="2352675" cy="405764"/>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15527655" y="63322200"/>
          <a:ext cx="2352675" cy="405765"/>
        </a:xfrm>
        <a:prstGeom prst="rect">
          <a:avLst/>
        </a:prstGeom>
        <a:noFill/>
        <a:ln>
          <a:solidFill>
            <a:srgbClr val="0000FF"/>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altLang="zh-CN" sz="1100" baseline="0"/>
            <a:t>N</a:t>
          </a:r>
          <a:r>
            <a:rPr lang="en-US" altLang="zh-CN" sz="1100" baseline="-25000"/>
            <a:t>p0</a:t>
          </a:r>
          <a:r>
            <a:rPr lang="en-US" altLang="zh-CN" sz="1100" baseline="0"/>
            <a:t>=</a:t>
          </a:r>
          <a:r>
            <a:rPr lang="el-GR" altLang="zh-CN" sz="1100" baseline="0">
              <a:ea typeface="宋体" panose="02010600030101010101" pitchFamily="7" charset="-122"/>
            </a:rPr>
            <a:t>σ</a:t>
          </a:r>
          <a:r>
            <a:rPr lang="en-US" altLang="zh-CN" sz="1100" baseline="-25000">
              <a:ea typeface="宋体" panose="02010600030101010101" pitchFamily="7" charset="-122"/>
            </a:rPr>
            <a:t>p0</a:t>
          </a:r>
          <a:r>
            <a:rPr lang="en-US" altLang="zh-CN" sz="1100" baseline="0">
              <a:ea typeface="宋体" panose="02010600030101010101" pitchFamily="7" charset="-122"/>
            </a:rPr>
            <a:t>A</a:t>
          </a:r>
          <a:r>
            <a:rPr lang="en-US" altLang="zh-CN" sz="1100" baseline="-25000">
              <a:ea typeface="宋体" panose="02010600030101010101" pitchFamily="7" charset="-122"/>
            </a:rPr>
            <a:t>p</a:t>
          </a:r>
          <a:r>
            <a:rPr lang="en-US" altLang="zh-CN" sz="1100" baseline="0">
              <a:ea typeface="宋体" panose="02010600030101010101" pitchFamily="7" charset="-122"/>
            </a:rPr>
            <a:t>+</a:t>
          </a:r>
          <a:r>
            <a:rPr lang="el-GR" altLang="zh-CN" sz="1100" baseline="0">
              <a:ea typeface="宋体" panose="02010600030101010101" pitchFamily="7" charset="-122"/>
            </a:rPr>
            <a:t>σ</a:t>
          </a:r>
          <a:r>
            <a:rPr lang="en-US" altLang="zh-CN" sz="1100" baseline="0">
              <a:ea typeface="宋体" panose="02010600030101010101" pitchFamily="7" charset="-122"/>
            </a:rPr>
            <a:t>'</a:t>
          </a:r>
          <a:r>
            <a:rPr lang="en-US" altLang="zh-CN" sz="1100" baseline="-25000">
              <a:ea typeface="宋体" panose="02010600030101010101" pitchFamily="7" charset="-122"/>
            </a:rPr>
            <a:t>p0</a:t>
          </a:r>
          <a:r>
            <a:rPr lang="en-US" altLang="zh-CN" sz="1100" baseline="0">
              <a:ea typeface="宋体" panose="02010600030101010101" pitchFamily="7" charset="-122"/>
            </a:rPr>
            <a:t>A'</a:t>
          </a:r>
          <a:r>
            <a:rPr lang="en-US" altLang="zh-CN" sz="1100" baseline="-25000">
              <a:ea typeface="宋体" panose="02010600030101010101" pitchFamily="7" charset="-122"/>
            </a:rPr>
            <a:t>p</a:t>
          </a:r>
          <a:r>
            <a:rPr lang="en-US" altLang="zh-CN" sz="1100" baseline="0">
              <a:ea typeface="宋体" panose="02010600030101010101" pitchFamily="7" charset="-122"/>
            </a:rPr>
            <a:t>-</a:t>
          </a:r>
          <a:r>
            <a:rPr lang="el-GR" altLang="zh-CN" sz="1100" baseline="0">
              <a:ea typeface="宋体" panose="02010600030101010101" pitchFamily="7" charset="-122"/>
            </a:rPr>
            <a:t>σ</a:t>
          </a:r>
          <a:r>
            <a:rPr lang="en-US" altLang="zh-CN" sz="1100" baseline="-25000">
              <a:ea typeface="宋体" panose="02010600030101010101" pitchFamily="7" charset="-122"/>
            </a:rPr>
            <a:t>l5</a:t>
          </a:r>
          <a:r>
            <a:rPr lang="en-US" altLang="zh-CN" sz="1100" baseline="0">
              <a:ea typeface="宋体" panose="02010600030101010101" pitchFamily="7" charset="-122"/>
            </a:rPr>
            <a:t>A</a:t>
          </a:r>
          <a:r>
            <a:rPr lang="en-US" altLang="zh-CN" sz="1100" baseline="-25000">
              <a:ea typeface="宋体" panose="02010600030101010101" pitchFamily="7" charset="-122"/>
            </a:rPr>
            <a:t>s</a:t>
          </a:r>
          <a:r>
            <a:rPr lang="en-US" altLang="zh-CN" sz="1100" baseline="0">
              <a:ea typeface="宋体" panose="02010600030101010101" pitchFamily="7" charset="-122"/>
            </a:rPr>
            <a:t>-</a:t>
          </a:r>
          <a:r>
            <a:rPr lang="el-GR" altLang="zh-CN" sz="1100" baseline="0">
              <a:ea typeface="宋体" panose="02010600030101010101" pitchFamily="7" charset="-122"/>
            </a:rPr>
            <a:t>σ</a:t>
          </a:r>
          <a:r>
            <a:rPr lang="en-US" altLang="zh-CN" sz="1100" baseline="0">
              <a:ea typeface="宋体" panose="02010600030101010101" pitchFamily="7" charset="-122"/>
            </a:rPr>
            <a:t>'</a:t>
          </a:r>
          <a:r>
            <a:rPr lang="en-US" altLang="zh-CN" sz="1100" baseline="-25000">
              <a:ea typeface="宋体" panose="02010600030101010101" pitchFamily="7" charset="-122"/>
            </a:rPr>
            <a:t>l5</a:t>
          </a:r>
          <a:r>
            <a:rPr lang="en-US" altLang="zh-CN" sz="1100" baseline="0">
              <a:ea typeface="宋体" panose="02010600030101010101" pitchFamily="7" charset="-122"/>
            </a:rPr>
            <a:t>A'</a:t>
          </a:r>
          <a:r>
            <a:rPr lang="en-US" altLang="zh-CN" sz="1100" baseline="-25000">
              <a:ea typeface="宋体" panose="02010600030101010101" pitchFamily="7" charset="-122"/>
            </a:rPr>
            <a:t>s</a:t>
          </a:r>
          <a:endParaRPr lang="zh-CN" altLang="en-US" sz="1100" baseline="-25000"/>
        </a:p>
      </xdr:txBody>
    </xdr:sp>
    <xdr:clientData/>
  </xdr:oneCellAnchor>
  <xdr:oneCellAnchor>
    <xdr:from>
      <xdr:col>7</xdr:col>
      <xdr:colOff>435553</xdr:colOff>
      <xdr:row>338</xdr:row>
      <xdr:rowOff>64077</xdr:rowOff>
    </xdr:from>
    <xdr:ext cx="1557056" cy="327659"/>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11040110" y="66524505"/>
          <a:ext cx="1557020" cy="327660"/>
        </a:xfrm>
        <a:prstGeom prst="rect">
          <a:avLst/>
        </a:prstGeom>
        <a:solidFill>
          <a:schemeClr val="bg2"/>
        </a:solidFill>
        <a:ln>
          <a:solidFill>
            <a:srgbClr val="0000FF"/>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altLang="zh-CN" sz="1100" baseline="0">
              <a:latin typeface="Times New Roman" panose="02020603050405020304" pitchFamily="18" charset="0"/>
              <a:cs typeface="Times New Roman" panose="02020603050405020304" pitchFamily="18" charset="0"/>
            </a:rPr>
            <a:t>KV&lt;</a:t>
          </a:r>
          <a:r>
            <a:rPr lang="en-US" altLang="zh-CN" sz="1100" baseline="0">
              <a:latin typeface="Times New Roman" panose="02020603050405020304" pitchFamily="18" charset="0"/>
              <a:ea typeface="宋体" panose="02010600030101010101" pitchFamily="7" charset="-122"/>
              <a:cs typeface="Times New Roman" panose="02020603050405020304" pitchFamily="18" charset="0"/>
            </a:rPr>
            <a:t>V</a:t>
          </a:r>
          <a:r>
            <a:rPr lang="en-US" altLang="zh-CN" sz="1100" baseline="-25000">
              <a:latin typeface="Times New Roman" panose="02020603050405020304" pitchFamily="18" charset="0"/>
              <a:ea typeface="宋体" panose="02010600030101010101" pitchFamily="7" charset="-122"/>
              <a:cs typeface="Times New Roman" panose="02020603050405020304" pitchFamily="18" charset="0"/>
            </a:rPr>
            <a:t>C</a:t>
          </a:r>
          <a:r>
            <a:rPr lang="en-US" altLang="zh-CN" sz="1100" baseline="0">
              <a:latin typeface="Times New Roman" panose="02020603050405020304" pitchFamily="18" charset="0"/>
              <a:ea typeface="宋体" panose="02010600030101010101" pitchFamily="7" charset="-122"/>
              <a:cs typeface="Times New Roman" panose="02020603050405020304" pitchFamily="18" charset="0"/>
            </a:rPr>
            <a:t>+V</a:t>
          </a:r>
          <a:r>
            <a:rPr lang="en-US" altLang="zh-CN" sz="1100" baseline="-25000">
              <a:latin typeface="Times New Roman" panose="02020603050405020304" pitchFamily="18" charset="0"/>
              <a:ea typeface="宋体" panose="02010600030101010101" pitchFamily="7" charset="-122"/>
              <a:cs typeface="Times New Roman" panose="02020603050405020304" pitchFamily="18" charset="0"/>
            </a:rPr>
            <a:t>p</a:t>
          </a:r>
          <a:r>
            <a:rPr lang="en-US" altLang="zh-CN" sz="1100" baseline="0">
              <a:latin typeface="Times New Roman" panose="02020603050405020304" pitchFamily="18" charset="0"/>
              <a:ea typeface="宋体" panose="02010600030101010101" pitchFamily="7" charset="-122"/>
              <a:cs typeface="Times New Roman" panose="02020603050405020304" pitchFamily="18" charset="0"/>
            </a:rPr>
            <a:t>+V</a:t>
          </a:r>
          <a:r>
            <a:rPr lang="en-US" altLang="zh-CN" sz="1100" baseline="-25000">
              <a:latin typeface="Times New Roman" panose="02020603050405020304" pitchFamily="18" charset="0"/>
              <a:ea typeface="宋体" panose="02010600030101010101" pitchFamily="7" charset="-122"/>
              <a:cs typeface="Times New Roman" panose="02020603050405020304" pitchFamily="18" charset="0"/>
            </a:rPr>
            <a:t>sV</a:t>
          </a:r>
          <a:endParaRPr lang="zh-CN" altLang="en-US" sz="1100" baseline="-25000">
            <a:latin typeface="Times New Roman" panose="02020603050405020304" pitchFamily="18" charset="0"/>
            <a:cs typeface="Times New Roman" panose="02020603050405020304" pitchFamily="18" charset="0"/>
          </a:endParaRPr>
        </a:p>
      </xdr:txBody>
    </xdr:sp>
    <xdr:clientData/>
  </xdr:oneCellAnchor>
  <xdr:oneCellAnchor>
    <xdr:from>
      <xdr:col>7</xdr:col>
      <xdr:colOff>147408</xdr:colOff>
      <xdr:row>360</xdr:row>
      <xdr:rowOff>41362</xdr:rowOff>
    </xdr:from>
    <xdr:ext cx="1885950" cy="436244"/>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10752455" y="71224775"/>
          <a:ext cx="1885950" cy="436245"/>
        </a:xfrm>
        <a:prstGeom prst="rect">
          <a:avLst/>
        </a:prstGeom>
        <a:solidFill>
          <a:schemeClr val="accent6">
            <a:lumMod val="20000"/>
            <a:lumOff val="80000"/>
          </a:schemeClr>
        </a:solidFill>
        <a:ln>
          <a:solidFill>
            <a:srgbClr val="0000FF"/>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l-GR" altLang="zh-CN" sz="1200" baseline="0">
              <a:latin typeface="Times New Roman" panose="02020603050405020304" pitchFamily="18" charset="0"/>
              <a:ea typeface="宋体" panose="02010600030101010101" pitchFamily="7" charset="-122"/>
              <a:cs typeface="Times New Roman" panose="02020603050405020304" pitchFamily="18" charset="0"/>
            </a:rPr>
            <a:t>σ</a:t>
          </a:r>
          <a:r>
            <a:rPr lang="en-US" altLang="zh-CN" sz="1200" baseline="-25000">
              <a:latin typeface="Times New Roman" panose="02020603050405020304" pitchFamily="18" charset="0"/>
              <a:cs typeface="Times New Roman" panose="02020603050405020304" pitchFamily="18" charset="0"/>
            </a:rPr>
            <a:t>CK</a:t>
          </a:r>
          <a:r>
            <a:rPr lang="en-US" altLang="zh-CN" sz="1200" baseline="0">
              <a:latin typeface="Times New Roman" panose="02020603050405020304" pitchFamily="18" charset="0"/>
              <a:cs typeface="Times New Roman" panose="02020603050405020304" pitchFamily="18" charset="0"/>
            </a:rPr>
            <a:t>-</a:t>
          </a:r>
          <a:r>
            <a:rPr lang="el-GR" altLang="zh-CN" sz="1200" baseline="0">
              <a:latin typeface="Times New Roman" panose="02020603050405020304" pitchFamily="18" charset="0"/>
              <a:ea typeface="宋体" panose="02010600030101010101" pitchFamily="7" charset="-122"/>
              <a:cs typeface="Times New Roman" panose="02020603050405020304" pitchFamily="18" charset="0"/>
            </a:rPr>
            <a:t>σ</a:t>
          </a:r>
          <a:r>
            <a:rPr lang="en-US" altLang="zh-CN" sz="1200" baseline="-25000">
              <a:latin typeface="Times New Roman" panose="02020603050405020304" pitchFamily="18" charset="0"/>
              <a:ea typeface="宋体" panose="02010600030101010101" pitchFamily="7" charset="-122"/>
              <a:cs typeface="Times New Roman" panose="02020603050405020304" pitchFamily="18" charset="0"/>
            </a:rPr>
            <a:t>pC</a:t>
          </a:r>
          <a:r>
            <a:rPr lang="en-US" altLang="zh-CN" sz="1200" baseline="0">
              <a:latin typeface="Times New Roman" panose="02020603050405020304" pitchFamily="18" charset="0"/>
              <a:ea typeface="宋体" panose="02010600030101010101" pitchFamily="7" charset="-122"/>
              <a:cs typeface="Times New Roman" panose="02020603050405020304" pitchFamily="18" charset="0"/>
            </a:rPr>
            <a:t>&lt;</a:t>
          </a:r>
          <a:r>
            <a:rPr lang="el-GR" altLang="zh-CN" sz="1200" baseline="0">
              <a:latin typeface="Times New Roman" panose="02020603050405020304" pitchFamily="18" charset="0"/>
              <a:ea typeface="宋体" panose="02010600030101010101" pitchFamily="7" charset="-122"/>
              <a:cs typeface="Times New Roman" panose="02020603050405020304" pitchFamily="18" charset="0"/>
            </a:rPr>
            <a:t>α</a:t>
          </a:r>
          <a:r>
            <a:rPr lang="en-US" altLang="zh-CN" sz="1200" baseline="-25000">
              <a:latin typeface="Times New Roman" panose="02020603050405020304" pitchFamily="18" charset="0"/>
              <a:ea typeface="宋体" panose="02010600030101010101" pitchFamily="7" charset="-122"/>
              <a:cs typeface="Times New Roman" panose="02020603050405020304" pitchFamily="18" charset="0"/>
            </a:rPr>
            <a:t>Ct</a:t>
          </a:r>
          <a:r>
            <a:rPr lang="en-US" altLang="zh-CN" sz="1200" baseline="0">
              <a:latin typeface="Times New Roman" panose="02020603050405020304" pitchFamily="18" charset="0"/>
              <a:ea typeface="宋体" panose="02010600030101010101" pitchFamily="7" charset="-122"/>
              <a:cs typeface="Times New Roman" panose="02020603050405020304" pitchFamily="18" charset="0"/>
            </a:rPr>
            <a:t>rf</a:t>
          </a:r>
          <a:r>
            <a:rPr lang="en-US" altLang="zh-CN" sz="1200" baseline="-25000">
              <a:latin typeface="Times New Roman" panose="02020603050405020304" pitchFamily="18" charset="0"/>
              <a:ea typeface="宋体" panose="02010600030101010101" pitchFamily="7" charset="-122"/>
              <a:cs typeface="Times New Roman" panose="02020603050405020304" pitchFamily="18" charset="0"/>
            </a:rPr>
            <a:t>tk</a:t>
          </a:r>
          <a:endParaRPr lang="zh-CN" altLang="en-US" sz="1200" baseline="-25000">
            <a:latin typeface="Times New Roman" panose="02020603050405020304" pitchFamily="18" charset="0"/>
            <a:cs typeface="Times New Roman" panose="02020603050405020304" pitchFamily="18" charset="0"/>
          </a:endParaRPr>
        </a:p>
      </xdr:txBody>
    </xdr:sp>
    <xdr:clientData/>
  </xdr:oneCellAnchor>
  <xdr:oneCellAnchor>
    <xdr:from>
      <xdr:col>5</xdr:col>
      <xdr:colOff>1338205</xdr:colOff>
      <xdr:row>416</xdr:row>
      <xdr:rowOff>140804</xdr:rowOff>
    </xdr:from>
    <xdr:ext cx="2028825" cy="346709"/>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9242425" y="82925285"/>
          <a:ext cx="2028825" cy="346710"/>
        </a:xfrm>
        <a:prstGeom prst="rect">
          <a:avLst/>
        </a:prstGeom>
        <a:solidFill>
          <a:schemeClr val="accent5">
            <a:lumMod val="20000"/>
            <a:lumOff val="80000"/>
          </a:schemeClr>
        </a:solidFill>
        <a:ln>
          <a:solidFill>
            <a:srgbClr val="0000FF"/>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l-GR" altLang="zh-CN" sz="1100" baseline="0">
              <a:ea typeface="宋体" panose="02010600030101010101" pitchFamily="7" charset="-122"/>
            </a:rPr>
            <a:t>σ</a:t>
          </a:r>
          <a:r>
            <a:rPr lang="en-US" altLang="zh-CN" sz="1100" baseline="-25000">
              <a:ea typeface="宋体" panose="02010600030101010101" pitchFamily="7" charset="-122"/>
            </a:rPr>
            <a:t>cc</a:t>
          </a:r>
          <a:r>
            <a:rPr lang="zh-CN" altLang="en-US" sz="1100" baseline="0">
              <a:ea typeface="宋体" panose="02010600030101010101" pitchFamily="7" charset="-122"/>
            </a:rPr>
            <a:t>或</a:t>
          </a:r>
          <a:r>
            <a:rPr lang="el-GR" altLang="zh-CN" sz="1100" baseline="0">
              <a:ea typeface="宋体" panose="02010600030101010101" pitchFamily="7" charset="-122"/>
            </a:rPr>
            <a:t>σ</a:t>
          </a:r>
          <a:r>
            <a:rPr lang="en-US" altLang="zh-CN" sz="1100" baseline="-25000">
              <a:ea typeface="宋体" panose="02010600030101010101" pitchFamily="7" charset="-122"/>
            </a:rPr>
            <a:t>ct</a:t>
          </a:r>
          <a:r>
            <a:rPr lang="en-US" altLang="zh-CN" sz="1100" baseline="0">
              <a:ea typeface="宋体" panose="02010600030101010101" pitchFamily="7" charset="-122"/>
            </a:rPr>
            <a:t>=</a:t>
          </a:r>
          <a:r>
            <a:rPr lang="el-GR" altLang="zh-CN" sz="1100" baseline="0">
              <a:ea typeface="宋体" panose="02010600030101010101" pitchFamily="7" charset="-122"/>
            </a:rPr>
            <a:t>σ</a:t>
          </a:r>
          <a:r>
            <a:rPr lang="en-US" altLang="zh-CN" sz="1100" baseline="-25000">
              <a:ea typeface="宋体" panose="02010600030101010101" pitchFamily="7" charset="-122"/>
            </a:rPr>
            <a:t>pc</a:t>
          </a:r>
          <a:r>
            <a:rPr lang="en-US" altLang="zh-CN" sz="1100" baseline="0">
              <a:ea typeface="宋体" panose="02010600030101010101" pitchFamily="7" charset="-122"/>
            </a:rPr>
            <a:t>+N</a:t>
          </a:r>
          <a:r>
            <a:rPr lang="en-US" altLang="zh-CN" sz="1100" baseline="-25000">
              <a:ea typeface="宋体" panose="02010600030101010101" pitchFamily="7" charset="-122"/>
            </a:rPr>
            <a:t>k</a:t>
          </a:r>
          <a:r>
            <a:rPr lang="en-US" altLang="zh-CN" sz="1100" baseline="0">
              <a:ea typeface="宋体" panose="02010600030101010101" pitchFamily="7" charset="-122"/>
            </a:rPr>
            <a:t>/A</a:t>
          </a:r>
          <a:r>
            <a:rPr lang="en-US" altLang="zh-CN" sz="1100" baseline="-25000">
              <a:ea typeface="宋体" panose="02010600030101010101" pitchFamily="7" charset="-122"/>
            </a:rPr>
            <a:t>0</a:t>
          </a:r>
          <a:r>
            <a:rPr lang="en-US" altLang="zh-CN" sz="1100" u="sng" baseline="0">
              <a:ea typeface="宋体" panose="02010600030101010101" pitchFamily="7" charset="-122"/>
            </a:rPr>
            <a:t>+</a:t>
          </a:r>
          <a:r>
            <a:rPr lang="en-US" altLang="zh-CN" sz="1100" baseline="0">
              <a:ea typeface="宋体" panose="02010600030101010101" pitchFamily="7" charset="-122"/>
            </a:rPr>
            <a:t>M</a:t>
          </a:r>
          <a:r>
            <a:rPr lang="en-US" altLang="zh-CN" sz="1100" baseline="-25000">
              <a:ea typeface="宋体" panose="02010600030101010101" pitchFamily="7" charset="-122"/>
            </a:rPr>
            <a:t>k</a:t>
          </a:r>
          <a:r>
            <a:rPr lang="en-US" altLang="zh-CN" sz="1100" baseline="0">
              <a:ea typeface="宋体" panose="02010600030101010101" pitchFamily="7" charset="-122"/>
            </a:rPr>
            <a:t>/W</a:t>
          </a:r>
          <a:r>
            <a:rPr lang="en-US" altLang="zh-CN" sz="1100" baseline="-25000">
              <a:ea typeface="宋体" panose="02010600030101010101" pitchFamily="7" charset="-122"/>
            </a:rPr>
            <a:t>0</a:t>
          </a:r>
          <a:endParaRPr lang="zh-CN" altLang="en-US" sz="1100" baseline="-25000"/>
        </a:p>
      </xdr:txBody>
    </xdr:sp>
    <xdr:clientData/>
  </xdr:oneCellAnchor>
  <xdr:twoCellAnchor editAs="oneCell">
    <xdr:from>
      <xdr:col>8</xdr:col>
      <xdr:colOff>685799</xdr:colOff>
      <xdr:row>270</xdr:row>
      <xdr:rowOff>171449</xdr:rowOff>
    </xdr:from>
    <xdr:to>
      <xdr:col>8</xdr:col>
      <xdr:colOff>2057398</xdr:colOff>
      <xdr:row>277</xdr:row>
      <xdr:rowOff>132302</xdr:rowOff>
    </xdr:to>
    <xdr:sp macro="" textlink="">
      <xdr:nvSpPr>
        <xdr:cNvPr id="7216" name="AutoShape 48" descr="C:\Users\Administrator\AppData\Roaming\Tencent\Users\1294719537\QQ\WinTemp\RichOle\{EB8A0$8SQI2{}X`@`EOK.png">
          <a:extLst>
            <a:ext uri="{FF2B5EF4-FFF2-40B4-BE49-F238E27FC236}">
              <a16:creationId xmlns:a16="http://schemas.microsoft.com/office/drawing/2014/main" id="{00000000-0008-0000-0200-0000301C0000}"/>
            </a:ext>
          </a:extLst>
        </xdr:cNvPr>
        <xdr:cNvSpPr>
          <a:spLocks noChangeAspect="1" noChangeArrowheads="1"/>
        </xdr:cNvSpPr>
      </xdr:nvSpPr>
      <xdr:spPr>
        <a:xfrm>
          <a:off x="12430760" y="53133625"/>
          <a:ext cx="1371600" cy="1379220"/>
        </a:xfrm>
        <a:prstGeom prst="rect">
          <a:avLst/>
        </a:prstGeom>
        <a:noFill/>
      </xdr:spPr>
    </xdr:sp>
    <xdr:clientData/>
  </xdr:twoCellAnchor>
  <xdr:twoCellAnchor editAs="oneCell">
    <xdr:from>
      <xdr:col>7</xdr:col>
      <xdr:colOff>163862</xdr:colOff>
      <xdr:row>248</xdr:row>
      <xdr:rowOff>68920</xdr:rowOff>
    </xdr:from>
    <xdr:to>
      <xdr:col>8</xdr:col>
      <xdr:colOff>1206031</xdr:colOff>
      <xdr:row>251</xdr:row>
      <xdr:rowOff>103985</xdr:rowOff>
    </xdr:to>
    <xdr:pic>
      <xdr:nvPicPr>
        <xdr:cNvPr id="18" name="图片 17" descr="[UR6B_J4T}UTCR()69FJD~P.png">
          <a:extLst>
            <a:ext uri="{FF2B5EF4-FFF2-40B4-BE49-F238E27FC236}">
              <a16:creationId xmlns:a16="http://schemas.microsoft.com/office/drawing/2014/main" id="{00000000-0008-0000-0200-000012000000}"/>
            </a:ext>
          </a:extLst>
        </xdr:cNvPr>
        <xdr:cNvPicPr>
          <a:picLocks noChangeAspect="1"/>
        </xdr:cNvPicPr>
      </xdr:nvPicPr>
      <xdr:blipFill>
        <a:blip xmlns:r="http://schemas.openxmlformats.org/officeDocument/2006/relationships" r:embed="rId2" cstate="print"/>
        <a:stretch>
          <a:fillRect/>
        </a:stretch>
      </xdr:blipFill>
      <xdr:spPr>
        <a:xfrm>
          <a:off x="10768965" y="48574960"/>
          <a:ext cx="2182495" cy="642620"/>
        </a:xfrm>
        <a:prstGeom prst="rect">
          <a:avLst/>
        </a:prstGeom>
      </xdr:spPr>
    </xdr:pic>
    <xdr:clientData/>
  </xdr:twoCellAnchor>
  <mc:AlternateContent xmlns:mc="http://schemas.openxmlformats.org/markup-compatibility/2006">
    <mc:Choice xmlns:a14="http://schemas.microsoft.com/office/drawing/2010/main" Requires="a14">
      <xdr:twoCellAnchor>
        <xdr:from>
          <xdr:col>3</xdr:col>
          <xdr:colOff>619125</xdr:colOff>
          <xdr:row>53</xdr:row>
          <xdr:rowOff>85725</xdr:rowOff>
        </xdr:from>
        <xdr:to>
          <xdr:col>5</xdr:col>
          <xdr:colOff>133350</xdr:colOff>
          <xdr:row>53</xdr:row>
          <xdr:rowOff>400050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solidFill>
              <a:srgbClr val="FFFFCC"/>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619125</xdr:colOff>
          <xdr:row>55</xdr:row>
          <xdr:rowOff>66675</xdr:rowOff>
        </xdr:from>
        <xdr:to>
          <xdr:col>5</xdr:col>
          <xdr:colOff>142875</xdr:colOff>
          <xdr:row>55</xdr:row>
          <xdr:rowOff>504825</xdr:rowOff>
        </xdr:to>
        <xdr:sp macro="" textlink="">
          <xdr:nvSpPr>
            <xdr:cNvPr id="7170" name="Object 2" hidden="1">
              <a:extLst>
                <a:ext uri="{63B3BB69-23CF-44E3-9099-C40C66FF867C}">
                  <a14:compatExt spid="_x0000_s7170"/>
                </a:ext>
                <a:ext uri="{FF2B5EF4-FFF2-40B4-BE49-F238E27FC236}">
                  <a16:creationId xmlns:a16="http://schemas.microsoft.com/office/drawing/2014/main" id="{00000000-0008-0000-0200-0000021C0000}"/>
                </a:ext>
              </a:extLst>
            </xdr:cNvPr>
            <xdr:cNvSpPr/>
          </xdr:nvSpPr>
          <xdr:spPr bwMode="auto">
            <a:xfrm>
              <a:off x="0" y="0"/>
              <a:ext cx="0" cy="0"/>
            </a:xfrm>
            <a:prstGeom prst="rect">
              <a:avLst/>
            </a:prstGeom>
            <a:solidFill>
              <a:srgbClr val="FFFFCC"/>
            </a:solidFill>
            <a:ln w="9525">
              <a:solidFill>
                <a:srgbClr val="2C36F8"/>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714375</xdr:colOff>
          <xdr:row>221</xdr:row>
          <xdr:rowOff>85725</xdr:rowOff>
        </xdr:from>
        <xdr:to>
          <xdr:col>5</xdr:col>
          <xdr:colOff>1562100</xdr:colOff>
          <xdr:row>221</xdr:row>
          <xdr:rowOff>514350</xdr:rowOff>
        </xdr:to>
        <xdr:sp macro="" textlink="">
          <xdr:nvSpPr>
            <xdr:cNvPr id="7172" name="Object 4" hidden="1">
              <a:extLst>
                <a:ext uri="{63B3BB69-23CF-44E3-9099-C40C66FF867C}">
                  <a14:compatExt spid="_x0000_s7172"/>
                </a:ext>
                <a:ext uri="{FF2B5EF4-FFF2-40B4-BE49-F238E27FC236}">
                  <a16:creationId xmlns:a16="http://schemas.microsoft.com/office/drawing/2014/main" id="{00000000-0008-0000-0200-0000041C0000}"/>
                </a:ext>
              </a:extLst>
            </xdr:cNvPr>
            <xdr:cNvSpPr/>
          </xdr:nvSpPr>
          <xdr:spPr bwMode="auto">
            <a:xfrm>
              <a:off x="0" y="0"/>
              <a:ext cx="0" cy="0"/>
            </a:xfrm>
            <a:prstGeom prst="rect">
              <a:avLst/>
            </a:prstGeom>
            <a:solidFill>
              <a:srgbClr val="FFFF99"/>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19050</xdr:colOff>
          <xdr:row>229</xdr:row>
          <xdr:rowOff>28575</xdr:rowOff>
        </xdr:from>
        <xdr:to>
          <xdr:col>5</xdr:col>
          <xdr:colOff>1524000</xdr:colOff>
          <xdr:row>229</xdr:row>
          <xdr:rowOff>457200</xdr:rowOff>
        </xdr:to>
        <xdr:sp macro="" textlink="">
          <xdr:nvSpPr>
            <xdr:cNvPr id="7173" name="Object 5" hidden="1">
              <a:extLst>
                <a:ext uri="{63B3BB69-23CF-44E3-9099-C40C66FF867C}">
                  <a14:compatExt spid="_x0000_s7173"/>
                </a:ext>
                <a:ext uri="{FF2B5EF4-FFF2-40B4-BE49-F238E27FC236}">
                  <a16:creationId xmlns:a16="http://schemas.microsoft.com/office/drawing/2014/main" id="{00000000-0008-0000-0200-0000051C0000}"/>
                </a:ext>
              </a:extLst>
            </xdr:cNvPr>
            <xdr:cNvSpPr/>
          </xdr:nvSpPr>
          <xdr:spPr bwMode="auto">
            <a:xfrm>
              <a:off x="0" y="0"/>
              <a:ext cx="0" cy="0"/>
            </a:xfrm>
            <a:prstGeom prst="rect">
              <a:avLst/>
            </a:prstGeom>
            <a:solidFill>
              <a:srgbClr val="FFFFCC"/>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352425</xdr:colOff>
          <xdr:row>238</xdr:row>
          <xdr:rowOff>819150</xdr:rowOff>
        </xdr:from>
        <xdr:to>
          <xdr:col>8</xdr:col>
          <xdr:colOff>685800</xdr:colOff>
          <xdr:row>241</xdr:row>
          <xdr:rowOff>180975</xdr:rowOff>
        </xdr:to>
        <xdr:sp macro="" textlink="">
          <xdr:nvSpPr>
            <xdr:cNvPr id="7174" name="Object 6" hidden="1">
              <a:extLst>
                <a:ext uri="{63B3BB69-23CF-44E3-9099-C40C66FF867C}">
                  <a14:compatExt spid="_x0000_s7174"/>
                </a:ext>
                <a:ext uri="{FF2B5EF4-FFF2-40B4-BE49-F238E27FC236}">
                  <a16:creationId xmlns:a16="http://schemas.microsoft.com/office/drawing/2014/main" id="{00000000-0008-0000-0200-0000061C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142875</xdr:colOff>
          <xdr:row>256</xdr:row>
          <xdr:rowOff>152400</xdr:rowOff>
        </xdr:from>
        <xdr:to>
          <xdr:col>10</xdr:col>
          <xdr:colOff>419100</xdr:colOff>
          <xdr:row>258</xdr:row>
          <xdr:rowOff>9525</xdr:rowOff>
        </xdr:to>
        <xdr:sp macro="" textlink="">
          <xdr:nvSpPr>
            <xdr:cNvPr id="7177" name="Object 9" hidden="1">
              <a:extLst>
                <a:ext uri="{63B3BB69-23CF-44E3-9099-C40C66FF867C}">
                  <a14:compatExt spid="_x0000_s7177"/>
                </a:ext>
                <a:ext uri="{FF2B5EF4-FFF2-40B4-BE49-F238E27FC236}">
                  <a16:creationId xmlns:a16="http://schemas.microsoft.com/office/drawing/2014/main" id="{00000000-0008-0000-0200-0000091C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161925</xdr:colOff>
          <xdr:row>263</xdr:row>
          <xdr:rowOff>19050</xdr:rowOff>
        </xdr:from>
        <xdr:to>
          <xdr:col>8</xdr:col>
          <xdr:colOff>590550</xdr:colOff>
          <xdr:row>264</xdr:row>
          <xdr:rowOff>152400</xdr:rowOff>
        </xdr:to>
        <xdr:sp macro="" textlink="">
          <xdr:nvSpPr>
            <xdr:cNvPr id="7179" name="Object 11" hidden="1">
              <a:extLst>
                <a:ext uri="{63B3BB69-23CF-44E3-9099-C40C66FF867C}">
                  <a14:compatExt spid="_x0000_s7179"/>
                </a:ext>
                <a:ext uri="{FF2B5EF4-FFF2-40B4-BE49-F238E27FC236}">
                  <a16:creationId xmlns:a16="http://schemas.microsoft.com/office/drawing/2014/main" id="{00000000-0008-0000-0200-00000B1C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180975</xdr:colOff>
          <xdr:row>265</xdr:row>
          <xdr:rowOff>28575</xdr:rowOff>
        </xdr:from>
        <xdr:to>
          <xdr:col>8</xdr:col>
          <xdr:colOff>581025</xdr:colOff>
          <xdr:row>267</xdr:row>
          <xdr:rowOff>152400</xdr:rowOff>
        </xdr:to>
        <xdr:sp macro="" textlink="">
          <xdr:nvSpPr>
            <xdr:cNvPr id="7180" name="Object 12" hidden="1">
              <a:extLst>
                <a:ext uri="{63B3BB69-23CF-44E3-9099-C40C66FF867C}">
                  <a14:compatExt spid="_x0000_s7180"/>
                </a:ext>
                <a:ext uri="{FF2B5EF4-FFF2-40B4-BE49-F238E27FC236}">
                  <a16:creationId xmlns:a16="http://schemas.microsoft.com/office/drawing/2014/main" id="{00000000-0008-0000-0200-00000C1C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180975</xdr:colOff>
          <xdr:row>267</xdr:row>
          <xdr:rowOff>190500</xdr:rowOff>
        </xdr:from>
        <xdr:to>
          <xdr:col>8</xdr:col>
          <xdr:colOff>0</xdr:colOff>
          <xdr:row>269</xdr:row>
          <xdr:rowOff>190500</xdr:rowOff>
        </xdr:to>
        <xdr:sp macro="" textlink="">
          <xdr:nvSpPr>
            <xdr:cNvPr id="7181" name="Object 13" hidden="1">
              <a:extLst>
                <a:ext uri="{63B3BB69-23CF-44E3-9099-C40C66FF867C}">
                  <a14:compatExt spid="_x0000_s7181"/>
                </a:ext>
                <a:ext uri="{FF2B5EF4-FFF2-40B4-BE49-F238E27FC236}">
                  <a16:creationId xmlns:a16="http://schemas.microsoft.com/office/drawing/2014/main" id="{00000000-0008-0000-0200-00000D1C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180975</xdr:colOff>
          <xdr:row>269</xdr:row>
          <xdr:rowOff>200025</xdr:rowOff>
        </xdr:from>
        <xdr:to>
          <xdr:col>8</xdr:col>
          <xdr:colOff>0</xdr:colOff>
          <xdr:row>272</xdr:row>
          <xdr:rowOff>123825</xdr:rowOff>
        </xdr:to>
        <xdr:sp macro="" textlink="">
          <xdr:nvSpPr>
            <xdr:cNvPr id="7183" name="Object 15" hidden="1">
              <a:extLst>
                <a:ext uri="{63B3BB69-23CF-44E3-9099-C40C66FF867C}">
                  <a14:compatExt spid="_x0000_s7183"/>
                </a:ext>
                <a:ext uri="{FF2B5EF4-FFF2-40B4-BE49-F238E27FC236}">
                  <a16:creationId xmlns:a16="http://schemas.microsoft.com/office/drawing/2014/main" id="{00000000-0008-0000-0200-00000F1C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269</xdr:row>
          <xdr:rowOff>200025</xdr:rowOff>
        </xdr:from>
        <xdr:to>
          <xdr:col>9</xdr:col>
          <xdr:colOff>0</xdr:colOff>
          <xdr:row>272</xdr:row>
          <xdr:rowOff>133350</xdr:rowOff>
        </xdr:to>
        <xdr:sp macro="" textlink="">
          <xdr:nvSpPr>
            <xdr:cNvPr id="7184" name="Object 16" hidden="1">
              <a:extLst>
                <a:ext uri="{63B3BB69-23CF-44E3-9099-C40C66FF867C}">
                  <a14:compatExt spid="_x0000_s7184"/>
                </a:ext>
                <a:ext uri="{FF2B5EF4-FFF2-40B4-BE49-F238E27FC236}">
                  <a16:creationId xmlns:a16="http://schemas.microsoft.com/office/drawing/2014/main" id="{00000000-0008-0000-0200-0000101C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180975</xdr:colOff>
          <xdr:row>272</xdr:row>
          <xdr:rowOff>171450</xdr:rowOff>
        </xdr:from>
        <xdr:to>
          <xdr:col>8</xdr:col>
          <xdr:colOff>228600</xdr:colOff>
          <xdr:row>274</xdr:row>
          <xdr:rowOff>142875</xdr:rowOff>
        </xdr:to>
        <xdr:sp macro="" textlink="">
          <xdr:nvSpPr>
            <xdr:cNvPr id="7185" name="Object 17" hidden="1">
              <a:extLst>
                <a:ext uri="{63B3BB69-23CF-44E3-9099-C40C66FF867C}">
                  <a14:compatExt spid="_x0000_s7185"/>
                </a:ext>
                <a:ext uri="{FF2B5EF4-FFF2-40B4-BE49-F238E27FC236}">
                  <a16:creationId xmlns:a16="http://schemas.microsoft.com/office/drawing/2014/main" id="{00000000-0008-0000-0200-0000111C00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142875</xdr:colOff>
          <xdr:row>275</xdr:row>
          <xdr:rowOff>47625</xdr:rowOff>
        </xdr:from>
        <xdr:to>
          <xdr:col>11</xdr:col>
          <xdr:colOff>438150</xdr:colOff>
          <xdr:row>276</xdr:row>
          <xdr:rowOff>133350</xdr:rowOff>
        </xdr:to>
        <xdr:sp macro="" textlink="">
          <xdr:nvSpPr>
            <xdr:cNvPr id="7186" name="Object 18" hidden="1">
              <a:extLst>
                <a:ext uri="{63B3BB69-23CF-44E3-9099-C40C66FF867C}">
                  <a14:compatExt spid="_x0000_s7186"/>
                </a:ext>
                <a:ext uri="{FF2B5EF4-FFF2-40B4-BE49-F238E27FC236}">
                  <a16:creationId xmlns:a16="http://schemas.microsoft.com/office/drawing/2014/main" id="{00000000-0008-0000-0200-0000121C00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152400</xdr:colOff>
          <xdr:row>276</xdr:row>
          <xdr:rowOff>200025</xdr:rowOff>
        </xdr:from>
        <xdr:to>
          <xdr:col>11</xdr:col>
          <xdr:colOff>485775</xdr:colOff>
          <xdr:row>280</xdr:row>
          <xdr:rowOff>38100</xdr:rowOff>
        </xdr:to>
        <xdr:sp macro="" textlink="">
          <xdr:nvSpPr>
            <xdr:cNvPr id="7187" name="Object 19" hidden="1">
              <a:extLst>
                <a:ext uri="{63B3BB69-23CF-44E3-9099-C40C66FF867C}">
                  <a14:compatExt spid="_x0000_s7187"/>
                </a:ext>
                <a:ext uri="{FF2B5EF4-FFF2-40B4-BE49-F238E27FC236}">
                  <a16:creationId xmlns:a16="http://schemas.microsoft.com/office/drawing/2014/main" id="{00000000-0008-0000-0200-0000131C00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123825</xdr:colOff>
          <xdr:row>280</xdr:row>
          <xdr:rowOff>114300</xdr:rowOff>
        </xdr:from>
        <xdr:to>
          <xdr:col>8</xdr:col>
          <xdr:colOff>476250</xdr:colOff>
          <xdr:row>284</xdr:row>
          <xdr:rowOff>114300</xdr:rowOff>
        </xdr:to>
        <xdr:sp macro="" textlink="">
          <xdr:nvSpPr>
            <xdr:cNvPr id="7188" name="Object 20" hidden="1">
              <a:extLst>
                <a:ext uri="{63B3BB69-23CF-44E3-9099-C40C66FF867C}">
                  <a14:compatExt spid="_x0000_s7188"/>
                </a:ext>
                <a:ext uri="{FF2B5EF4-FFF2-40B4-BE49-F238E27FC236}">
                  <a16:creationId xmlns:a16="http://schemas.microsoft.com/office/drawing/2014/main" id="{00000000-0008-0000-0200-0000141C00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495300</xdr:colOff>
          <xdr:row>280</xdr:row>
          <xdr:rowOff>114300</xdr:rowOff>
        </xdr:from>
        <xdr:to>
          <xdr:col>11</xdr:col>
          <xdr:colOff>438150</xdr:colOff>
          <xdr:row>284</xdr:row>
          <xdr:rowOff>133350</xdr:rowOff>
        </xdr:to>
        <xdr:sp macro="" textlink="">
          <xdr:nvSpPr>
            <xdr:cNvPr id="7189" name="Object 21" hidden="1">
              <a:extLst>
                <a:ext uri="{63B3BB69-23CF-44E3-9099-C40C66FF867C}">
                  <a14:compatExt spid="_x0000_s7189"/>
                </a:ext>
                <a:ext uri="{FF2B5EF4-FFF2-40B4-BE49-F238E27FC236}">
                  <a16:creationId xmlns:a16="http://schemas.microsoft.com/office/drawing/2014/main" id="{00000000-0008-0000-0200-0000151C00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85725</xdr:colOff>
          <xdr:row>224</xdr:row>
          <xdr:rowOff>114300</xdr:rowOff>
        </xdr:from>
        <xdr:to>
          <xdr:col>5</xdr:col>
          <xdr:colOff>247650</xdr:colOff>
          <xdr:row>226</xdr:row>
          <xdr:rowOff>0</xdr:rowOff>
        </xdr:to>
        <xdr:sp macro="" textlink="">
          <xdr:nvSpPr>
            <xdr:cNvPr id="7193" name="Object 25" hidden="1">
              <a:extLst>
                <a:ext uri="{63B3BB69-23CF-44E3-9099-C40C66FF867C}">
                  <a14:compatExt spid="_x0000_s7193"/>
                </a:ext>
                <a:ext uri="{FF2B5EF4-FFF2-40B4-BE49-F238E27FC236}">
                  <a16:creationId xmlns:a16="http://schemas.microsoft.com/office/drawing/2014/main" id="{00000000-0008-0000-0200-0000191C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361950</xdr:colOff>
          <xdr:row>304</xdr:row>
          <xdr:rowOff>114300</xdr:rowOff>
        </xdr:from>
        <xdr:to>
          <xdr:col>13</xdr:col>
          <xdr:colOff>600075</xdr:colOff>
          <xdr:row>306</xdr:row>
          <xdr:rowOff>104775</xdr:rowOff>
        </xdr:to>
        <xdr:sp macro="" textlink="">
          <xdr:nvSpPr>
            <xdr:cNvPr id="7195" name="Object 27" hidden="1">
              <a:extLst>
                <a:ext uri="{63B3BB69-23CF-44E3-9099-C40C66FF867C}">
                  <a14:compatExt spid="_x0000_s7195"/>
                </a:ext>
                <a:ext uri="{FF2B5EF4-FFF2-40B4-BE49-F238E27FC236}">
                  <a16:creationId xmlns:a16="http://schemas.microsoft.com/office/drawing/2014/main" id="{00000000-0008-0000-0200-00001B1C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542925</xdr:colOff>
          <xdr:row>384</xdr:row>
          <xdr:rowOff>0</xdr:rowOff>
        </xdr:from>
        <xdr:to>
          <xdr:col>14</xdr:col>
          <xdr:colOff>838200</xdr:colOff>
          <xdr:row>390</xdr:row>
          <xdr:rowOff>123825</xdr:rowOff>
        </xdr:to>
        <xdr:sp macro="" textlink="">
          <xdr:nvSpPr>
            <xdr:cNvPr id="7201" name="Object 33" hidden="1">
              <a:extLst>
                <a:ext uri="{63B3BB69-23CF-44E3-9099-C40C66FF867C}">
                  <a14:compatExt spid="_x0000_s7201"/>
                </a:ext>
                <a:ext uri="{FF2B5EF4-FFF2-40B4-BE49-F238E27FC236}">
                  <a16:creationId xmlns:a16="http://schemas.microsoft.com/office/drawing/2014/main" id="{00000000-0008-0000-0200-0000211C0000}"/>
                </a:ext>
              </a:extLst>
            </xdr:cNvPr>
            <xdr:cNvSpPr/>
          </xdr:nvSpPr>
          <xdr:spPr bwMode="auto">
            <a:xfrm>
              <a:off x="0" y="0"/>
              <a:ext cx="0" cy="0"/>
            </a:xfrm>
            <a:prstGeom prst="rect">
              <a:avLst/>
            </a:prstGeom>
            <a:solidFill>
              <a:srgbClr val="FFFF00"/>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28575</xdr:colOff>
          <xdr:row>376</xdr:row>
          <xdr:rowOff>152400</xdr:rowOff>
        </xdr:from>
        <xdr:to>
          <xdr:col>10</xdr:col>
          <xdr:colOff>638175</xdr:colOff>
          <xdr:row>382</xdr:row>
          <xdr:rowOff>9525</xdr:rowOff>
        </xdr:to>
        <xdr:sp macro="" textlink="">
          <xdr:nvSpPr>
            <xdr:cNvPr id="7202" name="Object 34" hidden="1">
              <a:extLst>
                <a:ext uri="{63B3BB69-23CF-44E3-9099-C40C66FF867C}">
                  <a14:compatExt spid="_x0000_s7202"/>
                </a:ext>
                <a:ext uri="{FF2B5EF4-FFF2-40B4-BE49-F238E27FC236}">
                  <a16:creationId xmlns:a16="http://schemas.microsoft.com/office/drawing/2014/main" id="{00000000-0008-0000-0200-000022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1190625</xdr:colOff>
          <xdr:row>402</xdr:row>
          <xdr:rowOff>0</xdr:rowOff>
        </xdr:from>
        <xdr:to>
          <xdr:col>8</xdr:col>
          <xdr:colOff>733425</xdr:colOff>
          <xdr:row>404</xdr:row>
          <xdr:rowOff>142875</xdr:rowOff>
        </xdr:to>
        <xdr:sp macro="" textlink="">
          <xdr:nvSpPr>
            <xdr:cNvPr id="7203" name="Object 35" hidden="1">
              <a:extLst>
                <a:ext uri="{63B3BB69-23CF-44E3-9099-C40C66FF867C}">
                  <a14:compatExt spid="_x0000_s7203"/>
                </a:ext>
                <a:ext uri="{FF2B5EF4-FFF2-40B4-BE49-F238E27FC236}">
                  <a16:creationId xmlns:a16="http://schemas.microsoft.com/office/drawing/2014/main" id="{00000000-0008-0000-0200-0000231C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402</xdr:row>
          <xdr:rowOff>28575</xdr:rowOff>
        </xdr:from>
        <xdr:to>
          <xdr:col>7</xdr:col>
          <xdr:colOff>981075</xdr:colOff>
          <xdr:row>404</xdr:row>
          <xdr:rowOff>123825</xdr:rowOff>
        </xdr:to>
        <xdr:sp macro="" textlink="">
          <xdr:nvSpPr>
            <xdr:cNvPr id="7204" name="Object 36" hidden="1">
              <a:extLst>
                <a:ext uri="{63B3BB69-23CF-44E3-9099-C40C66FF867C}">
                  <a14:compatExt spid="_x0000_s7204"/>
                </a:ext>
                <a:ext uri="{FF2B5EF4-FFF2-40B4-BE49-F238E27FC236}">
                  <a16:creationId xmlns:a16="http://schemas.microsoft.com/office/drawing/2014/main" id="{00000000-0008-0000-0200-0000241C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247650</xdr:colOff>
          <xdr:row>408</xdr:row>
          <xdr:rowOff>152400</xdr:rowOff>
        </xdr:from>
        <xdr:to>
          <xdr:col>8</xdr:col>
          <xdr:colOff>581025</xdr:colOff>
          <xdr:row>411</xdr:row>
          <xdr:rowOff>114300</xdr:rowOff>
        </xdr:to>
        <xdr:sp macro="" textlink="">
          <xdr:nvSpPr>
            <xdr:cNvPr id="7207" name="Object 39" hidden="1">
              <a:extLst>
                <a:ext uri="{63B3BB69-23CF-44E3-9099-C40C66FF867C}">
                  <a14:compatExt spid="_x0000_s7207"/>
                </a:ext>
                <a:ext uri="{FF2B5EF4-FFF2-40B4-BE49-F238E27FC236}">
                  <a16:creationId xmlns:a16="http://schemas.microsoft.com/office/drawing/2014/main" id="{00000000-0008-0000-0200-0000271C0000}"/>
                </a:ext>
              </a:extLst>
            </xdr:cNvPr>
            <xdr:cNvSpPr/>
          </xdr:nvSpPr>
          <xdr:spPr bwMode="auto">
            <a:xfrm>
              <a:off x="0" y="0"/>
              <a:ext cx="0" cy="0"/>
            </a:xfrm>
            <a:prstGeom prst="rect">
              <a:avLst/>
            </a:prstGeom>
            <a:solidFill>
              <a:srgbClr val="FFFFFF"/>
            </a:solidFill>
            <a:ln w="9525">
              <a:solidFill>
                <a:srgbClr val="0000FF"/>
              </a:solidFill>
              <a:miter lim="800000"/>
              <a:headEnd/>
              <a:tailEnd/>
            </a:ln>
          </xdr:spPr>
        </xdr:sp>
        <xdr:clientData/>
      </xdr:twoCellAnchor>
    </mc:Choice>
    <mc:Fallback/>
  </mc:AlternateContent>
  <xdr:twoCellAnchor editAs="oneCell">
    <xdr:from>
      <xdr:col>8</xdr:col>
      <xdr:colOff>153932</xdr:colOff>
      <xdr:row>12</xdr:row>
      <xdr:rowOff>38288</xdr:rowOff>
    </xdr:from>
    <xdr:to>
      <xdr:col>10</xdr:col>
      <xdr:colOff>2839592</xdr:colOff>
      <xdr:row>42</xdr:row>
      <xdr:rowOff>156059</xdr:rowOff>
    </xdr:to>
    <xdr:pic>
      <xdr:nvPicPr>
        <xdr:cNvPr id="2" name="图片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899265" y="441960"/>
          <a:ext cx="7058025" cy="6162675"/>
        </a:xfrm>
        <a:prstGeom prst="rect">
          <a:avLst/>
        </a:prstGeom>
      </xdr:spPr>
    </xdr:pic>
    <xdr:clientData/>
  </xdr:twoCellAnchor>
  <xdr:twoCellAnchor editAs="oneCell">
    <xdr:from>
      <xdr:col>16</xdr:col>
      <xdr:colOff>216354</xdr:colOff>
      <xdr:row>169</xdr:row>
      <xdr:rowOff>19049</xdr:rowOff>
    </xdr:from>
    <xdr:to>
      <xdr:col>20</xdr:col>
      <xdr:colOff>599688</xdr:colOff>
      <xdr:row>186</xdr:row>
      <xdr:rowOff>147896</xdr:rowOff>
    </xdr:to>
    <xdr:pic>
      <xdr:nvPicPr>
        <xdr:cNvPr id="6" name="图片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a:stretch>
          <a:fillRect/>
        </a:stretch>
      </xdr:blipFill>
      <xdr:spPr>
        <a:xfrm>
          <a:off x="23175595" y="31028005"/>
          <a:ext cx="2852420" cy="3470275"/>
        </a:xfrm>
        <a:prstGeom prst="rect">
          <a:avLst/>
        </a:prstGeom>
      </xdr:spPr>
    </xdr:pic>
    <xdr:clientData/>
  </xdr:twoCellAnchor>
  <xdr:twoCellAnchor editAs="oneCell">
    <xdr:from>
      <xdr:col>10</xdr:col>
      <xdr:colOff>462643</xdr:colOff>
      <xdr:row>188</xdr:row>
      <xdr:rowOff>55790</xdr:rowOff>
    </xdr:from>
    <xdr:to>
      <xdr:col>14</xdr:col>
      <xdr:colOff>142053</xdr:colOff>
      <xdr:row>214</xdr:row>
      <xdr:rowOff>110961</xdr:rowOff>
    </xdr:to>
    <xdr:pic>
      <xdr:nvPicPr>
        <xdr:cNvPr id="14" name="图片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5"/>
        <a:stretch>
          <a:fillRect/>
        </a:stretch>
      </xdr:blipFill>
      <xdr:spPr>
        <a:xfrm>
          <a:off x="16580485" y="34832925"/>
          <a:ext cx="5106035" cy="4979035"/>
        </a:xfrm>
        <a:prstGeom prst="rect">
          <a:avLst/>
        </a:prstGeom>
      </xdr:spPr>
    </xdr:pic>
    <xdr:clientData/>
  </xdr:twoCellAnchor>
  <xdr:twoCellAnchor>
    <xdr:from>
      <xdr:col>2</xdr:col>
      <xdr:colOff>1123950</xdr:colOff>
      <xdr:row>217</xdr:row>
      <xdr:rowOff>47625</xdr:rowOff>
    </xdr:from>
    <xdr:to>
      <xdr:col>5</xdr:col>
      <xdr:colOff>1524000</xdr:colOff>
      <xdr:row>217</xdr:row>
      <xdr:rowOff>657225</xdr:rowOff>
    </xdr:to>
    <mc:AlternateContent xmlns:mc="http://schemas.openxmlformats.org/markup-compatibility/2006" xmlns:a14="http://schemas.microsoft.com/office/drawing/2010/main">
      <mc:Choice Requires="a14">
        <xdr:sp macro="" textlink="">
          <xdr:nvSpPr>
            <xdr:cNvPr id="15" name="Object 3">
              <a:extLst>
                <a:ext uri="{FF2B5EF4-FFF2-40B4-BE49-F238E27FC236}">
                  <a16:creationId xmlns:a16="http://schemas.microsoft.com/office/drawing/2014/main" id="{00000000-0008-0000-0200-00000F000000}"/>
                </a:ext>
              </a:extLst>
            </xdr:cNvPr>
            <xdr:cNvSpPr txBox="1"/>
          </xdr:nvSpPr>
          <xdr:spPr>
            <a:xfrm>
              <a:off x="3404235" y="40356790"/>
              <a:ext cx="5957570" cy="60960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𝑦</m:t>
                        </m:r>
                      </m:e>
                      <m:sub>
                        <m:r>
                          <a:rPr lang="zh-CN" altLang="en-US" i="1">
                            <a:solidFill>
                              <a:srgbClr val="000000"/>
                            </a:solidFill>
                            <a:latin typeface="Cambria Math" panose="02040503050406030204" pitchFamily="18" charset="0"/>
                          </a:rPr>
                          <m:t>𝑛</m:t>
                        </m:r>
                        <m:r>
                          <a:rPr lang="zh-CN" altLang="en-US" i="1">
                            <a:solidFill>
                              <a:srgbClr val="000000"/>
                            </a:solidFill>
                            <a:latin typeface="Cambria Math" panose="02040503050406030204" pitchFamily="18" charset="0"/>
                          </a:rPr>
                          <m:t>1</m:t>
                        </m:r>
                      </m:sub>
                    </m:sSub>
                    <m:r>
                      <a:rPr lang="zh-CN" altLang="en-US" i="1">
                        <a:solidFill>
                          <a:srgbClr val="000000"/>
                        </a:solidFill>
                        <a:latin typeface="Cambria Math" panose="02040503050406030204" pitchFamily="18" charset="0"/>
                      </a:rPr>
                      <m:t>=</m:t>
                    </m:r>
                    <m:f>
                      <m:fPr>
                        <m:ctrlPr>
                          <a:rPr lang="zh-CN" altLang="en-US" i="1">
                            <a:solidFill>
                              <a:srgbClr val="000000"/>
                            </a:solidFill>
                            <a:latin typeface="Cambria Math" panose="02040503050406030204" pitchFamily="18" charset="0"/>
                          </a:rPr>
                        </m:ctrlPr>
                      </m:fPr>
                      <m:num>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𝐴</m:t>
                            </m:r>
                          </m:e>
                          <m:sub>
                            <m:r>
                              <a:rPr lang="zh-CN" altLang="en-US" i="1">
                                <a:solidFill>
                                  <a:srgbClr val="000000"/>
                                </a:solidFill>
                                <a:latin typeface="Cambria Math" panose="02040503050406030204" pitchFamily="18" charset="0"/>
                              </a:rPr>
                              <m:t>𝑐</m:t>
                            </m:r>
                          </m:sub>
                        </m:sSub>
                        <m:sSubSup>
                          <m:sSubSupPr>
                            <m:ctrlPr>
                              <a:rPr lang="zh-CN" altLang="en-US" i="1">
                                <a:solidFill>
                                  <a:srgbClr val="000000"/>
                                </a:solidFill>
                                <a:latin typeface="Cambria Math" panose="02040503050406030204" pitchFamily="18" charset="0"/>
                              </a:rPr>
                            </m:ctrlPr>
                          </m:sSubSupPr>
                          <m:e>
                            <m:r>
                              <a:rPr lang="zh-CN" altLang="en-US" i="1">
                                <a:solidFill>
                                  <a:srgbClr val="000000"/>
                                </a:solidFill>
                                <a:latin typeface="Cambria Math" panose="02040503050406030204" pitchFamily="18" charset="0"/>
                              </a:rPr>
                              <m:t>𝑦</m:t>
                            </m:r>
                          </m:e>
                          <m:sub>
                            <m:r>
                              <a:rPr lang="zh-CN" altLang="en-US" i="1">
                                <a:solidFill>
                                  <a:srgbClr val="000000"/>
                                </a:solidFill>
                                <a:latin typeface="Cambria Math" panose="02040503050406030204" pitchFamily="18" charset="0"/>
                              </a:rPr>
                              <m:t>𝑐</m:t>
                            </m:r>
                          </m:sub>
                          <m:sup>
                            <m:r>
                              <a:rPr lang="zh-CN" altLang="en-US" i="1">
                                <a:solidFill>
                                  <a:srgbClr val="000000"/>
                                </a:solidFill>
                                <a:latin typeface="Cambria Math" panose="02040503050406030204" pitchFamily="18" charset="0"/>
                              </a:rPr>
                              <m:t>′</m:t>
                            </m:r>
                          </m:sup>
                        </m:sSubSup>
                        <m:r>
                          <a:rPr lang="zh-CN" altLang="en-US" i="1">
                            <a:solidFill>
                              <a:srgbClr val="000000"/>
                            </a:solidFill>
                            <a:latin typeface="Cambria Math" panose="02040503050406030204" pitchFamily="18" charset="0"/>
                          </a:rPr>
                          <m:t>+</m:t>
                        </m:r>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𝛼</m:t>
                            </m:r>
                          </m:e>
                          <m:sub>
                            <m:r>
                              <a:rPr lang="zh-CN" altLang="en-US" i="1">
                                <a:solidFill>
                                  <a:srgbClr val="000000"/>
                                </a:solidFill>
                                <a:latin typeface="Cambria Math" panose="02040503050406030204" pitchFamily="18" charset="0"/>
                              </a:rPr>
                              <m:t>𝐸</m:t>
                            </m:r>
                          </m:sub>
                        </m:sSub>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𝐴</m:t>
                            </m:r>
                          </m:e>
                          <m:sub>
                            <m:r>
                              <a:rPr lang="zh-CN" altLang="en-US" i="1">
                                <a:solidFill>
                                  <a:srgbClr val="000000"/>
                                </a:solidFill>
                                <a:latin typeface="Cambria Math" panose="02040503050406030204" pitchFamily="18" charset="0"/>
                              </a:rPr>
                              <m:t>𝑠</m:t>
                            </m:r>
                          </m:sub>
                        </m:sSub>
                        <m:d>
                          <m:dPr>
                            <m:ctrlPr>
                              <a:rPr lang="zh-CN" altLang="en-US" i="1">
                                <a:solidFill>
                                  <a:srgbClr val="000000"/>
                                </a:solidFill>
                                <a:latin typeface="Cambria Math" panose="02040503050406030204" pitchFamily="18" charset="0"/>
                              </a:rPr>
                            </m:ctrlPr>
                          </m:dPr>
                          <m:e>
                            <m:r>
                              <a:rPr lang="zh-CN" altLang="en-US" i="1">
                                <a:solidFill>
                                  <a:srgbClr val="000000"/>
                                </a:solidFill>
                                <a:latin typeface="Cambria Math" panose="02040503050406030204" pitchFamily="18" charset="0"/>
                              </a:rPr>
                              <m:t>h</m:t>
                            </m:r>
                            <m:r>
                              <a:rPr lang="zh-CN" altLang="en-US" i="1">
                                <a:solidFill>
                                  <a:srgbClr val="000000"/>
                                </a:solidFill>
                                <a:latin typeface="Cambria Math" panose="02040503050406030204" pitchFamily="18" charset="0"/>
                              </a:rPr>
                              <m:t>−</m:t>
                            </m:r>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𝑎</m:t>
                                </m:r>
                              </m:e>
                              <m:sub>
                                <m:r>
                                  <a:rPr lang="zh-CN" altLang="en-US" i="1">
                                    <a:solidFill>
                                      <a:srgbClr val="000000"/>
                                    </a:solidFill>
                                    <a:latin typeface="Cambria Math" panose="02040503050406030204" pitchFamily="18" charset="0"/>
                                  </a:rPr>
                                  <m:t>𝑠</m:t>
                                </m:r>
                              </m:sub>
                            </m:sSub>
                          </m:e>
                        </m:d>
                        <m:r>
                          <a:rPr lang="zh-CN" altLang="en-US" i="1">
                            <a:solidFill>
                              <a:srgbClr val="000000"/>
                            </a:solidFill>
                            <a:latin typeface="Cambria Math" panose="02040503050406030204" pitchFamily="18" charset="0"/>
                          </a:rPr>
                          <m:t>+</m:t>
                        </m:r>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𝛼</m:t>
                            </m:r>
                          </m:e>
                          <m:sub>
                            <m:r>
                              <a:rPr lang="zh-CN" altLang="en-US" i="1">
                                <a:solidFill>
                                  <a:srgbClr val="000000"/>
                                </a:solidFill>
                                <a:latin typeface="Cambria Math" panose="02040503050406030204" pitchFamily="18" charset="0"/>
                              </a:rPr>
                              <m:t>𝐸</m:t>
                            </m:r>
                          </m:sub>
                        </m:sSub>
                        <m:sSubSup>
                          <m:sSubSupPr>
                            <m:ctrlPr>
                              <a:rPr lang="zh-CN" altLang="en-US" i="1">
                                <a:solidFill>
                                  <a:srgbClr val="000000"/>
                                </a:solidFill>
                                <a:latin typeface="Cambria Math" panose="02040503050406030204" pitchFamily="18" charset="0"/>
                              </a:rPr>
                            </m:ctrlPr>
                          </m:sSubSupPr>
                          <m:e>
                            <m:r>
                              <a:rPr lang="zh-CN" altLang="en-US" i="1">
                                <a:solidFill>
                                  <a:srgbClr val="000000"/>
                                </a:solidFill>
                                <a:latin typeface="Cambria Math" panose="02040503050406030204" pitchFamily="18" charset="0"/>
                              </a:rPr>
                              <m:t>𝐴</m:t>
                            </m:r>
                          </m:e>
                          <m:sub>
                            <m:r>
                              <a:rPr lang="zh-CN" altLang="en-US" i="1">
                                <a:solidFill>
                                  <a:srgbClr val="000000"/>
                                </a:solidFill>
                                <a:latin typeface="Cambria Math" panose="02040503050406030204" pitchFamily="18" charset="0"/>
                              </a:rPr>
                              <m:t>𝑠</m:t>
                            </m:r>
                          </m:sub>
                          <m:sup>
                            <m:r>
                              <a:rPr lang="zh-CN" altLang="en-US" i="1">
                                <a:solidFill>
                                  <a:srgbClr val="000000"/>
                                </a:solidFill>
                                <a:latin typeface="Cambria Math" panose="02040503050406030204" pitchFamily="18" charset="0"/>
                              </a:rPr>
                              <m:t>′</m:t>
                            </m:r>
                          </m:sup>
                        </m:sSubSup>
                        <m:sSubSup>
                          <m:sSubSupPr>
                            <m:ctrlPr>
                              <a:rPr lang="zh-CN" altLang="en-US" i="1">
                                <a:solidFill>
                                  <a:srgbClr val="000000"/>
                                </a:solidFill>
                                <a:latin typeface="Cambria Math" panose="02040503050406030204" pitchFamily="18" charset="0"/>
                              </a:rPr>
                            </m:ctrlPr>
                          </m:sSubSupPr>
                          <m:e>
                            <m:r>
                              <a:rPr lang="zh-CN" altLang="en-US" i="1">
                                <a:solidFill>
                                  <a:srgbClr val="000000"/>
                                </a:solidFill>
                                <a:latin typeface="Cambria Math" panose="02040503050406030204" pitchFamily="18" charset="0"/>
                              </a:rPr>
                              <m:t>𝑎</m:t>
                            </m:r>
                          </m:e>
                          <m:sub>
                            <m:r>
                              <a:rPr lang="zh-CN" altLang="en-US" i="1">
                                <a:solidFill>
                                  <a:srgbClr val="000000"/>
                                </a:solidFill>
                                <a:latin typeface="Cambria Math" panose="02040503050406030204" pitchFamily="18" charset="0"/>
                              </a:rPr>
                              <m:t>𝑠</m:t>
                            </m:r>
                          </m:sub>
                          <m:sup>
                            <m:r>
                              <a:rPr lang="zh-CN" altLang="en-US" i="1">
                                <a:solidFill>
                                  <a:srgbClr val="000000"/>
                                </a:solidFill>
                                <a:latin typeface="Cambria Math" panose="02040503050406030204" pitchFamily="18" charset="0"/>
                              </a:rPr>
                              <m:t>′</m:t>
                            </m:r>
                          </m:sup>
                        </m:sSubSup>
                        <m:r>
                          <a:rPr lang="zh-CN" altLang="en-US" i="1">
                            <a:solidFill>
                              <a:srgbClr val="000000"/>
                            </a:solidFill>
                            <a:latin typeface="Cambria Math" panose="02040503050406030204" pitchFamily="18" charset="0"/>
                          </a:rPr>
                          <m:t>−</m:t>
                        </m:r>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𝐴</m:t>
                            </m:r>
                          </m:e>
                          <m:sub>
                            <m:r>
                              <a:rPr lang="zh-CN" altLang="en-US" i="1">
                                <a:solidFill>
                                  <a:srgbClr val="000000"/>
                                </a:solidFill>
                                <a:latin typeface="Cambria Math" panose="02040503050406030204" pitchFamily="18" charset="0"/>
                              </a:rPr>
                              <m:t>𝑘</m:t>
                            </m:r>
                          </m:sub>
                        </m:sSub>
                        <m:d>
                          <m:dPr>
                            <m:ctrlPr>
                              <a:rPr lang="zh-CN" altLang="en-US" i="1">
                                <a:solidFill>
                                  <a:srgbClr val="000000"/>
                                </a:solidFill>
                                <a:latin typeface="Cambria Math" panose="02040503050406030204" pitchFamily="18" charset="0"/>
                              </a:rPr>
                            </m:ctrlPr>
                          </m:dPr>
                          <m:e>
                            <m:r>
                              <a:rPr lang="zh-CN" altLang="en-US" i="1">
                                <a:solidFill>
                                  <a:srgbClr val="000000"/>
                                </a:solidFill>
                                <a:latin typeface="Cambria Math" panose="02040503050406030204" pitchFamily="18" charset="0"/>
                              </a:rPr>
                              <m:t>h</m:t>
                            </m:r>
                            <m:r>
                              <a:rPr lang="zh-CN" altLang="en-US" i="1">
                                <a:solidFill>
                                  <a:srgbClr val="000000"/>
                                </a:solidFill>
                                <a:latin typeface="Cambria Math" panose="02040503050406030204" pitchFamily="18" charset="0"/>
                              </a:rPr>
                              <m:t>−</m:t>
                            </m:r>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𝑎</m:t>
                                </m:r>
                              </m:e>
                              <m:sub>
                                <m:r>
                                  <a:rPr lang="zh-CN" altLang="en-US" i="1">
                                    <a:solidFill>
                                      <a:srgbClr val="000000"/>
                                    </a:solidFill>
                                    <a:latin typeface="Cambria Math" panose="02040503050406030204" pitchFamily="18" charset="0"/>
                                  </a:rPr>
                                  <m:t>𝑝</m:t>
                                </m:r>
                              </m:sub>
                            </m:sSub>
                          </m:e>
                        </m:d>
                        <m:r>
                          <a:rPr lang="zh-CN" altLang="en-US" i="1">
                            <a:solidFill>
                              <a:srgbClr val="000000"/>
                            </a:solidFill>
                            <a:latin typeface="Cambria Math" panose="02040503050406030204" pitchFamily="18" charset="0"/>
                          </a:rPr>
                          <m:t>−</m:t>
                        </m:r>
                        <m:sSubSup>
                          <m:sSubSupPr>
                            <m:ctrlPr>
                              <a:rPr lang="zh-CN" altLang="en-US" i="1">
                                <a:solidFill>
                                  <a:srgbClr val="000000"/>
                                </a:solidFill>
                                <a:latin typeface="Cambria Math" panose="02040503050406030204" pitchFamily="18" charset="0"/>
                              </a:rPr>
                            </m:ctrlPr>
                          </m:sSubSupPr>
                          <m:e>
                            <m:r>
                              <a:rPr lang="zh-CN" altLang="en-US" i="1">
                                <a:solidFill>
                                  <a:srgbClr val="000000"/>
                                </a:solidFill>
                                <a:latin typeface="Cambria Math" panose="02040503050406030204" pitchFamily="18" charset="0"/>
                              </a:rPr>
                              <m:t>𝐴</m:t>
                            </m:r>
                          </m:e>
                          <m:sub>
                            <m:r>
                              <a:rPr lang="zh-CN" altLang="en-US" i="1">
                                <a:solidFill>
                                  <a:srgbClr val="000000"/>
                                </a:solidFill>
                                <a:latin typeface="Cambria Math" panose="02040503050406030204" pitchFamily="18" charset="0"/>
                              </a:rPr>
                              <m:t>𝑘</m:t>
                            </m:r>
                          </m:sub>
                          <m:sup>
                            <m:r>
                              <a:rPr lang="zh-CN" altLang="en-US" i="1">
                                <a:solidFill>
                                  <a:srgbClr val="000000"/>
                                </a:solidFill>
                                <a:latin typeface="Cambria Math" panose="02040503050406030204" pitchFamily="18" charset="0"/>
                              </a:rPr>
                              <m:t>′</m:t>
                            </m:r>
                          </m:sup>
                        </m:sSubSup>
                        <m:sSubSup>
                          <m:sSubSupPr>
                            <m:ctrlPr>
                              <a:rPr lang="zh-CN" altLang="en-US" i="1">
                                <a:solidFill>
                                  <a:srgbClr val="000000"/>
                                </a:solidFill>
                                <a:latin typeface="Cambria Math" panose="02040503050406030204" pitchFamily="18" charset="0"/>
                              </a:rPr>
                            </m:ctrlPr>
                          </m:sSubSupPr>
                          <m:e>
                            <m:r>
                              <a:rPr lang="zh-CN" altLang="en-US" i="1">
                                <a:solidFill>
                                  <a:srgbClr val="000000"/>
                                </a:solidFill>
                                <a:latin typeface="Cambria Math" panose="02040503050406030204" pitchFamily="18" charset="0"/>
                              </a:rPr>
                              <m:t>𝑎</m:t>
                            </m:r>
                          </m:e>
                          <m:sub>
                            <m:r>
                              <a:rPr lang="zh-CN" altLang="en-US" i="1">
                                <a:solidFill>
                                  <a:srgbClr val="000000"/>
                                </a:solidFill>
                                <a:latin typeface="Cambria Math" panose="02040503050406030204" pitchFamily="18" charset="0"/>
                              </a:rPr>
                              <m:t>𝑝</m:t>
                            </m:r>
                          </m:sub>
                          <m:sup>
                            <m:r>
                              <a:rPr lang="zh-CN" altLang="en-US" i="1">
                                <a:solidFill>
                                  <a:srgbClr val="000000"/>
                                </a:solidFill>
                                <a:latin typeface="Cambria Math" panose="02040503050406030204" pitchFamily="18" charset="0"/>
                              </a:rPr>
                              <m:t>′</m:t>
                            </m:r>
                          </m:sup>
                        </m:sSubSup>
                      </m:num>
                      <m:den>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𝐴</m:t>
                            </m:r>
                          </m:e>
                          <m:sub>
                            <m:r>
                              <a:rPr lang="zh-CN" altLang="en-US" i="1">
                                <a:solidFill>
                                  <a:srgbClr val="000000"/>
                                </a:solidFill>
                                <a:latin typeface="Cambria Math" panose="02040503050406030204" pitchFamily="18" charset="0"/>
                              </a:rPr>
                              <m:t>𝑐</m:t>
                            </m:r>
                          </m:sub>
                        </m:sSub>
                        <m:r>
                          <a:rPr lang="zh-CN" altLang="en-US" i="1">
                            <a:solidFill>
                              <a:srgbClr val="000000"/>
                            </a:solidFill>
                            <a:latin typeface="Cambria Math" panose="02040503050406030204" pitchFamily="18" charset="0"/>
                          </a:rPr>
                          <m:t>+</m:t>
                        </m:r>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𝛼</m:t>
                            </m:r>
                          </m:e>
                          <m:sub>
                            <m:r>
                              <a:rPr lang="zh-CN" altLang="en-US" i="1">
                                <a:solidFill>
                                  <a:srgbClr val="000000"/>
                                </a:solidFill>
                                <a:latin typeface="Cambria Math" panose="02040503050406030204" pitchFamily="18" charset="0"/>
                              </a:rPr>
                              <m:t>𝐸</m:t>
                            </m:r>
                          </m:sub>
                        </m:sSub>
                        <m:d>
                          <m:dPr>
                            <m:ctrlPr>
                              <a:rPr lang="zh-CN" altLang="en-US" i="1">
                                <a:solidFill>
                                  <a:srgbClr val="000000"/>
                                </a:solidFill>
                                <a:latin typeface="Cambria Math" panose="02040503050406030204" pitchFamily="18" charset="0"/>
                              </a:rPr>
                            </m:ctrlPr>
                          </m:dPr>
                          <m:e>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𝐴</m:t>
                                </m:r>
                              </m:e>
                              <m:sub>
                                <m:r>
                                  <m:rPr>
                                    <m:sty m:val="p"/>
                                  </m:rPr>
                                  <a:rPr lang="zh-CN" altLang="en-US" i="0">
                                    <a:solidFill>
                                      <a:srgbClr val="000000"/>
                                    </a:solidFill>
                                    <a:latin typeface="Cambria Math" panose="02040503050406030204" pitchFamily="18" charset="0"/>
                                  </a:rPr>
                                  <m:t>s</m:t>
                                </m:r>
                              </m:sub>
                            </m:sSub>
                            <m:r>
                              <m:rPr>
                                <m:nor/>
                              </m:rPr>
                              <a:rPr lang="zh-CN" altLang="en-US" i="0">
                                <a:solidFill>
                                  <a:srgbClr val="000000"/>
                                </a:solidFill>
                                <a:latin typeface="Cambria Math" panose="02040503050406030204" pitchFamily="18" charset="0"/>
                              </a:rPr>
                              <m:t>+</m:t>
                            </m:r>
                            <m:r>
                              <m:rPr>
                                <m:nor/>
                              </m:rPr>
                              <a:rPr lang="zh-CN" altLang="en-US" i="0">
                                <a:solidFill>
                                  <a:srgbClr val="000000"/>
                                </a:solidFill>
                                <a:latin typeface="Cambria Math" panose="02040503050406030204" pitchFamily="18" charset="0"/>
                              </a:rPr>
                              <m:t>A</m:t>
                            </m:r>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m:t>
                                </m:r>
                              </m:e>
                              <m:sub>
                                <m:r>
                                  <m:rPr>
                                    <m:sty m:val="p"/>
                                  </m:rPr>
                                  <a:rPr lang="zh-CN" altLang="en-US" i="0">
                                    <a:solidFill>
                                      <a:srgbClr val="000000"/>
                                    </a:solidFill>
                                    <a:latin typeface="Cambria Math" panose="02040503050406030204" pitchFamily="18" charset="0"/>
                                  </a:rPr>
                                  <m:t>s</m:t>
                                </m:r>
                              </m:sub>
                            </m:sSub>
                          </m:e>
                        </m:d>
                        <m:r>
                          <a:rPr lang="zh-CN" altLang="en-US" i="1">
                            <a:solidFill>
                              <a:srgbClr val="000000"/>
                            </a:solidFill>
                            <a:latin typeface="Cambria Math" panose="02040503050406030204" pitchFamily="18" charset="0"/>
                          </a:rPr>
                          <m:t>−</m:t>
                        </m:r>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𝐴</m:t>
                            </m:r>
                          </m:e>
                          <m:sub>
                            <m:r>
                              <a:rPr lang="zh-CN" altLang="en-US" i="1">
                                <a:solidFill>
                                  <a:srgbClr val="000000"/>
                                </a:solidFill>
                                <a:latin typeface="Cambria Math" panose="02040503050406030204" pitchFamily="18" charset="0"/>
                              </a:rPr>
                              <m:t>𝑚</m:t>
                            </m:r>
                          </m:sub>
                        </m:sSub>
                      </m:den>
                    </m:f>
                    <m:r>
                      <a:rPr lang="zh-CN" altLang="en-US" i="1">
                        <a:solidFill>
                          <a:srgbClr val="000000"/>
                        </a:solidFill>
                        <a:latin typeface="Cambria Math" panose="02040503050406030204" pitchFamily="18" charset="0"/>
                      </a:rPr>
                      <m:t>=</m:t>
                    </m:r>
                  </m:oMath>
                </m:oMathPara>
              </a14:m>
              <a:endParaRPr lang="zh-CN" altLang="en-US"/>
            </a:p>
          </xdr:txBody>
        </xdr:sp>
      </mc:Choice>
      <mc:Fallback xmlns:r="http://schemas.openxmlformats.org/officeDocument/2006/relationships" xmlns="">
        <xdr:sp>
          <xdr:nvSpPr>
            <xdr:cNvPr id="15" name="Object 3"/>
            <xdr:cNvSpPr txBox="1"/>
          </xdr:nvSpPr>
          <xdr:spPr>
            <a:xfrm>
              <a:off x="3404235" y="40356790"/>
              <a:ext cx="5957570" cy="609600"/>
            </a:xfrm>
            <a:prstGeom prst="rect">
              <a:avLst/>
            </a:prstGeom>
          </xdr:spPr>
          <xdr:txBody>
            <a:bodyPr vertOverflow="clip" horzOverflow="clip" wrap="none">
              <a:spAutoFit/>
            </a:bodyPr>
            <a:lstStyle/>
            <a:p>
              <a:r>
                <a:rPr lang="zh-CN" altLang="en-US">
                  <a:solidFill>
                    <a:srgbClr val="000000"/>
                  </a:solidFill>
                  <a:latin typeface="Cambria Math" panose="02040503050406030204" pitchFamily="18" charset="0"/>
                </a:rPr>
                <a:t>𝑦</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𝑛</a:t>
              </a:r>
              <a:r>
                <a:rPr lang="zh-CN" altLang="en-US">
                  <a:solidFill>
                    <a:srgbClr val="000000"/>
                  </a:solidFill>
                  <a:latin typeface="Cambria Math" panose="02040503050406030204" pitchFamily="18" charset="0"/>
                </a:rPr>
                <a:t>1</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𝐴</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𝑐</a:t>
              </a:r>
              <a:r>
                <a:rPr lang="zh-CN" altLang="en-US">
                  <a:solidFill>
                    <a:srgbClr val="000000"/>
                  </a:solidFill>
                  <a:latin typeface="Cambria Math" panose="02040503050406030204" pitchFamily="18" charset="0"/>
                </a:rPr>
                <a:t>𝑦</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𝑐</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𝛼</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𝐸</a:t>
              </a:r>
              <a:r>
                <a:rPr lang="zh-CN" altLang="en-US">
                  <a:solidFill>
                    <a:srgbClr val="000000"/>
                  </a:solidFill>
                  <a:latin typeface="Cambria Math" panose="02040503050406030204" pitchFamily="18" charset="0"/>
                </a:rPr>
                <a:t>𝐴</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𝑠</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ℎ</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𝑎</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𝑠</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𝛼</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𝐸</a:t>
              </a:r>
              <a:r>
                <a:rPr lang="zh-CN" altLang="en-US">
                  <a:solidFill>
                    <a:srgbClr val="000000"/>
                  </a:solidFill>
                  <a:latin typeface="Cambria Math" panose="02040503050406030204" pitchFamily="18" charset="0"/>
                </a:rPr>
                <a:t>𝐴</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𝑠</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𝑎</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𝑠</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𝐴</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𝑘</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ℎ</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𝑎</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𝑝</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𝐴</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𝑘</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𝑎</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𝑝</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𝐴</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𝑐</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𝛼</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𝐸</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𝐴</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s</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s</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𝐴</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𝑚</a:t>
              </a:r>
              <a:r>
                <a:rPr lang="zh-CN" altLang="en-US">
                  <a:solidFill>
                    <a:srgbClr val="000000"/>
                  </a:solidFill>
                  <a:latin typeface="Cambria Math" panose="02040503050406030204" pitchFamily="18" charset="0"/>
                </a:rPr>
                <a:t>=</a:t>
              </a:r>
              <a:endParaRPr lang="zh-CN" altLang="en-US"/>
            </a:p>
          </xdr:txBody>
        </xdr:sp>
      </mc:Fallback>
    </mc:AlternateContent>
    <xdr:clientData/>
  </xdr:twoCellAnchor>
  <xdr:twoCellAnchor>
    <xdr:from>
      <xdr:col>7</xdr:col>
      <xdr:colOff>192571</xdr:colOff>
      <xdr:row>259</xdr:row>
      <xdr:rowOff>137906</xdr:rowOff>
    </xdr:from>
    <xdr:to>
      <xdr:col>8</xdr:col>
      <xdr:colOff>2199305</xdr:colOff>
      <xdr:row>262</xdr:row>
      <xdr:rowOff>17970</xdr:rowOff>
    </xdr:to>
    <mc:AlternateContent xmlns:mc="http://schemas.openxmlformats.org/markup-compatibility/2006" xmlns:a14="http://schemas.microsoft.com/office/drawing/2010/main">
      <mc:Choice Requires="a14">
        <xdr:sp macro="" textlink="">
          <xdr:nvSpPr>
            <xdr:cNvPr id="16" name="Object 10">
              <a:extLst>
                <a:ext uri="{FF2B5EF4-FFF2-40B4-BE49-F238E27FC236}">
                  <a16:creationId xmlns:a16="http://schemas.microsoft.com/office/drawing/2014/main" id="{00000000-0008-0000-0200-000010000000}"/>
                </a:ext>
              </a:extLst>
            </xdr:cNvPr>
            <xdr:cNvSpPr txBox="1"/>
          </xdr:nvSpPr>
          <xdr:spPr>
            <a:xfrm>
              <a:off x="10797540" y="50872390"/>
              <a:ext cx="3147060" cy="48768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𝑒</m:t>
                        </m:r>
                      </m:e>
                      <m:sub>
                        <m:r>
                          <a:rPr lang="zh-CN" altLang="en-US" i="1">
                            <a:solidFill>
                              <a:srgbClr val="000000"/>
                            </a:solidFill>
                            <a:latin typeface="Cambria Math" panose="02040503050406030204" pitchFamily="18" charset="0"/>
                          </a:rPr>
                          <m:t>𝑝𝑛</m:t>
                        </m:r>
                      </m:sub>
                    </m:sSub>
                    <m:r>
                      <a:rPr lang="zh-CN" altLang="en-US" i="1">
                        <a:solidFill>
                          <a:srgbClr val="000000"/>
                        </a:solidFill>
                        <a:latin typeface="Cambria Math" panose="02040503050406030204" pitchFamily="18" charset="0"/>
                      </a:rPr>
                      <m:t>=</m:t>
                    </m:r>
                    <m:f>
                      <m:fPr>
                        <m:ctrlPr>
                          <a:rPr lang="zh-CN" altLang="en-US" i="1">
                            <a:solidFill>
                              <a:srgbClr val="000000"/>
                            </a:solidFill>
                            <a:latin typeface="Cambria Math" panose="02040503050406030204" pitchFamily="18" charset="0"/>
                          </a:rPr>
                        </m:ctrlPr>
                      </m:fPr>
                      <m:num>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𝜎</m:t>
                            </m:r>
                          </m:e>
                          <m:sub>
                            <m:r>
                              <a:rPr lang="zh-CN" altLang="en-US" i="1">
                                <a:solidFill>
                                  <a:srgbClr val="000000"/>
                                </a:solidFill>
                                <a:latin typeface="Cambria Math" panose="02040503050406030204" pitchFamily="18" charset="0"/>
                              </a:rPr>
                              <m:t>𝑝𝑒</m:t>
                            </m:r>
                          </m:sub>
                        </m:sSub>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𝐴</m:t>
                            </m:r>
                          </m:e>
                          <m:sub>
                            <m:r>
                              <a:rPr lang="zh-CN" altLang="en-US" i="1">
                                <a:solidFill>
                                  <a:srgbClr val="000000"/>
                                </a:solidFill>
                                <a:latin typeface="Cambria Math" panose="02040503050406030204" pitchFamily="18" charset="0"/>
                              </a:rPr>
                              <m:t>𝑝</m:t>
                            </m:r>
                          </m:sub>
                        </m:sSub>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𝑦</m:t>
                            </m:r>
                          </m:e>
                          <m:sub>
                            <m:r>
                              <a:rPr lang="zh-CN" altLang="en-US" i="1">
                                <a:solidFill>
                                  <a:srgbClr val="000000"/>
                                </a:solidFill>
                                <a:latin typeface="Cambria Math" panose="02040503050406030204" pitchFamily="18" charset="0"/>
                              </a:rPr>
                              <m:t>𝑝𝑛</m:t>
                            </m:r>
                          </m:sub>
                        </m:sSub>
                        <m:r>
                          <a:rPr lang="zh-CN" altLang="en-US" i="1">
                            <a:solidFill>
                              <a:srgbClr val="000000"/>
                            </a:solidFill>
                            <a:latin typeface="Cambria Math" panose="02040503050406030204" pitchFamily="18" charset="0"/>
                          </a:rPr>
                          <m:t>−</m:t>
                        </m:r>
                        <m:sSubSup>
                          <m:sSubSupPr>
                            <m:ctrlPr>
                              <a:rPr lang="zh-CN" altLang="en-US" i="1">
                                <a:solidFill>
                                  <a:srgbClr val="000000"/>
                                </a:solidFill>
                                <a:latin typeface="Cambria Math" panose="02040503050406030204" pitchFamily="18" charset="0"/>
                              </a:rPr>
                            </m:ctrlPr>
                          </m:sSubSupPr>
                          <m:e>
                            <m:r>
                              <a:rPr lang="zh-CN" altLang="en-US" i="1">
                                <a:solidFill>
                                  <a:srgbClr val="000000"/>
                                </a:solidFill>
                                <a:latin typeface="Cambria Math" panose="02040503050406030204" pitchFamily="18" charset="0"/>
                              </a:rPr>
                              <m:t>𝜎</m:t>
                            </m:r>
                          </m:e>
                          <m:sub>
                            <m:r>
                              <a:rPr lang="zh-CN" altLang="en-US" i="1">
                                <a:solidFill>
                                  <a:srgbClr val="000000"/>
                                </a:solidFill>
                                <a:latin typeface="Cambria Math" panose="02040503050406030204" pitchFamily="18" charset="0"/>
                              </a:rPr>
                              <m:t>𝑝𝑒</m:t>
                            </m:r>
                          </m:sub>
                          <m:sup>
                            <m:r>
                              <a:rPr lang="zh-CN" altLang="en-US" i="1">
                                <a:solidFill>
                                  <a:srgbClr val="000000"/>
                                </a:solidFill>
                                <a:latin typeface="Cambria Math" panose="02040503050406030204" pitchFamily="18" charset="0"/>
                              </a:rPr>
                              <m:t>′</m:t>
                            </m:r>
                          </m:sup>
                        </m:sSubSup>
                        <m:sSubSup>
                          <m:sSubSupPr>
                            <m:ctrlPr>
                              <a:rPr lang="zh-CN" altLang="en-US" i="1">
                                <a:solidFill>
                                  <a:srgbClr val="000000"/>
                                </a:solidFill>
                                <a:latin typeface="Cambria Math" panose="02040503050406030204" pitchFamily="18" charset="0"/>
                              </a:rPr>
                            </m:ctrlPr>
                          </m:sSubSupPr>
                          <m:e>
                            <m:r>
                              <a:rPr lang="zh-CN" altLang="en-US" i="1">
                                <a:solidFill>
                                  <a:srgbClr val="000000"/>
                                </a:solidFill>
                                <a:latin typeface="Cambria Math" panose="02040503050406030204" pitchFamily="18" charset="0"/>
                              </a:rPr>
                              <m:t>𝐴</m:t>
                            </m:r>
                          </m:e>
                          <m:sub>
                            <m:r>
                              <a:rPr lang="zh-CN" altLang="en-US" i="1">
                                <a:solidFill>
                                  <a:srgbClr val="000000"/>
                                </a:solidFill>
                                <a:latin typeface="Cambria Math" panose="02040503050406030204" pitchFamily="18" charset="0"/>
                              </a:rPr>
                              <m:t>𝑝</m:t>
                            </m:r>
                          </m:sub>
                          <m:sup>
                            <m:r>
                              <a:rPr lang="zh-CN" altLang="en-US" i="1">
                                <a:solidFill>
                                  <a:srgbClr val="000000"/>
                                </a:solidFill>
                                <a:latin typeface="Cambria Math" panose="02040503050406030204" pitchFamily="18" charset="0"/>
                              </a:rPr>
                              <m:t>′</m:t>
                            </m:r>
                          </m:sup>
                        </m:sSubSup>
                        <m:sSubSup>
                          <m:sSubSupPr>
                            <m:ctrlPr>
                              <a:rPr lang="zh-CN" altLang="en-US" i="1">
                                <a:solidFill>
                                  <a:srgbClr val="000000"/>
                                </a:solidFill>
                                <a:latin typeface="Cambria Math" panose="02040503050406030204" pitchFamily="18" charset="0"/>
                              </a:rPr>
                            </m:ctrlPr>
                          </m:sSubSupPr>
                          <m:e>
                            <m:r>
                              <a:rPr lang="zh-CN" altLang="en-US" i="1">
                                <a:solidFill>
                                  <a:srgbClr val="000000"/>
                                </a:solidFill>
                                <a:latin typeface="Cambria Math" panose="02040503050406030204" pitchFamily="18" charset="0"/>
                              </a:rPr>
                              <m:t>𝑦</m:t>
                            </m:r>
                          </m:e>
                          <m:sub>
                            <m:r>
                              <a:rPr lang="zh-CN" altLang="en-US" i="1">
                                <a:solidFill>
                                  <a:srgbClr val="000000"/>
                                </a:solidFill>
                                <a:latin typeface="Cambria Math" panose="02040503050406030204" pitchFamily="18" charset="0"/>
                              </a:rPr>
                              <m:t>𝑝𝑛</m:t>
                            </m:r>
                          </m:sub>
                          <m:sup>
                            <m:r>
                              <a:rPr lang="zh-CN" altLang="en-US" i="1">
                                <a:solidFill>
                                  <a:srgbClr val="000000"/>
                                </a:solidFill>
                                <a:latin typeface="Cambria Math" panose="02040503050406030204" pitchFamily="18" charset="0"/>
                              </a:rPr>
                              <m:t>′</m:t>
                            </m:r>
                          </m:sup>
                        </m:sSubSup>
                        <m:r>
                          <a:rPr lang="zh-CN" altLang="en-US" i="1">
                            <a:solidFill>
                              <a:srgbClr val="000000"/>
                            </a:solidFill>
                            <a:latin typeface="Cambria Math" panose="02040503050406030204" pitchFamily="18" charset="0"/>
                          </a:rPr>
                          <m:t>−</m:t>
                        </m:r>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𝜎</m:t>
                            </m:r>
                          </m:e>
                          <m:sub>
                            <m:r>
                              <a:rPr lang="zh-CN" altLang="en-US" i="1">
                                <a:solidFill>
                                  <a:srgbClr val="000000"/>
                                </a:solidFill>
                                <a:latin typeface="Cambria Math" panose="02040503050406030204" pitchFamily="18" charset="0"/>
                              </a:rPr>
                              <m:t>𝑙</m:t>
                            </m:r>
                            <m:r>
                              <a:rPr lang="zh-CN" altLang="en-US" i="1">
                                <a:solidFill>
                                  <a:srgbClr val="000000"/>
                                </a:solidFill>
                                <a:latin typeface="Cambria Math" panose="02040503050406030204" pitchFamily="18" charset="0"/>
                              </a:rPr>
                              <m:t>5</m:t>
                            </m:r>
                          </m:sub>
                        </m:sSub>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𝐴</m:t>
                            </m:r>
                          </m:e>
                          <m:sub>
                            <m:r>
                              <a:rPr lang="zh-CN" altLang="en-US" i="1">
                                <a:solidFill>
                                  <a:srgbClr val="000000"/>
                                </a:solidFill>
                                <a:latin typeface="Cambria Math" panose="02040503050406030204" pitchFamily="18" charset="0"/>
                              </a:rPr>
                              <m:t>𝑠</m:t>
                            </m:r>
                          </m:sub>
                        </m:sSub>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𝑦</m:t>
                            </m:r>
                          </m:e>
                          <m:sub>
                            <m:r>
                              <a:rPr lang="zh-CN" altLang="en-US" i="1">
                                <a:solidFill>
                                  <a:srgbClr val="000000"/>
                                </a:solidFill>
                                <a:latin typeface="Cambria Math" panose="02040503050406030204" pitchFamily="18" charset="0"/>
                              </a:rPr>
                              <m:t>𝑠𝑛</m:t>
                            </m:r>
                          </m:sub>
                        </m:sSub>
                        <m:r>
                          <a:rPr lang="zh-CN" altLang="en-US" i="1">
                            <a:solidFill>
                              <a:srgbClr val="000000"/>
                            </a:solidFill>
                            <a:latin typeface="Cambria Math" panose="02040503050406030204" pitchFamily="18" charset="0"/>
                          </a:rPr>
                          <m:t>+</m:t>
                        </m:r>
                        <m:sSubSup>
                          <m:sSubSupPr>
                            <m:ctrlPr>
                              <a:rPr lang="zh-CN" altLang="en-US" i="1">
                                <a:solidFill>
                                  <a:srgbClr val="000000"/>
                                </a:solidFill>
                                <a:latin typeface="Cambria Math" panose="02040503050406030204" pitchFamily="18" charset="0"/>
                              </a:rPr>
                            </m:ctrlPr>
                          </m:sSubSupPr>
                          <m:e>
                            <m:r>
                              <a:rPr lang="zh-CN" altLang="en-US" i="1">
                                <a:solidFill>
                                  <a:srgbClr val="000000"/>
                                </a:solidFill>
                                <a:latin typeface="Cambria Math" panose="02040503050406030204" pitchFamily="18" charset="0"/>
                              </a:rPr>
                              <m:t>𝜎</m:t>
                            </m:r>
                          </m:e>
                          <m:sub>
                            <m:r>
                              <a:rPr lang="zh-CN" altLang="en-US" i="1">
                                <a:solidFill>
                                  <a:srgbClr val="000000"/>
                                </a:solidFill>
                                <a:latin typeface="Cambria Math" panose="02040503050406030204" pitchFamily="18" charset="0"/>
                              </a:rPr>
                              <m:t>𝑙</m:t>
                            </m:r>
                            <m:r>
                              <a:rPr lang="zh-CN" altLang="en-US" i="1">
                                <a:solidFill>
                                  <a:srgbClr val="000000"/>
                                </a:solidFill>
                                <a:latin typeface="Cambria Math" panose="02040503050406030204" pitchFamily="18" charset="0"/>
                              </a:rPr>
                              <m:t>5</m:t>
                            </m:r>
                          </m:sub>
                          <m:sup>
                            <m:r>
                              <a:rPr lang="zh-CN" altLang="en-US" i="1">
                                <a:solidFill>
                                  <a:srgbClr val="000000"/>
                                </a:solidFill>
                                <a:latin typeface="Cambria Math" panose="02040503050406030204" pitchFamily="18" charset="0"/>
                              </a:rPr>
                              <m:t>′</m:t>
                            </m:r>
                          </m:sup>
                        </m:sSubSup>
                        <m:sSubSup>
                          <m:sSubSupPr>
                            <m:ctrlPr>
                              <a:rPr lang="zh-CN" altLang="en-US" i="1">
                                <a:solidFill>
                                  <a:srgbClr val="000000"/>
                                </a:solidFill>
                                <a:latin typeface="Cambria Math" panose="02040503050406030204" pitchFamily="18" charset="0"/>
                              </a:rPr>
                            </m:ctrlPr>
                          </m:sSubSupPr>
                          <m:e>
                            <m:r>
                              <a:rPr lang="zh-CN" altLang="en-US" i="1">
                                <a:solidFill>
                                  <a:srgbClr val="000000"/>
                                </a:solidFill>
                                <a:latin typeface="Cambria Math" panose="02040503050406030204" pitchFamily="18" charset="0"/>
                              </a:rPr>
                              <m:t>𝐴</m:t>
                            </m:r>
                          </m:e>
                          <m:sub>
                            <m:r>
                              <a:rPr lang="zh-CN" altLang="en-US" i="1">
                                <a:solidFill>
                                  <a:srgbClr val="000000"/>
                                </a:solidFill>
                                <a:latin typeface="Cambria Math" panose="02040503050406030204" pitchFamily="18" charset="0"/>
                              </a:rPr>
                              <m:t>𝑠</m:t>
                            </m:r>
                          </m:sub>
                          <m:sup>
                            <m:r>
                              <a:rPr lang="zh-CN" altLang="en-US" i="1">
                                <a:solidFill>
                                  <a:srgbClr val="000000"/>
                                </a:solidFill>
                                <a:latin typeface="Cambria Math" panose="02040503050406030204" pitchFamily="18" charset="0"/>
                              </a:rPr>
                              <m:t>′</m:t>
                            </m:r>
                          </m:sup>
                        </m:sSubSup>
                        <m:sSubSup>
                          <m:sSubSupPr>
                            <m:ctrlPr>
                              <a:rPr lang="zh-CN" altLang="en-US" i="1">
                                <a:solidFill>
                                  <a:srgbClr val="000000"/>
                                </a:solidFill>
                                <a:latin typeface="Cambria Math" panose="02040503050406030204" pitchFamily="18" charset="0"/>
                              </a:rPr>
                            </m:ctrlPr>
                          </m:sSubSupPr>
                          <m:e>
                            <m:r>
                              <a:rPr lang="zh-CN" altLang="en-US" i="1">
                                <a:solidFill>
                                  <a:srgbClr val="000000"/>
                                </a:solidFill>
                                <a:latin typeface="Cambria Math" panose="02040503050406030204" pitchFamily="18" charset="0"/>
                              </a:rPr>
                              <m:t>𝑦</m:t>
                            </m:r>
                          </m:e>
                          <m:sub>
                            <m:r>
                              <a:rPr lang="zh-CN" altLang="en-US" i="1">
                                <a:solidFill>
                                  <a:srgbClr val="000000"/>
                                </a:solidFill>
                                <a:latin typeface="Cambria Math" panose="02040503050406030204" pitchFamily="18" charset="0"/>
                              </a:rPr>
                              <m:t>𝑠𝑛</m:t>
                            </m:r>
                          </m:sub>
                          <m:sup>
                            <m:r>
                              <a:rPr lang="zh-CN" altLang="en-US" i="1">
                                <a:solidFill>
                                  <a:srgbClr val="000000"/>
                                </a:solidFill>
                                <a:latin typeface="Cambria Math" panose="02040503050406030204" pitchFamily="18" charset="0"/>
                              </a:rPr>
                              <m:t>′</m:t>
                            </m:r>
                          </m:sup>
                        </m:sSubSup>
                      </m:num>
                      <m:den>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𝜎</m:t>
                            </m:r>
                          </m:e>
                          <m:sub>
                            <m:r>
                              <a:rPr lang="zh-CN" altLang="en-US" i="1">
                                <a:solidFill>
                                  <a:srgbClr val="000000"/>
                                </a:solidFill>
                                <a:latin typeface="Cambria Math" panose="02040503050406030204" pitchFamily="18" charset="0"/>
                              </a:rPr>
                              <m:t>𝑝𝑒</m:t>
                            </m:r>
                          </m:sub>
                        </m:sSub>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𝐴</m:t>
                            </m:r>
                          </m:e>
                          <m:sub>
                            <m:r>
                              <a:rPr lang="zh-CN" altLang="en-US" i="1">
                                <a:solidFill>
                                  <a:srgbClr val="000000"/>
                                </a:solidFill>
                                <a:latin typeface="Cambria Math" panose="02040503050406030204" pitchFamily="18" charset="0"/>
                              </a:rPr>
                              <m:t>𝑝</m:t>
                            </m:r>
                          </m:sub>
                        </m:sSub>
                        <m:r>
                          <a:rPr lang="zh-CN" altLang="en-US" i="1">
                            <a:solidFill>
                              <a:srgbClr val="000000"/>
                            </a:solidFill>
                            <a:latin typeface="Cambria Math" panose="02040503050406030204" pitchFamily="18" charset="0"/>
                          </a:rPr>
                          <m:t>+</m:t>
                        </m:r>
                        <m:sSubSup>
                          <m:sSubSupPr>
                            <m:ctrlPr>
                              <a:rPr lang="zh-CN" altLang="en-US" i="1">
                                <a:solidFill>
                                  <a:srgbClr val="000000"/>
                                </a:solidFill>
                                <a:latin typeface="Cambria Math" panose="02040503050406030204" pitchFamily="18" charset="0"/>
                              </a:rPr>
                            </m:ctrlPr>
                          </m:sSubSupPr>
                          <m:e>
                            <m:r>
                              <a:rPr lang="zh-CN" altLang="en-US" i="1">
                                <a:solidFill>
                                  <a:srgbClr val="000000"/>
                                </a:solidFill>
                                <a:latin typeface="Cambria Math" panose="02040503050406030204" pitchFamily="18" charset="0"/>
                              </a:rPr>
                              <m:t>𝜎</m:t>
                            </m:r>
                          </m:e>
                          <m:sub>
                            <m:r>
                              <a:rPr lang="zh-CN" altLang="en-US" i="1">
                                <a:solidFill>
                                  <a:srgbClr val="000000"/>
                                </a:solidFill>
                                <a:latin typeface="Cambria Math" panose="02040503050406030204" pitchFamily="18" charset="0"/>
                              </a:rPr>
                              <m:t>𝑝𝑒</m:t>
                            </m:r>
                          </m:sub>
                          <m:sup>
                            <m:r>
                              <a:rPr lang="zh-CN" altLang="en-US" i="1">
                                <a:solidFill>
                                  <a:srgbClr val="000000"/>
                                </a:solidFill>
                                <a:latin typeface="Cambria Math" panose="02040503050406030204" pitchFamily="18" charset="0"/>
                              </a:rPr>
                              <m:t>′</m:t>
                            </m:r>
                          </m:sup>
                        </m:sSubSup>
                        <m:sSubSup>
                          <m:sSubSupPr>
                            <m:ctrlPr>
                              <a:rPr lang="zh-CN" altLang="en-US" i="1">
                                <a:solidFill>
                                  <a:srgbClr val="000000"/>
                                </a:solidFill>
                                <a:latin typeface="Cambria Math" panose="02040503050406030204" pitchFamily="18" charset="0"/>
                              </a:rPr>
                            </m:ctrlPr>
                          </m:sSubSupPr>
                          <m:e>
                            <m:r>
                              <a:rPr lang="zh-CN" altLang="en-US" i="1">
                                <a:solidFill>
                                  <a:srgbClr val="000000"/>
                                </a:solidFill>
                                <a:latin typeface="Cambria Math" panose="02040503050406030204" pitchFamily="18" charset="0"/>
                              </a:rPr>
                              <m:t>𝐴</m:t>
                            </m:r>
                          </m:e>
                          <m:sub>
                            <m:r>
                              <a:rPr lang="zh-CN" altLang="en-US" i="1">
                                <a:solidFill>
                                  <a:srgbClr val="000000"/>
                                </a:solidFill>
                                <a:latin typeface="Cambria Math" panose="02040503050406030204" pitchFamily="18" charset="0"/>
                              </a:rPr>
                              <m:t>𝑝</m:t>
                            </m:r>
                          </m:sub>
                          <m:sup>
                            <m:r>
                              <a:rPr lang="zh-CN" altLang="en-US" i="1">
                                <a:solidFill>
                                  <a:srgbClr val="000000"/>
                                </a:solidFill>
                                <a:latin typeface="Cambria Math" panose="02040503050406030204" pitchFamily="18" charset="0"/>
                              </a:rPr>
                              <m:t>′</m:t>
                            </m:r>
                          </m:sup>
                        </m:sSubSup>
                        <m:r>
                          <a:rPr lang="zh-CN" altLang="en-US" i="1">
                            <a:solidFill>
                              <a:srgbClr val="000000"/>
                            </a:solidFill>
                            <a:latin typeface="Cambria Math" panose="02040503050406030204" pitchFamily="18" charset="0"/>
                          </a:rPr>
                          <m:t>−</m:t>
                        </m:r>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𝜎</m:t>
                            </m:r>
                          </m:e>
                          <m:sub>
                            <m:r>
                              <a:rPr lang="zh-CN" altLang="en-US" i="1">
                                <a:solidFill>
                                  <a:srgbClr val="000000"/>
                                </a:solidFill>
                                <a:latin typeface="Cambria Math" panose="02040503050406030204" pitchFamily="18" charset="0"/>
                              </a:rPr>
                              <m:t>𝑙</m:t>
                            </m:r>
                            <m:r>
                              <a:rPr lang="zh-CN" altLang="en-US" i="1">
                                <a:solidFill>
                                  <a:srgbClr val="000000"/>
                                </a:solidFill>
                                <a:latin typeface="Cambria Math" panose="02040503050406030204" pitchFamily="18" charset="0"/>
                              </a:rPr>
                              <m:t>5</m:t>
                            </m:r>
                          </m:sub>
                        </m:sSub>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𝐴</m:t>
                            </m:r>
                          </m:e>
                          <m:sub>
                            <m:r>
                              <a:rPr lang="zh-CN" altLang="en-US" i="1">
                                <a:solidFill>
                                  <a:srgbClr val="000000"/>
                                </a:solidFill>
                                <a:latin typeface="Cambria Math" panose="02040503050406030204" pitchFamily="18" charset="0"/>
                              </a:rPr>
                              <m:t>𝑠</m:t>
                            </m:r>
                          </m:sub>
                        </m:sSub>
                        <m:r>
                          <a:rPr lang="zh-CN" altLang="en-US" i="1">
                            <a:solidFill>
                              <a:srgbClr val="000000"/>
                            </a:solidFill>
                            <a:latin typeface="Cambria Math" panose="02040503050406030204" pitchFamily="18" charset="0"/>
                          </a:rPr>
                          <m:t>−</m:t>
                        </m:r>
                        <m:sSubSup>
                          <m:sSubSupPr>
                            <m:ctrlPr>
                              <a:rPr lang="zh-CN" altLang="en-US" i="1">
                                <a:solidFill>
                                  <a:srgbClr val="000000"/>
                                </a:solidFill>
                                <a:latin typeface="Cambria Math" panose="02040503050406030204" pitchFamily="18" charset="0"/>
                              </a:rPr>
                            </m:ctrlPr>
                          </m:sSubSupPr>
                          <m:e>
                            <m:r>
                              <a:rPr lang="zh-CN" altLang="en-US" i="1">
                                <a:solidFill>
                                  <a:srgbClr val="000000"/>
                                </a:solidFill>
                                <a:latin typeface="Cambria Math" panose="02040503050406030204" pitchFamily="18" charset="0"/>
                              </a:rPr>
                              <m:t>𝜎</m:t>
                            </m:r>
                          </m:e>
                          <m:sub>
                            <m:r>
                              <a:rPr lang="zh-CN" altLang="en-US" i="1">
                                <a:solidFill>
                                  <a:srgbClr val="000000"/>
                                </a:solidFill>
                                <a:latin typeface="Cambria Math" panose="02040503050406030204" pitchFamily="18" charset="0"/>
                              </a:rPr>
                              <m:t>𝑙</m:t>
                            </m:r>
                            <m:r>
                              <a:rPr lang="zh-CN" altLang="en-US" i="1">
                                <a:solidFill>
                                  <a:srgbClr val="000000"/>
                                </a:solidFill>
                                <a:latin typeface="Cambria Math" panose="02040503050406030204" pitchFamily="18" charset="0"/>
                              </a:rPr>
                              <m:t>5</m:t>
                            </m:r>
                          </m:sub>
                          <m:sup>
                            <m:r>
                              <a:rPr lang="zh-CN" altLang="en-US" i="1">
                                <a:solidFill>
                                  <a:srgbClr val="000000"/>
                                </a:solidFill>
                                <a:latin typeface="Cambria Math" panose="02040503050406030204" pitchFamily="18" charset="0"/>
                              </a:rPr>
                              <m:t>′</m:t>
                            </m:r>
                          </m:sup>
                        </m:sSubSup>
                        <m:sSubSup>
                          <m:sSubSupPr>
                            <m:ctrlPr>
                              <a:rPr lang="zh-CN" altLang="en-US" i="1">
                                <a:solidFill>
                                  <a:srgbClr val="000000"/>
                                </a:solidFill>
                                <a:latin typeface="Cambria Math" panose="02040503050406030204" pitchFamily="18" charset="0"/>
                              </a:rPr>
                            </m:ctrlPr>
                          </m:sSubSupPr>
                          <m:e>
                            <m:r>
                              <a:rPr lang="zh-CN" altLang="en-US" i="1">
                                <a:solidFill>
                                  <a:srgbClr val="000000"/>
                                </a:solidFill>
                                <a:latin typeface="Cambria Math" panose="02040503050406030204" pitchFamily="18" charset="0"/>
                              </a:rPr>
                              <m:t>𝐴</m:t>
                            </m:r>
                          </m:e>
                          <m:sub>
                            <m:r>
                              <a:rPr lang="zh-CN" altLang="en-US" i="1">
                                <a:solidFill>
                                  <a:srgbClr val="000000"/>
                                </a:solidFill>
                                <a:latin typeface="Cambria Math" panose="02040503050406030204" pitchFamily="18" charset="0"/>
                              </a:rPr>
                              <m:t>𝑠</m:t>
                            </m:r>
                          </m:sub>
                          <m:sup>
                            <m:r>
                              <a:rPr lang="zh-CN" altLang="en-US" i="1">
                                <a:solidFill>
                                  <a:srgbClr val="000000"/>
                                </a:solidFill>
                                <a:latin typeface="Cambria Math" panose="02040503050406030204" pitchFamily="18" charset="0"/>
                              </a:rPr>
                              <m:t>′</m:t>
                            </m:r>
                          </m:sup>
                        </m:sSubSup>
                      </m:den>
                    </m:f>
                  </m:oMath>
                </m:oMathPara>
              </a14:m>
              <a:endParaRPr lang="zh-CN" altLang="en-US"/>
            </a:p>
          </xdr:txBody>
        </xdr:sp>
      </mc:Choice>
      <mc:Fallback xmlns:r="http://schemas.openxmlformats.org/officeDocument/2006/relationships" xmlns="">
        <xdr:sp>
          <xdr:nvSpPr>
            <xdr:cNvPr id="16" name="Object 10"/>
            <xdr:cNvSpPr txBox="1"/>
          </xdr:nvSpPr>
          <xdr:spPr>
            <a:xfrm>
              <a:off x="10797540" y="50872390"/>
              <a:ext cx="3147060" cy="487680"/>
            </a:xfrm>
            <a:prstGeom prst="rect">
              <a:avLst/>
            </a:prstGeom>
          </xdr:spPr>
          <xdr:txBody>
            <a:bodyPr vertOverflow="clip" horzOverflow="clip" wrap="none">
              <a:spAutoFit/>
            </a:bodyPr>
            <a:lstStyle/>
            <a:p>
              <a:r>
                <a:rPr lang="zh-CN" altLang="en-US">
                  <a:solidFill>
                    <a:srgbClr val="000000"/>
                  </a:solidFill>
                  <a:latin typeface="Cambria Math" panose="02040503050406030204" pitchFamily="18" charset="0"/>
                </a:rPr>
                <a:t>𝑒</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𝑝𝑛</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𝜎</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𝑝𝑒</a:t>
              </a:r>
              <a:r>
                <a:rPr lang="zh-CN" altLang="en-US">
                  <a:solidFill>
                    <a:srgbClr val="000000"/>
                  </a:solidFill>
                  <a:latin typeface="Cambria Math" panose="02040503050406030204" pitchFamily="18" charset="0"/>
                </a:rPr>
                <a:t>𝐴</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𝑝</a:t>
              </a:r>
              <a:r>
                <a:rPr lang="zh-CN" altLang="en-US">
                  <a:solidFill>
                    <a:srgbClr val="000000"/>
                  </a:solidFill>
                  <a:latin typeface="Cambria Math" panose="02040503050406030204" pitchFamily="18" charset="0"/>
                </a:rPr>
                <a:t>𝑦</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𝑝𝑛</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𝜎</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𝑝𝑒</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𝐴</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𝑝</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𝑦</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𝑝𝑛</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𝜎</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𝑙</a:t>
              </a:r>
              <a:r>
                <a:rPr lang="zh-CN" altLang="en-US">
                  <a:solidFill>
                    <a:srgbClr val="000000"/>
                  </a:solidFill>
                  <a:latin typeface="Cambria Math" panose="02040503050406030204" pitchFamily="18" charset="0"/>
                </a:rPr>
                <a:t>5</a:t>
              </a:r>
              <a:r>
                <a:rPr lang="zh-CN" altLang="en-US">
                  <a:solidFill>
                    <a:srgbClr val="000000"/>
                  </a:solidFill>
                  <a:latin typeface="Cambria Math" panose="02040503050406030204" pitchFamily="18" charset="0"/>
                </a:rPr>
                <a:t>𝐴</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𝑠</a:t>
              </a:r>
              <a:r>
                <a:rPr lang="zh-CN" altLang="en-US">
                  <a:solidFill>
                    <a:srgbClr val="000000"/>
                  </a:solidFill>
                  <a:latin typeface="Cambria Math" panose="02040503050406030204" pitchFamily="18" charset="0"/>
                </a:rPr>
                <a:t>𝑦</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𝑠𝑛</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𝜎</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𝑙</a:t>
              </a:r>
              <a:r>
                <a:rPr lang="zh-CN" altLang="en-US">
                  <a:solidFill>
                    <a:srgbClr val="000000"/>
                  </a:solidFill>
                  <a:latin typeface="Cambria Math" panose="02040503050406030204" pitchFamily="18" charset="0"/>
                </a:rPr>
                <a:t>5</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𝐴</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𝑠</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𝑦</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𝑠𝑛</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𝜎</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𝑝𝑒</a:t>
              </a:r>
              <a:r>
                <a:rPr lang="zh-CN" altLang="en-US">
                  <a:solidFill>
                    <a:srgbClr val="000000"/>
                  </a:solidFill>
                  <a:latin typeface="Cambria Math" panose="02040503050406030204" pitchFamily="18" charset="0"/>
                </a:rPr>
                <a:t>𝐴</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𝑝</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𝜎</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𝑝𝑒</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𝐴</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𝑝</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𝜎</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𝑙</a:t>
              </a:r>
              <a:r>
                <a:rPr lang="zh-CN" altLang="en-US">
                  <a:solidFill>
                    <a:srgbClr val="000000"/>
                  </a:solidFill>
                  <a:latin typeface="Cambria Math" panose="02040503050406030204" pitchFamily="18" charset="0"/>
                </a:rPr>
                <a:t>5</a:t>
              </a:r>
              <a:r>
                <a:rPr lang="zh-CN" altLang="en-US">
                  <a:solidFill>
                    <a:srgbClr val="000000"/>
                  </a:solidFill>
                  <a:latin typeface="Cambria Math" panose="02040503050406030204" pitchFamily="18" charset="0"/>
                </a:rPr>
                <a:t>𝐴</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𝑠</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𝜎</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𝑙</a:t>
              </a:r>
              <a:r>
                <a:rPr lang="zh-CN" altLang="en-US">
                  <a:solidFill>
                    <a:srgbClr val="000000"/>
                  </a:solidFill>
                  <a:latin typeface="Cambria Math" panose="02040503050406030204" pitchFamily="18" charset="0"/>
                </a:rPr>
                <a:t>5</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𝐴</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𝑠</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endParaRPr lang="zh-CN" altLang="en-US"/>
            </a:p>
          </xdr:txBody>
        </xdr:sp>
      </mc:Fallback>
    </mc:AlternateContent>
    <xdr:clientData/>
  </xdr:twoCellAnchor>
  <xdr:twoCellAnchor>
    <xdr:from>
      <xdr:col>2</xdr:col>
      <xdr:colOff>1381125</xdr:colOff>
      <xdr:row>286</xdr:row>
      <xdr:rowOff>19050</xdr:rowOff>
    </xdr:from>
    <xdr:to>
      <xdr:col>2</xdr:col>
      <xdr:colOff>2890631</xdr:colOff>
      <xdr:row>289</xdr:row>
      <xdr:rowOff>96449</xdr:rowOff>
    </xdr:to>
    <mc:AlternateContent xmlns:mc="http://schemas.openxmlformats.org/markup-compatibility/2006" xmlns:a14="http://schemas.microsoft.com/office/drawing/2010/main">
      <mc:Choice Requires="a14">
        <xdr:sp macro="" textlink="">
          <xdr:nvSpPr>
            <xdr:cNvPr id="17" name="Object 22">
              <a:extLst>
                <a:ext uri="{FF2B5EF4-FFF2-40B4-BE49-F238E27FC236}">
                  <a16:creationId xmlns:a16="http://schemas.microsoft.com/office/drawing/2014/main" id="{00000000-0008-0000-0200-000011000000}"/>
                </a:ext>
              </a:extLst>
            </xdr:cNvPr>
            <xdr:cNvSpPr txBox="1"/>
          </xdr:nvSpPr>
          <xdr:spPr>
            <a:xfrm>
              <a:off x="3661410" y="56221630"/>
              <a:ext cx="1508125" cy="625475"/>
            </a:xfrm>
            <a:prstGeom prst="rect">
              <a:avLst/>
            </a:prstGeom>
          </xdr:spPr>
          <xdr:txBody>
            <a:bodyPr vertOverflow="clip" horzOverflow="clip" wrap="square">
              <a:spAutoFit/>
            </a:bodyPr>
            <a:lstStyle/>
            <a:p>
              <a:pPr/>
              <a14:m>
                <m:oMathPara xmlns:m="http://schemas.openxmlformats.org/officeDocument/2006/math">
                  <m:oMathParaPr>
                    <m:jc m:val="left"/>
                  </m:oMathParaPr>
                  <m:oMath xmlns:m="http://schemas.openxmlformats.org/officeDocument/2006/math">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𝜉</m:t>
                        </m:r>
                      </m:e>
                      <m:sub>
                        <m:r>
                          <a:rPr lang="zh-CN" altLang="en-US" i="1">
                            <a:solidFill>
                              <a:srgbClr val="000000"/>
                            </a:solidFill>
                            <a:latin typeface="Cambria Math" panose="02040503050406030204" pitchFamily="18" charset="0"/>
                          </a:rPr>
                          <m:t>𝑏</m:t>
                        </m:r>
                      </m:sub>
                    </m:sSub>
                    <m:r>
                      <a:rPr lang="zh-CN" altLang="en-US" i="1">
                        <a:solidFill>
                          <a:srgbClr val="000000"/>
                        </a:solidFill>
                        <a:latin typeface="Cambria Math" panose="02040503050406030204" pitchFamily="18" charset="0"/>
                      </a:rPr>
                      <m:t>=</m:t>
                    </m:r>
                    <m:f>
                      <m:fPr>
                        <m:ctrlPr>
                          <a:rPr lang="zh-CN" altLang="en-US" i="1">
                            <a:solidFill>
                              <a:srgbClr val="000000"/>
                            </a:solidFill>
                            <a:latin typeface="Cambria Math" panose="02040503050406030204" pitchFamily="18" charset="0"/>
                          </a:rPr>
                        </m:ctrlPr>
                      </m:fPr>
                      <m:num>
                        <m:r>
                          <a:rPr lang="zh-CN" altLang="en-US" i="1">
                            <a:solidFill>
                              <a:srgbClr val="000000"/>
                            </a:solidFill>
                            <a:latin typeface="Cambria Math" panose="02040503050406030204" pitchFamily="18" charset="0"/>
                          </a:rPr>
                          <m:t>0.8</m:t>
                        </m:r>
                      </m:num>
                      <m:den>
                        <m:r>
                          <a:rPr lang="zh-CN" altLang="en-US" i="1">
                            <a:solidFill>
                              <a:srgbClr val="000000"/>
                            </a:solidFill>
                            <a:latin typeface="Cambria Math" panose="02040503050406030204" pitchFamily="18" charset="0"/>
                          </a:rPr>
                          <m:t>1.6+</m:t>
                        </m:r>
                        <m:f>
                          <m:fPr>
                            <m:ctrlPr>
                              <a:rPr lang="zh-CN" altLang="en-US" i="1">
                                <a:solidFill>
                                  <a:srgbClr val="000000"/>
                                </a:solidFill>
                                <a:latin typeface="Cambria Math" panose="02040503050406030204" pitchFamily="18" charset="0"/>
                              </a:rPr>
                            </m:ctrlPr>
                          </m:fPr>
                          <m:num>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𝑓</m:t>
                                </m:r>
                              </m:e>
                              <m:sub>
                                <m:r>
                                  <a:rPr lang="zh-CN" altLang="en-US" i="1">
                                    <a:solidFill>
                                      <a:srgbClr val="000000"/>
                                    </a:solidFill>
                                    <a:latin typeface="Cambria Math" panose="02040503050406030204" pitchFamily="18" charset="0"/>
                                  </a:rPr>
                                  <m:t>𝑝𝑦</m:t>
                                </m:r>
                              </m:sub>
                            </m:sSub>
                            <m:r>
                              <a:rPr lang="zh-CN" altLang="en-US" i="1">
                                <a:solidFill>
                                  <a:srgbClr val="000000"/>
                                </a:solidFill>
                                <a:latin typeface="Cambria Math" panose="02040503050406030204" pitchFamily="18" charset="0"/>
                              </a:rPr>
                              <m:t>−</m:t>
                            </m:r>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𝜎</m:t>
                                </m:r>
                              </m:e>
                              <m:sub>
                                <m:r>
                                  <a:rPr lang="zh-CN" altLang="en-US" i="1">
                                    <a:solidFill>
                                      <a:srgbClr val="000000"/>
                                    </a:solidFill>
                                    <a:latin typeface="Cambria Math" panose="02040503050406030204" pitchFamily="18" charset="0"/>
                                  </a:rPr>
                                  <m:t>𝑝</m:t>
                                </m:r>
                                <m:r>
                                  <a:rPr lang="zh-CN" altLang="en-US" i="1">
                                    <a:solidFill>
                                      <a:srgbClr val="000000"/>
                                    </a:solidFill>
                                    <a:latin typeface="Cambria Math" panose="02040503050406030204" pitchFamily="18" charset="0"/>
                                  </a:rPr>
                                  <m:t>0</m:t>
                                </m:r>
                              </m:sub>
                            </m:sSub>
                          </m:num>
                          <m:den>
                            <m:r>
                              <a:rPr lang="zh-CN" altLang="en-US" i="1">
                                <a:solidFill>
                                  <a:srgbClr val="000000"/>
                                </a:solidFill>
                                <a:latin typeface="Cambria Math" panose="02040503050406030204" pitchFamily="18" charset="0"/>
                              </a:rPr>
                              <m:t>0.0033</m:t>
                            </m:r>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𝐸</m:t>
                                </m:r>
                              </m:e>
                              <m:sub>
                                <m:r>
                                  <a:rPr lang="zh-CN" altLang="en-US" i="1">
                                    <a:solidFill>
                                      <a:srgbClr val="000000"/>
                                    </a:solidFill>
                                    <a:latin typeface="Cambria Math" panose="02040503050406030204" pitchFamily="18" charset="0"/>
                                  </a:rPr>
                                  <m:t>𝑠</m:t>
                                </m:r>
                              </m:sub>
                            </m:sSub>
                          </m:den>
                        </m:f>
                      </m:den>
                    </m:f>
                  </m:oMath>
                </m:oMathPara>
              </a14:m>
              <a:endParaRPr lang="zh-CN" altLang="en-US"/>
            </a:p>
          </xdr:txBody>
        </xdr:sp>
      </mc:Choice>
      <mc:Fallback xmlns:r="http://schemas.openxmlformats.org/officeDocument/2006/relationships" xmlns="">
        <xdr:sp>
          <xdr:nvSpPr>
            <xdr:cNvPr id="17" name="Object 22"/>
            <xdr:cNvSpPr txBox="1"/>
          </xdr:nvSpPr>
          <xdr:spPr>
            <a:xfrm>
              <a:off x="3661410" y="56221630"/>
              <a:ext cx="1508125" cy="625475"/>
            </a:xfrm>
            <a:prstGeom prst="rect">
              <a:avLst/>
            </a:prstGeom>
          </xdr:spPr>
          <xdr:txBody>
            <a:bodyPr vertOverflow="clip" horzOverflow="clip" wrap="square">
              <a:spAutoFit/>
            </a:bodyPr>
            <a:lstStyle/>
            <a:p>
              <a:r>
                <a:rPr lang="zh-CN" altLang="en-US">
                  <a:solidFill>
                    <a:srgbClr val="000000"/>
                  </a:solidFill>
                  <a:latin typeface="Cambria Math" panose="02040503050406030204" pitchFamily="18" charset="0"/>
                </a:rPr>
                <a:t>𝜉</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𝑏</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0</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8</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1</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6</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𝑓</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𝑝𝑦</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𝜎</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𝑝</a:t>
              </a:r>
              <a:r>
                <a:rPr lang="zh-CN" altLang="en-US">
                  <a:solidFill>
                    <a:srgbClr val="000000"/>
                  </a:solidFill>
                  <a:latin typeface="Cambria Math" panose="02040503050406030204" pitchFamily="18" charset="0"/>
                </a:rPr>
                <a:t>0</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0</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0033</a:t>
              </a:r>
              <a:r>
                <a:rPr lang="zh-CN" altLang="en-US">
                  <a:solidFill>
                    <a:srgbClr val="000000"/>
                  </a:solidFill>
                  <a:latin typeface="Cambria Math" panose="02040503050406030204" pitchFamily="18" charset="0"/>
                </a:rPr>
                <a:t>𝐸</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𝑠</a:t>
              </a:r>
              <a:endParaRPr lang="zh-CN" altLang="en-US"/>
            </a:p>
          </xdr:txBody>
        </xdr:sp>
      </mc:Fallback>
    </mc:AlternateContent>
    <xdr:clientData/>
  </xdr:twoCellAnchor>
  <xdr:twoCellAnchor>
    <xdr:from>
      <xdr:col>2</xdr:col>
      <xdr:colOff>752475</xdr:colOff>
      <xdr:row>298</xdr:row>
      <xdr:rowOff>9525</xdr:rowOff>
    </xdr:from>
    <xdr:to>
      <xdr:col>2</xdr:col>
      <xdr:colOff>1902020</xdr:colOff>
      <xdr:row>299</xdr:row>
      <xdr:rowOff>44598</xdr:rowOff>
    </xdr:to>
    <mc:AlternateContent xmlns:mc="http://schemas.openxmlformats.org/markup-compatibility/2006" xmlns:a14="http://schemas.microsoft.com/office/drawing/2010/main">
      <mc:Choice Requires="a14">
        <xdr:sp macro="" textlink="">
          <xdr:nvSpPr>
            <xdr:cNvPr id="19" name="Object 23">
              <a:extLst>
                <a:ext uri="{FF2B5EF4-FFF2-40B4-BE49-F238E27FC236}">
                  <a16:creationId xmlns:a16="http://schemas.microsoft.com/office/drawing/2014/main" id="{00000000-0008-0000-0200-000013000000}"/>
                </a:ext>
              </a:extLst>
            </xdr:cNvPr>
            <xdr:cNvSpPr txBox="1"/>
          </xdr:nvSpPr>
          <xdr:spPr>
            <a:xfrm>
              <a:off x="3032760" y="58589545"/>
              <a:ext cx="1149350" cy="27305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𝑓</m:t>
                        </m:r>
                      </m:e>
                      <m:sub>
                        <m:r>
                          <a:rPr lang="zh-CN" altLang="en-US" i="1">
                            <a:solidFill>
                              <a:srgbClr val="000000"/>
                            </a:solidFill>
                            <a:latin typeface="Cambria Math" panose="02040503050406030204" pitchFamily="18" charset="0"/>
                          </a:rPr>
                          <m:t>𝑦</m:t>
                        </m:r>
                      </m:sub>
                    </m:sSub>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𝐴</m:t>
                        </m:r>
                      </m:e>
                      <m:sub>
                        <m:r>
                          <a:rPr lang="zh-CN" altLang="en-US" i="1">
                            <a:solidFill>
                              <a:srgbClr val="000000"/>
                            </a:solidFill>
                            <a:latin typeface="Cambria Math" panose="02040503050406030204" pitchFamily="18" charset="0"/>
                          </a:rPr>
                          <m:t>𝑠</m:t>
                        </m:r>
                      </m:sub>
                    </m:sSub>
                    <m:r>
                      <a:rPr lang="zh-CN" altLang="en-US" i="1">
                        <a:solidFill>
                          <a:srgbClr val="000000"/>
                        </a:solidFill>
                        <a:latin typeface="Cambria Math" panose="02040503050406030204" pitchFamily="18" charset="0"/>
                      </a:rPr>
                      <m:t>+</m:t>
                    </m:r>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𝑓</m:t>
                        </m:r>
                      </m:e>
                      <m:sub>
                        <m:r>
                          <a:rPr lang="zh-CN" altLang="en-US" i="1">
                            <a:solidFill>
                              <a:srgbClr val="000000"/>
                            </a:solidFill>
                            <a:latin typeface="Cambria Math" panose="02040503050406030204" pitchFamily="18" charset="0"/>
                          </a:rPr>
                          <m:t>𝑝𝑦</m:t>
                        </m:r>
                      </m:sub>
                    </m:sSub>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𝐴</m:t>
                        </m:r>
                      </m:e>
                      <m:sub>
                        <m:r>
                          <a:rPr lang="zh-CN" altLang="en-US" i="1">
                            <a:solidFill>
                              <a:srgbClr val="000000"/>
                            </a:solidFill>
                            <a:latin typeface="Cambria Math" panose="02040503050406030204" pitchFamily="18" charset="0"/>
                          </a:rPr>
                          <m:t>𝑝</m:t>
                        </m:r>
                      </m:sub>
                    </m:sSub>
                    <m:r>
                      <a:rPr lang="zh-CN" altLang="en-US" i="1">
                        <a:solidFill>
                          <a:srgbClr val="000000"/>
                        </a:solidFill>
                        <a:latin typeface="Cambria Math" panose="02040503050406030204" pitchFamily="18" charset="0"/>
                      </a:rPr>
                      <m:t>=</m:t>
                    </m:r>
                  </m:oMath>
                </m:oMathPara>
              </a14:m>
              <a:endParaRPr lang="zh-CN" altLang="en-US"/>
            </a:p>
          </xdr:txBody>
        </xdr:sp>
      </mc:Choice>
      <mc:Fallback xmlns:r="http://schemas.openxmlformats.org/officeDocument/2006/relationships" xmlns="">
        <xdr:sp>
          <xdr:nvSpPr>
            <xdr:cNvPr id="19" name="Object 23"/>
            <xdr:cNvSpPr txBox="1"/>
          </xdr:nvSpPr>
          <xdr:spPr>
            <a:xfrm>
              <a:off x="3032760" y="58589545"/>
              <a:ext cx="1149350" cy="273050"/>
            </a:xfrm>
            <a:prstGeom prst="rect">
              <a:avLst/>
            </a:prstGeom>
          </xdr:spPr>
          <xdr:txBody>
            <a:bodyPr vertOverflow="clip" horzOverflow="clip" wrap="none">
              <a:spAutoFit/>
            </a:bodyPr>
            <a:lstStyle/>
            <a:p>
              <a:r>
                <a:rPr lang="zh-CN" altLang="en-US">
                  <a:solidFill>
                    <a:srgbClr val="000000"/>
                  </a:solidFill>
                  <a:latin typeface="Cambria Math" panose="02040503050406030204" pitchFamily="18" charset="0"/>
                </a:rPr>
                <a:t>𝑓</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𝑦</a:t>
              </a:r>
              <a:r>
                <a:rPr lang="zh-CN" altLang="en-US">
                  <a:solidFill>
                    <a:srgbClr val="000000"/>
                  </a:solidFill>
                  <a:latin typeface="Cambria Math" panose="02040503050406030204" pitchFamily="18" charset="0"/>
                </a:rPr>
                <a:t>𝐴</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𝑠</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𝑓</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𝑝𝑦</a:t>
              </a:r>
              <a:r>
                <a:rPr lang="zh-CN" altLang="en-US">
                  <a:solidFill>
                    <a:srgbClr val="000000"/>
                  </a:solidFill>
                  <a:latin typeface="Cambria Math" panose="02040503050406030204" pitchFamily="18" charset="0"/>
                </a:rPr>
                <a:t>𝐴</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𝑝</a:t>
              </a:r>
              <a:r>
                <a:rPr lang="zh-CN" altLang="en-US">
                  <a:solidFill>
                    <a:srgbClr val="000000"/>
                  </a:solidFill>
                  <a:latin typeface="Cambria Math" panose="02040503050406030204" pitchFamily="18" charset="0"/>
                </a:rPr>
                <a:t>=</a:t>
              </a:r>
              <a:endParaRPr lang="zh-CN" altLang="en-US"/>
            </a:p>
          </xdr:txBody>
        </xdr:sp>
      </mc:Fallback>
    </mc:AlternateContent>
    <xdr:clientData/>
  </xdr:twoCellAnchor>
  <xdr:twoCellAnchor>
    <xdr:from>
      <xdr:col>2</xdr:col>
      <xdr:colOff>200025</xdr:colOff>
      <xdr:row>299</xdr:row>
      <xdr:rowOff>28575</xdr:rowOff>
    </xdr:from>
    <xdr:to>
      <xdr:col>2</xdr:col>
      <xdr:colOff>2455001</xdr:colOff>
      <xdr:row>300</xdr:row>
      <xdr:rowOff>56047</xdr:rowOff>
    </xdr:to>
    <mc:AlternateContent xmlns:mc="http://schemas.openxmlformats.org/markup-compatibility/2006" xmlns:a14="http://schemas.microsoft.com/office/drawing/2010/main">
      <mc:Choice Requires="a14">
        <xdr:sp macro="" textlink="">
          <xdr:nvSpPr>
            <xdr:cNvPr id="20" name="Object 24">
              <a:extLst>
                <a:ext uri="{FF2B5EF4-FFF2-40B4-BE49-F238E27FC236}">
                  <a16:creationId xmlns:a16="http://schemas.microsoft.com/office/drawing/2014/main" id="{00000000-0008-0000-0200-000014000000}"/>
                </a:ext>
              </a:extLst>
            </xdr:cNvPr>
            <xdr:cNvSpPr txBox="1"/>
          </xdr:nvSpPr>
          <xdr:spPr>
            <a:xfrm>
              <a:off x="2480310" y="58846720"/>
              <a:ext cx="2254885" cy="294005"/>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zh-CN" altLang="en-US" i="1">
                            <a:solidFill>
                              <a:srgbClr val="000000"/>
                            </a:solidFill>
                            <a:latin typeface="Cambria Math" panose="02040503050406030204" pitchFamily="18" charset="0"/>
                          </a:rPr>
                        </m:ctrlPr>
                      </m:sSubPr>
                      <m:e>
                        <m:r>
                          <a:rPr lang="zh-CN" altLang="en-US" i="1">
                            <a:solidFill>
                              <a:srgbClr val="000000"/>
                            </a:solidFill>
                            <a:latin typeface="Cambria Math" panose="02040503050406030204" pitchFamily="18" charset="0"/>
                          </a:rPr>
                          <m:t>𝑓</m:t>
                        </m:r>
                      </m:e>
                      <m:sub>
                        <m:r>
                          <a:rPr lang="zh-CN" altLang="en-US" i="1">
                            <a:solidFill>
                              <a:srgbClr val="000000"/>
                            </a:solidFill>
                            <a:latin typeface="Cambria Math" panose="02040503050406030204" pitchFamily="18" charset="0"/>
                          </a:rPr>
                          <m:t>𝑐</m:t>
                        </m:r>
                      </m:sub>
                    </m:sSub>
                    <m:sSubSup>
                      <m:sSubSupPr>
                        <m:ctrlPr>
                          <a:rPr lang="zh-CN" altLang="en-US" i="1">
                            <a:solidFill>
                              <a:srgbClr val="000000"/>
                            </a:solidFill>
                            <a:latin typeface="Cambria Math" panose="02040503050406030204" pitchFamily="18" charset="0"/>
                          </a:rPr>
                        </m:ctrlPr>
                      </m:sSubSupPr>
                      <m:e>
                        <m:r>
                          <a:rPr lang="zh-CN" altLang="en-US" i="1">
                            <a:solidFill>
                              <a:srgbClr val="000000"/>
                            </a:solidFill>
                            <a:latin typeface="Cambria Math" panose="02040503050406030204" pitchFamily="18" charset="0"/>
                          </a:rPr>
                          <m:t>𝑏</m:t>
                        </m:r>
                      </m:e>
                      <m:sub>
                        <m:r>
                          <a:rPr lang="zh-CN" altLang="en-US" i="1">
                            <a:solidFill>
                              <a:srgbClr val="000000"/>
                            </a:solidFill>
                            <a:latin typeface="Cambria Math" panose="02040503050406030204" pitchFamily="18" charset="0"/>
                          </a:rPr>
                          <m:t>𝑓</m:t>
                        </m:r>
                      </m:sub>
                      <m:sup>
                        <m:r>
                          <a:rPr lang="zh-CN" altLang="en-US" i="1">
                            <a:solidFill>
                              <a:srgbClr val="000000"/>
                            </a:solidFill>
                            <a:latin typeface="Cambria Math" panose="02040503050406030204" pitchFamily="18" charset="0"/>
                          </a:rPr>
                          <m:t>′</m:t>
                        </m:r>
                      </m:sup>
                    </m:sSubSup>
                    <m:sSubSup>
                      <m:sSubSupPr>
                        <m:ctrlPr>
                          <a:rPr lang="zh-CN" altLang="en-US" i="1">
                            <a:solidFill>
                              <a:srgbClr val="000000"/>
                            </a:solidFill>
                            <a:latin typeface="Cambria Math" panose="02040503050406030204" pitchFamily="18" charset="0"/>
                          </a:rPr>
                        </m:ctrlPr>
                      </m:sSubSupPr>
                      <m:e>
                        <m:r>
                          <a:rPr lang="zh-CN" altLang="en-US" i="1">
                            <a:solidFill>
                              <a:srgbClr val="000000"/>
                            </a:solidFill>
                            <a:latin typeface="Cambria Math" panose="02040503050406030204" pitchFamily="18" charset="0"/>
                          </a:rPr>
                          <m:t>h</m:t>
                        </m:r>
                      </m:e>
                      <m:sub>
                        <m:r>
                          <a:rPr lang="zh-CN" altLang="en-US" i="1">
                            <a:solidFill>
                              <a:srgbClr val="000000"/>
                            </a:solidFill>
                            <a:latin typeface="Cambria Math" panose="02040503050406030204" pitchFamily="18" charset="0"/>
                          </a:rPr>
                          <m:t>𝑓</m:t>
                        </m:r>
                      </m:sub>
                      <m:sup>
                        <m:r>
                          <a:rPr lang="zh-CN" altLang="en-US" i="1">
                            <a:solidFill>
                              <a:srgbClr val="000000"/>
                            </a:solidFill>
                            <a:latin typeface="Cambria Math" panose="02040503050406030204" pitchFamily="18" charset="0"/>
                          </a:rPr>
                          <m:t>′</m:t>
                        </m:r>
                      </m:sup>
                    </m:sSubSup>
                    <m:r>
                      <a:rPr lang="zh-CN" altLang="en-US" i="1">
                        <a:solidFill>
                          <a:srgbClr val="000000"/>
                        </a:solidFill>
                        <a:latin typeface="Cambria Math" panose="02040503050406030204" pitchFamily="18" charset="0"/>
                      </a:rPr>
                      <m:t>+</m:t>
                    </m:r>
                    <m:sSubSup>
                      <m:sSubSupPr>
                        <m:ctrlPr>
                          <a:rPr lang="zh-CN" altLang="en-US" i="1">
                            <a:solidFill>
                              <a:srgbClr val="000000"/>
                            </a:solidFill>
                            <a:latin typeface="Cambria Math" panose="02040503050406030204" pitchFamily="18" charset="0"/>
                          </a:rPr>
                        </m:ctrlPr>
                      </m:sSubSupPr>
                      <m:e>
                        <m:r>
                          <a:rPr lang="zh-CN" altLang="en-US" i="1">
                            <a:solidFill>
                              <a:srgbClr val="000000"/>
                            </a:solidFill>
                            <a:latin typeface="Cambria Math" panose="02040503050406030204" pitchFamily="18" charset="0"/>
                          </a:rPr>
                          <m:t>𝑓</m:t>
                        </m:r>
                      </m:e>
                      <m:sub>
                        <m:r>
                          <m:rPr>
                            <m:sty m:val="p"/>
                          </m:rPr>
                          <a:rPr lang="zh-CN" altLang="en-US" i="0">
                            <a:solidFill>
                              <a:srgbClr val="000000"/>
                            </a:solidFill>
                            <a:latin typeface="Cambria Math" panose="02040503050406030204" pitchFamily="18" charset="0"/>
                          </a:rPr>
                          <m:t>y</m:t>
                        </m:r>
                      </m:sub>
                      <m:sup>
                        <m:r>
                          <a:rPr lang="zh-CN" altLang="en-US" i="1">
                            <a:solidFill>
                              <a:srgbClr val="000000"/>
                            </a:solidFill>
                            <a:latin typeface="Cambria Math" panose="02040503050406030204" pitchFamily="18" charset="0"/>
                          </a:rPr>
                          <m:t>′</m:t>
                        </m:r>
                      </m:sup>
                    </m:sSubSup>
                    <m:sSubSup>
                      <m:sSubSupPr>
                        <m:ctrlPr>
                          <a:rPr lang="zh-CN" altLang="en-US" i="1">
                            <a:solidFill>
                              <a:srgbClr val="000000"/>
                            </a:solidFill>
                            <a:latin typeface="Cambria Math" panose="02040503050406030204" pitchFamily="18" charset="0"/>
                          </a:rPr>
                        </m:ctrlPr>
                      </m:sSubSupPr>
                      <m:e>
                        <m:r>
                          <a:rPr lang="zh-CN" altLang="en-US" i="1">
                            <a:solidFill>
                              <a:srgbClr val="000000"/>
                            </a:solidFill>
                            <a:latin typeface="Cambria Math" panose="02040503050406030204" pitchFamily="18" charset="0"/>
                          </a:rPr>
                          <m:t>𝐴</m:t>
                        </m:r>
                      </m:e>
                      <m:sub>
                        <m:r>
                          <a:rPr lang="zh-CN" altLang="en-US" i="1">
                            <a:solidFill>
                              <a:srgbClr val="000000"/>
                            </a:solidFill>
                            <a:latin typeface="Cambria Math" panose="02040503050406030204" pitchFamily="18" charset="0"/>
                          </a:rPr>
                          <m:t>𝑠</m:t>
                        </m:r>
                      </m:sub>
                      <m:sup>
                        <m:r>
                          <a:rPr lang="zh-CN" altLang="en-US" i="1">
                            <a:solidFill>
                              <a:srgbClr val="000000"/>
                            </a:solidFill>
                            <a:latin typeface="Cambria Math" panose="02040503050406030204" pitchFamily="18" charset="0"/>
                          </a:rPr>
                          <m:t>′</m:t>
                        </m:r>
                      </m:sup>
                    </m:sSubSup>
                    <m:r>
                      <a:rPr lang="zh-CN" altLang="en-US" i="1">
                        <a:solidFill>
                          <a:srgbClr val="000000"/>
                        </a:solidFill>
                        <a:latin typeface="Cambria Math" panose="02040503050406030204" pitchFamily="18" charset="0"/>
                      </a:rPr>
                      <m:t>−</m:t>
                    </m:r>
                    <m:d>
                      <m:dPr>
                        <m:ctrlPr>
                          <a:rPr lang="zh-CN" altLang="en-US" i="1">
                            <a:solidFill>
                              <a:srgbClr val="000000"/>
                            </a:solidFill>
                            <a:latin typeface="Cambria Math" panose="02040503050406030204" pitchFamily="18" charset="0"/>
                          </a:rPr>
                        </m:ctrlPr>
                      </m:dPr>
                      <m:e>
                        <m:sSubSup>
                          <m:sSubSupPr>
                            <m:ctrlPr>
                              <a:rPr lang="zh-CN" altLang="en-US" i="1">
                                <a:solidFill>
                                  <a:srgbClr val="000000"/>
                                </a:solidFill>
                                <a:latin typeface="Cambria Math" panose="02040503050406030204" pitchFamily="18" charset="0"/>
                              </a:rPr>
                            </m:ctrlPr>
                          </m:sSubSupPr>
                          <m:e>
                            <m:r>
                              <a:rPr lang="zh-CN" altLang="en-US" i="1">
                                <a:solidFill>
                                  <a:srgbClr val="000000"/>
                                </a:solidFill>
                                <a:latin typeface="Cambria Math" panose="02040503050406030204" pitchFamily="18" charset="0"/>
                              </a:rPr>
                              <m:t>𝜎</m:t>
                            </m:r>
                          </m:e>
                          <m:sub>
                            <m:r>
                              <a:rPr lang="zh-CN" altLang="en-US" i="1">
                                <a:solidFill>
                                  <a:srgbClr val="000000"/>
                                </a:solidFill>
                                <a:latin typeface="Cambria Math" panose="02040503050406030204" pitchFamily="18" charset="0"/>
                              </a:rPr>
                              <m:t>𝑝</m:t>
                            </m:r>
                            <m:r>
                              <a:rPr lang="zh-CN" altLang="en-US" i="1">
                                <a:solidFill>
                                  <a:srgbClr val="000000"/>
                                </a:solidFill>
                                <a:latin typeface="Cambria Math" panose="02040503050406030204" pitchFamily="18" charset="0"/>
                              </a:rPr>
                              <m:t>0</m:t>
                            </m:r>
                          </m:sub>
                          <m:sup>
                            <m:r>
                              <a:rPr lang="zh-CN" altLang="en-US" i="1">
                                <a:solidFill>
                                  <a:srgbClr val="000000"/>
                                </a:solidFill>
                                <a:latin typeface="Cambria Math" panose="02040503050406030204" pitchFamily="18" charset="0"/>
                              </a:rPr>
                              <m:t>′</m:t>
                            </m:r>
                          </m:sup>
                        </m:sSubSup>
                        <m:r>
                          <a:rPr lang="zh-CN" altLang="en-US" i="1">
                            <a:solidFill>
                              <a:srgbClr val="000000"/>
                            </a:solidFill>
                            <a:latin typeface="Cambria Math" panose="02040503050406030204" pitchFamily="18" charset="0"/>
                          </a:rPr>
                          <m:t>−</m:t>
                        </m:r>
                        <m:sSubSup>
                          <m:sSubSupPr>
                            <m:ctrlPr>
                              <a:rPr lang="zh-CN" altLang="en-US" i="1">
                                <a:solidFill>
                                  <a:srgbClr val="000000"/>
                                </a:solidFill>
                                <a:latin typeface="Cambria Math" panose="02040503050406030204" pitchFamily="18" charset="0"/>
                              </a:rPr>
                            </m:ctrlPr>
                          </m:sSubSupPr>
                          <m:e>
                            <m:r>
                              <a:rPr lang="zh-CN" altLang="en-US" i="1">
                                <a:solidFill>
                                  <a:srgbClr val="000000"/>
                                </a:solidFill>
                                <a:latin typeface="Cambria Math" panose="02040503050406030204" pitchFamily="18" charset="0"/>
                              </a:rPr>
                              <m:t>𝑓</m:t>
                            </m:r>
                          </m:e>
                          <m:sub>
                            <m:r>
                              <a:rPr lang="zh-CN" altLang="en-US" i="1">
                                <a:solidFill>
                                  <a:srgbClr val="000000"/>
                                </a:solidFill>
                                <a:latin typeface="Cambria Math" panose="02040503050406030204" pitchFamily="18" charset="0"/>
                              </a:rPr>
                              <m:t>𝑝𝑦</m:t>
                            </m:r>
                          </m:sub>
                          <m:sup>
                            <m:r>
                              <a:rPr lang="zh-CN" altLang="en-US" i="1">
                                <a:solidFill>
                                  <a:srgbClr val="000000"/>
                                </a:solidFill>
                                <a:latin typeface="Cambria Math" panose="02040503050406030204" pitchFamily="18" charset="0"/>
                              </a:rPr>
                              <m:t>′</m:t>
                            </m:r>
                          </m:sup>
                        </m:sSubSup>
                      </m:e>
                    </m:d>
                    <m:sSup>
                      <m:sSupPr>
                        <m:ctrlPr>
                          <a:rPr lang="zh-CN" altLang="en-US" i="1">
                            <a:solidFill>
                              <a:srgbClr val="000000"/>
                            </a:solidFill>
                            <a:latin typeface="Cambria Math" panose="02040503050406030204" pitchFamily="18" charset="0"/>
                          </a:rPr>
                        </m:ctrlPr>
                      </m:sSupPr>
                      <m:e>
                        <m:r>
                          <a:rPr lang="zh-CN" altLang="en-US" i="1">
                            <a:solidFill>
                              <a:srgbClr val="000000"/>
                            </a:solidFill>
                            <a:latin typeface="Cambria Math" panose="02040503050406030204" pitchFamily="18" charset="0"/>
                          </a:rPr>
                          <m:t>𝐴</m:t>
                        </m:r>
                      </m:e>
                      <m:sup>
                        <m:r>
                          <a:rPr lang="zh-CN" altLang="en-US" i="1">
                            <a:solidFill>
                              <a:srgbClr val="000000"/>
                            </a:solidFill>
                            <a:latin typeface="Cambria Math" panose="02040503050406030204" pitchFamily="18" charset="0"/>
                          </a:rPr>
                          <m:t>′</m:t>
                        </m:r>
                      </m:sup>
                    </m:sSup>
                    <m:r>
                      <a:rPr lang="zh-CN" altLang="en-US" i="1">
                        <a:solidFill>
                          <a:srgbClr val="000000"/>
                        </a:solidFill>
                        <a:latin typeface="Cambria Math" panose="02040503050406030204" pitchFamily="18" charset="0"/>
                      </a:rPr>
                      <m:t>𝑝</m:t>
                    </m:r>
                    <m:r>
                      <a:rPr lang="zh-CN" altLang="en-US" i="1">
                        <a:solidFill>
                          <a:srgbClr val="000000"/>
                        </a:solidFill>
                        <a:latin typeface="Cambria Math" panose="02040503050406030204" pitchFamily="18" charset="0"/>
                      </a:rPr>
                      <m:t>=</m:t>
                    </m:r>
                  </m:oMath>
                </m:oMathPara>
              </a14:m>
              <a:endParaRPr lang="zh-CN" altLang="en-US"/>
            </a:p>
          </xdr:txBody>
        </xdr:sp>
      </mc:Choice>
      <mc:Fallback xmlns:r="http://schemas.openxmlformats.org/officeDocument/2006/relationships" xmlns="">
        <xdr:sp>
          <xdr:nvSpPr>
            <xdr:cNvPr id="20" name="Object 24"/>
            <xdr:cNvSpPr txBox="1"/>
          </xdr:nvSpPr>
          <xdr:spPr>
            <a:xfrm>
              <a:off x="2480310" y="58846720"/>
              <a:ext cx="2254885" cy="294005"/>
            </a:xfrm>
            <a:prstGeom prst="rect">
              <a:avLst/>
            </a:prstGeom>
          </xdr:spPr>
          <xdr:txBody>
            <a:bodyPr vertOverflow="clip" horzOverflow="clip" wrap="none">
              <a:spAutoFit/>
            </a:bodyPr>
            <a:lstStyle/>
            <a:p>
              <a:r>
                <a:rPr lang="zh-CN" altLang="en-US">
                  <a:solidFill>
                    <a:srgbClr val="000000"/>
                  </a:solidFill>
                  <a:latin typeface="Cambria Math" panose="02040503050406030204" pitchFamily="18" charset="0"/>
                </a:rPr>
                <a:t>𝑓</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𝑐</a:t>
              </a:r>
              <a:r>
                <a:rPr lang="zh-CN" altLang="en-US">
                  <a:solidFill>
                    <a:srgbClr val="000000"/>
                  </a:solidFill>
                  <a:latin typeface="Cambria Math" panose="02040503050406030204" pitchFamily="18" charset="0"/>
                </a:rPr>
                <a:t>𝑏</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𝑓</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ℎ</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𝑓</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𝑓</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y</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𝐴</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𝑠</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𝜎</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𝑝</a:t>
              </a:r>
              <a:r>
                <a:rPr lang="zh-CN" altLang="en-US">
                  <a:solidFill>
                    <a:srgbClr val="000000"/>
                  </a:solidFill>
                  <a:latin typeface="Cambria Math" panose="02040503050406030204" pitchFamily="18" charset="0"/>
                </a:rPr>
                <a:t>0</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𝑓</a:t>
              </a:r>
              <a:r>
                <a:rPr lang="zh-CN" altLang="en-US">
                  <a:solidFill>
                    <a:srgbClr val="000000"/>
                  </a:solidFill>
                  <a:latin typeface="Cambria Math" panose="02040503050406030204" pitchFamily="18" charset="0"/>
                </a:rPr>
                <a:t>_</a:t>
              </a:r>
              <a:r>
                <a:rPr lang="zh-CN" altLang="en-US">
                  <a:solidFill>
                    <a:srgbClr val="000000"/>
                  </a:solidFill>
                  <a:latin typeface="Cambria Math" panose="02040503050406030204" pitchFamily="18" charset="0"/>
                </a:rPr>
                <a:t>𝑝𝑦</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𝐴</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a:t>
              </a:r>
              <a:r>
                <a:rPr lang="zh-CN" altLang="en-US">
                  <a:solidFill>
                    <a:srgbClr val="000000"/>
                  </a:solidFill>
                  <a:latin typeface="Cambria Math" panose="02040503050406030204" pitchFamily="18" charset="0"/>
                </a:rPr>
                <a:t>𝑝</a:t>
              </a:r>
              <a:r>
                <a:rPr lang="zh-CN" altLang="en-US">
                  <a:solidFill>
                    <a:srgbClr val="000000"/>
                  </a:solidFill>
                  <a:latin typeface="Cambria Math" panose="02040503050406030204" pitchFamily="18" charset="0"/>
                </a:rPr>
                <a:t>=</a:t>
              </a:r>
              <a:endParaRPr lang="zh-CN" altLang="en-US"/>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462643</xdr:colOff>
      <xdr:row>2</xdr:row>
      <xdr:rowOff>54428</xdr:rowOff>
    </xdr:from>
    <xdr:to>
      <xdr:col>15</xdr:col>
      <xdr:colOff>762000</xdr:colOff>
      <xdr:row>19</xdr:row>
      <xdr:rowOff>149679</xdr:rowOff>
    </xdr:to>
    <xdr:sp macro="" textlink="">
      <xdr:nvSpPr>
        <xdr:cNvPr id="2" name="矩形 1">
          <a:extLst>
            <a:ext uri="{FF2B5EF4-FFF2-40B4-BE49-F238E27FC236}">
              <a16:creationId xmlns:a16="http://schemas.microsoft.com/office/drawing/2014/main" id="{18E3154A-C137-848B-25B1-5F4E8DEC9C09}"/>
            </a:ext>
          </a:extLst>
        </xdr:cNvPr>
        <xdr:cNvSpPr/>
      </xdr:nvSpPr>
      <xdr:spPr>
        <a:xfrm>
          <a:off x="12504964" y="408214"/>
          <a:ext cx="7565572" cy="35650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625929</xdr:colOff>
      <xdr:row>4</xdr:row>
      <xdr:rowOff>176892</xdr:rowOff>
    </xdr:from>
    <xdr:to>
      <xdr:col>11</xdr:col>
      <xdr:colOff>503464</xdr:colOff>
      <xdr:row>6</xdr:row>
      <xdr:rowOff>149678</xdr:rowOff>
    </xdr:to>
    <xdr:sp macro="" textlink="">
      <xdr:nvSpPr>
        <xdr:cNvPr id="3" name="矩形 2">
          <a:extLst>
            <a:ext uri="{FF2B5EF4-FFF2-40B4-BE49-F238E27FC236}">
              <a16:creationId xmlns:a16="http://schemas.microsoft.com/office/drawing/2014/main" id="{C3AE04CC-9189-5835-889F-E61AF4832B0A}"/>
            </a:ext>
          </a:extLst>
        </xdr:cNvPr>
        <xdr:cNvSpPr/>
      </xdr:nvSpPr>
      <xdr:spPr>
        <a:xfrm>
          <a:off x="12668250" y="925285"/>
          <a:ext cx="1238250" cy="35378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t>混凝土材料等级：</a:t>
          </a:r>
        </a:p>
      </xdr:txBody>
    </xdr:sp>
    <xdr:clientData/>
  </xdr:twoCellAnchor>
  <xdr:twoCellAnchor>
    <xdr:from>
      <xdr:col>12</xdr:col>
      <xdr:colOff>0</xdr:colOff>
      <xdr:row>4</xdr:row>
      <xdr:rowOff>176892</xdr:rowOff>
    </xdr:from>
    <xdr:to>
      <xdr:col>13</xdr:col>
      <xdr:colOff>231322</xdr:colOff>
      <xdr:row>6</xdr:row>
      <xdr:rowOff>149678</xdr:rowOff>
    </xdr:to>
    <xdr:sp macro="" textlink="">
      <xdr:nvSpPr>
        <xdr:cNvPr id="4" name="矩形 3">
          <a:extLst>
            <a:ext uri="{FF2B5EF4-FFF2-40B4-BE49-F238E27FC236}">
              <a16:creationId xmlns:a16="http://schemas.microsoft.com/office/drawing/2014/main" id="{EC3F3658-4FF2-4C9A-95EE-8DFFBE3F5ACF}"/>
            </a:ext>
          </a:extLst>
        </xdr:cNvPr>
        <xdr:cNvSpPr/>
      </xdr:nvSpPr>
      <xdr:spPr>
        <a:xfrm>
          <a:off x="14083393" y="925285"/>
          <a:ext cx="911679" cy="35378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802822</xdr:colOff>
      <xdr:row>2</xdr:row>
      <xdr:rowOff>122464</xdr:rowOff>
    </xdr:from>
    <xdr:to>
      <xdr:col>12</xdr:col>
      <xdr:colOff>489857</xdr:colOff>
      <xdr:row>5</xdr:row>
      <xdr:rowOff>176893</xdr:rowOff>
    </xdr:to>
    <xdr:cxnSp macro="">
      <xdr:nvCxnSpPr>
        <xdr:cNvPr id="6" name="直接箭头连接符 5">
          <a:extLst>
            <a:ext uri="{FF2B5EF4-FFF2-40B4-BE49-F238E27FC236}">
              <a16:creationId xmlns:a16="http://schemas.microsoft.com/office/drawing/2014/main" id="{DD2A0D43-4FB0-EF83-A83C-F7454CF0EAB7}"/>
            </a:ext>
          </a:extLst>
        </xdr:cNvPr>
        <xdr:cNvCxnSpPr/>
      </xdr:nvCxnSpPr>
      <xdr:spPr>
        <a:xfrm flipH="1" flipV="1">
          <a:off x="8939893" y="476250"/>
          <a:ext cx="5633357" cy="6395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557892</xdr:colOff>
      <xdr:row>2</xdr:row>
      <xdr:rowOff>95249</xdr:rowOff>
    </xdr:from>
    <xdr:to>
      <xdr:col>14</xdr:col>
      <xdr:colOff>1115785</xdr:colOff>
      <xdr:row>4</xdr:row>
      <xdr:rowOff>54428</xdr:rowOff>
    </xdr:to>
    <xdr:sp macro="" textlink="">
      <xdr:nvSpPr>
        <xdr:cNvPr id="7" name="矩形 6">
          <a:extLst>
            <a:ext uri="{FF2B5EF4-FFF2-40B4-BE49-F238E27FC236}">
              <a16:creationId xmlns:a16="http://schemas.microsoft.com/office/drawing/2014/main" id="{3C472CB1-65B7-44A8-94B3-CDF8632A11FB}"/>
            </a:ext>
          </a:extLst>
        </xdr:cNvPr>
        <xdr:cNvSpPr/>
      </xdr:nvSpPr>
      <xdr:spPr>
        <a:xfrm>
          <a:off x="15321642" y="449035"/>
          <a:ext cx="1238250" cy="35378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t>基本参数</a:t>
          </a:r>
        </a:p>
      </xdr:txBody>
    </xdr:sp>
    <xdr:clientData/>
  </xdr:twoCellAnchor>
  <xdr:twoCellAnchor>
    <xdr:from>
      <xdr:col>9</xdr:col>
      <xdr:colOff>666750</xdr:colOff>
      <xdr:row>7</xdr:row>
      <xdr:rowOff>136071</xdr:rowOff>
    </xdr:from>
    <xdr:to>
      <xdr:col>11</xdr:col>
      <xdr:colOff>544285</xdr:colOff>
      <xdr:row>9</xdr:row>
      <xdr:rowOff>81643</xdr:rowOff>
    </xdr:to>
    <xdr:sp macro="" textlink="">
      <xdr:nvSpPr>
        <xdr:cNvPr id="9" name="矩形 8">
          <a:extLst>
            <a:ext uri="{FF2B5EF4-FFF2-40B4-BE49-F238E27FC236}">
              <a16:creationId xmlns:a16="http://schemas.microsoft.com/office/drawing/2014/main" id="{F73A8B1D-C76D-4FE4-BA06-0246B23CEFB5}"/>
            </a:ext>
          </a:extLst>
        </xdr:cNvPr>
        <xdr:cNvSpPr/>
      </xdr:nvSpPr>
      <xdr:spPr>
        <a:xfrm>
          <a:off x="12709071" y="1455964"/>
          <a:ext cx="1238250" cy="35378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t>钢绞线型号：</a:t>
          </a:r>
        </a:p>
      </xdr:txBody>
    </xdr:sp>
    <xdr:clientData/>
  </xdr:twoCellAnchor>
  <xdr:twoCellAnchor>
    <xdr:from>
      <xdr:col>12</xdr:col>
      <xdr:colOff>13607</xdr:colOff>
      <xdr:row>7</xdr:row>
      <xdr:rowOff>95250</xdr:rowOff>
    </xdr:from>
    <xdr:to>
      <xdr:col>13</xdr:col>
      <xdr:colOff>244929</xdr:colOff>
      <xdr:row>9</xdr:row>
      <xdr:rowOff>40822</xdr:rowOff>
    </xdr:to>
    <xdr:sp macro="" textlink="">
      <xdr:nvSpPr>
        <xdr:cNvPr id="10" name="矩形 9">
          <a:extLst>
            <a:ext uri="{FF2B5EF4-FFF2-40B4-BE49-F238E27FC236}">
              <a16:creationId xmlns:a16="http://schemas.microsoft.com/office/drawing/2014/main" id="{7EFD100E-2351-43AF-9D5B-FFCAA362040C}"/>
            </a:ext>
          </a:extLst>
        </xdr:cNvPr>
        <xdr:cNvSpPr/>
      </xdr:nvSpPr>
      <xdr:spPr>
        <a:xfrm>
          <a:off x="14097000" y="1415143"/>
          <a:ext cx="911679" cy="35378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1333500</xdr:colOff>
      <xdr:row>8</xdr:row>
      <xdr:rowOff>95250</xdr:rowOff>
    </xdr:from>
    <xdr:to>
      <xdr:col>12</xdr:col>
      <xdr:colOff>204107</xdr:colOff>
      <xdr:row>24</xdr:row>
      <xdr:rowOff>108857</xdr:rowOff>
    </xdr:to>
    <xdr:cxnSp macro="">
      <xdr:nvCxnSpPr>
        <xdr:cNvPr id="12" name="直接箭头连接符 11">
          <a:extLst>
            <a:ext uri="{FF2B5EF4-FFF2-40B4-BE49-F238E27FC236}">
              <a16:creationId xmlns:a16="http://schemas.microsoft.com/office/drawing/2014/main" id="{4D582CB9-D9B1-CBEC-72D9-D3D41CCBD31B}"/>
            </a:ext>
          </a:extLst>
        </xdr:cNvPr>
        <xdr:cNvCxnSpPr/>
      </xdr:nvCxnSpPr>
      <xdr:spPr>
        <a:xfrm flipH="1">
          <a:off x="7892143" y="1619250"/>
          <a:ext cx="6395357" cy="322489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381000</xdr:colOff>
      <xdr:row>25</xdr:row>
      <xdr:rowOff>81644</xdr:rowOff>
    </xdr:from>
    <xdr:to>
      <xdr:col>15</xdr:col>
      <xdr:colOff>838594</xdr:colOff>
      <xdr:row>57</xdr:row>
      <xdr:rowOff>3346</xdr:rowOff>
    </xdr:to>
    <xdr:pic>
      <xdr:nvPicPr>
        <xdr:cNvPr id="13" name="图片 12">
          <a:extLst>
            <a:ext uri="{FF2B5EF4-FFF2-40B4-BE49-F238E27FC236}">
              <a16:creationId xmlns:a16="http://schemas.microsoft.com/office/drawing/2014/main" id="{B4EAC0AA-B490-CE8D-8341-BDAD94BECB13}"/>
            </a:ext>
          </a:extLst>
        </xdr:cNvPr>
        <xdr:cNvPicPr>
          <a:picLocks noChangeAspect="1"/>
        </xdr:cNvPicPr>
      </xdr:nvPicPr>
      <xdr:blipFill>
        <a:blip xmlns:r="http://schemas.openxmlformats.org/officeDocument/2006/relationships" r:embed="rId1"/>
        <a:stretch>
          <a:fillRect/>
        </a:stretch>
      </xdr:blipFill>
      <xdr:spPr>
        <a:xfrm>
          <a:off x="12423321" y="5021037"/>
          <a:ext cx="7723809" cy="5895238"/>
        </a:xfrm>
        <a:prstGeom prst="rect">
          <a:avLst/>
        </a:prstGeom>
      </xdr:spPr>
    </xdr:pic>
    <xdr:clientData/>
  </xdr:twoCellAnchor>
  <xdr:twoCellAnchor>
    <xdr:from>
      <xdr:col>0</xdr:col>
      <xdr:colOff>435429</xdr:colOff>
      <xdr:row>63</xdr:row>
      <xdr:rowOff>40821</xdr:rowOff>
    </xdr:from>
    <xdr:to>
      <xdr:col>7</xdr:col>
      <xdr:colOff>517071</xdr:colOff>
      <xdr:row>74</xdr:row>
      <xdr:rowOff>149679</xdr:rowOff>
    </xdr:to>
    <xdr:sp macro="" textlink="">
      <xdr:nvSpPr>
        <xdr:cNvPr id="14" name="矩形 13">
          <a:extLst>
            <a:ext uri="{FF2B5EF4-FFF2-40B4-BE49-F238E27FC236}">
              <a16:creationId xmlns:a16="http://schemas.microsoft.com/office/drawing/2014/main" id="{7F96621C-8E9F-2C2D-158A-C47DEC5ABA6A}"/>
            </a:ext>
          </a:extLst>
        </xdr:cNvPr>
        <xdr:cNvSpPr/>
      </xdr:nvSpPr>
      <xdr:spPr>
        <a:xfrm>
          <a:off x="435429" y="12015107"/>
          <a:ext cx="9865178" cy="2081893"/>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oleObject" Target="../embeddings/oleObject6.bin"/><Relationship Id="rId18" Type="http://schemas.openxmlformats.org/officeDocument/2006/relationships/image" Target="../media/image8.emf"/><Relationship Id="rId26" Type="http://schemas.openxmlformats.org/officeDocument/2006/relationships/image" Target="../media/image12.emf"/><Relationship Id="rId39" Type="http://schemas.openxmlformats.org/officeDocument/2006/relationships/oleObject" Target="../embeddings/oleObject19.bin"/><Relationship Id="rId21" Type="http://schemas.openxmlformats.org/officeDocument/2006/relationships/oleObject" Target="../embeddings/oleObject10.bin"/><Relationship Id="rId34" Type="http://schemas.openxmlformats.org/officeDocument/2006/relationships/image" Target="../media/image16.emf"/><Relationship Id="rId42" Type="http://schemas.openxmlformats.org/officeDocument/2006/relationships/image" Target="../media/image20.emf"/><Relationship Id="rId47" Type="http://schemas.openxmlformats.org/officeDocument/2006/relationships/oleObject" Target="../embeddings/oleObject23.bin"/><Relationship Id="rId50" Type="http://schemas.openxmlformats.org/officeDocument/2006/relationships/image" Target="../media/image24.emf"/><Relationship Id="rId55" Type="http://schemas.openxmlformats.org/officeDocument/2006/relationships/oleObject" Target="../embeddings/oleObject27.bin"/><Relationship Id="rId63" Type="http://schemas.openxmlformats.org/officeDocument/2006/relationships/oleObject" Target="../embeddings/oleObject31.bin"/><Relationship Id="rId68" Type="http://schemas.openxmlformats.org/officeDocument/2006/relationships/image" Target="../media/image33.emf"/><Relationship Id="rId76" Type="http://schemas.openxmlformats.org/officeDocument/2006/relationships/image" Target="../media/image37.emf"/><Relationship Id="rId7" Type="http://schemas.openxmlformats.org/officeDocument/2006/relationships/oleObject" Target="../embeddings/oleObject3.bin"/><Relationship Id="rId71" Type="http://schemas.openxmlformats.org/officeDocument/2006/relationships/oleObject" Target="../embeddings/oleObject35.bin"/><Relationship Id="rId2" Type="http://schemas.openxmlformats.org/officeDocument/2006/relationships/vmlDrawing" Target="../drawings/vmlDrawing1.vml"/><Relationship Id="rId16" Type="http://schemas.openxmlformats.org/officeDocument/2006/relationships/image" Target="../media/image7.emf"/><Relationship Id="rId29" Type="http://schemas.openxmlformats.org/officeDocument/2006/relationships/oleObject" Target="../embeddings/oleObject14.bin"/><Relationship Id="rId11" Type="http://schemas.openxmlformats.org/officeDocument/2006/relationships/oleObject" Target="../embeddings/oleObject5.bin"/><Relationship Id="rId24" Type="http://schemas.openxmlformats.org/officeDocument/2006/relationships/image" Target="../media/image11.emf"/><Relationship Id="rId32" Type="http://schemas.openxmlformats.org/officeDocument/2006/relationships/image" Target="../media/image15.emf"/><Relationship Id="rId37" Type="http://schemas.openxmlformats.org/officeDocument/2006/relationships/oleObject" Target="../embeddings/oleObject18.bin"/><Relationship Id="rId40" Type="http://schemas.openxmlformats.org/officeDocument/2006/relationships/image" Target="../media/image19.emf"/><Relationship Id="rId45" Type="http://schemas.openxmlformats.org/officeDocument/2006/relationships/oleObject" Target="../embeddings/oleObject22.bin"/><Relationship Id="rId53" Type="http://schemas.openxmlformats.org/officeDocument/2006/relationships/oleObject" Target="../embeddings/oleObject26.bin"/><Relationship Id="rId58" Type="http://schemas.openxmlformats.org/officeDocument/2006/relationships/image" Target="../media/image28.emf"/><Relationship Id="rId66" Type="http://schemas.openxmlformats.org/officeDocument/2006/relationships/image" Target="../media/image32.emf"/><Relationship Id="rId74" Type="http://schemas.openxmlformats.org/officeDocument/2006/relationships/image" Target="../media/image36.emf"/><Relationship Id="rId79" Type="http://schemas.openxmlformats.org/officeDocument/2006/relationships/oleObject" Target="../embeddings/oleObject39.bin"/><Relationship Id="rId5" Type="http://schemas.openxmlformats.org/officeDocument/2006/relationships/oleObject" Target="../embeddings/oleObject2.bin"/><Relationship Id="rId61" Type="http://schemas.openxmlformats.org/officeDocument/2006/relationships/oleObject" Target="../embeddings/oleObject30.bin"/><Relationship Id="rId10" Type="http://schemas.openxmlformats.org/officeDocument/2006/relationships/image" Target="../media/image4.emf"/><Relationship Id="rId19" Type="http://schemas.openxmlformats.org/officeDocument/2006/relationships/oleObject" Target="../embeddings/oleObject9.bin"/><Relationship Id="rId31" Type="http://schemas.openxmlformats.org/officeDocument/2006/relationships/oleObject" Target="../embeddings/oleObject15.bin"/><Relationship Id="rId44" Type="http://schemas.openxmlformats.org/officeDocument/2006/relationships/image" Target="../media/image21.emf"/><Relationship Id="rId52" Type="http://schemas.openxmlformats.org/officeDocument/2006/relationships/image" Target="../media/image25.emf"/><Relationship Id="rId60" Type="http://schemas.openxmlformats.org/officeDocument/2006/relationships/image" Target="../media/image29.emf"/><Relationship Id="rId65" Type="http://schemas.openxmlformats.org/officeDocument/2006/relationships/oleObject" Target="../embeddings/oleObject32.bin"/><Relationship Id="rId73" Type="http://schemas.openxmlformats.org/officeDocument/2006/relationships/oleObject" Target="../embeddings/oleObject36.bin"/><Relationship Id="rId78" Type="http://schemas.openxmlformats.org/officeDocument/2006/relationships/image" Target="../media/image38.emf"/><Relationship Id="rId4" Type="http://schemas.openxmlformats.org/officeDocument/2006/relationships/image" Target="../media/image1.wmf"/><Relationship Id="rId9" Type="http://schemas.openxmlformats.org/officeDocument/2006/relationships/oleObject" Target="../embeddings/oleObject4.bin"/><Relationship Id="rId14" Type="http://schemas.openxmlformats.org/officeDocument/2006/relationships/image" Target="../media/image6.emf"/><Relationship Id="rId22" Type="http://schemas.openxmlformats.org/officeDocument/2006/relationships/image" Target="../media/image10.emf"/><Relationship Id="rId27" Type="http://schemas.openxmlformats.org/officeDocument/2006/relationships/oleObject" Target="../embeddings/oleObject13.bin"/><Relationship Id="rId30" Type="http://schemas.openxmlformats.org/officeDocument/2006/relationships/image" Target="../media/image14.emf"/><Relationship Id="rId35" Type="http://schemas.openxmlformats.org/officeDocument/2006/relationships/oleObject" Target="../embeddings/oleObject17.bin"/><Relationship Id="rId43" Type="http://schemas.openxmlformats.org/officeDocument/2006/relationships/oleObject" Target="../embeddings/oleObject21.bin"/><Relationship Id="rId48" Type="http://schemas.openxmlformats.org/officeDocument/2006/relationships/image" Target="../media/image23.emf"/><Relationship Id="rId56" Type="http://schemas.openxmlformats.org/officeDocument/2006/relationships/image" Target="../media/image27.emf"/><Relationship Id="rId64" Type="http://schemas.openxmlformats.org/officeDocument/2006/relationships/image" Target="../media/image31.emf"/><Relationship Id="rId69" Type="http://schemas.openxmlformats.org/officeDocument/2006/relationships/oleObject" Target="../embeddings/oleObject34.bin"/><Relationship Id="rId77" Type="http://schemas.openxmlformats.org/officeDocument/2006/relationships/oleObject" Target="../embeddings/oleObject38.bin"/><Relationship Id="rId8" Type="http://schemas.openxmlformats.org/officeDocument/2006/relationships/image" Target="../media/image3.emf"/><Relationship Id="rId51" Type="http://schemas.openxmlformats.org/officeDocument/2006/relationships/oleObject" Target="../embeddings/oleObject25.bin"/><Relationship Id="rId72" Type="http://schemas.openxmlformats.org/officeDocument/2006/relationships/image" Target="../media/image35.emf"/><Relationship Id="rId80" Type="http://schemas.openxmlformats.org/officeDocument/2006/relationships/image" Target="../media/image39.emf"/><Relationship Id="rId3" Type="http://schemas.openxmlformats.org/officeDocument/2006/relationships/oleObject" Target="../embeddings/oleObject1.bin"/><Relationship Id="rId12" Type="http://schemas.openxmlformats.org/officeDocument/2006/relationships/image" Target="../media/image5.emf"/><Relationship Id="rId17" Type="http://schemas.openxmlformats.org/officeDocument/2006/relationships/oleObject" Target="../embeddings/oleObject8.bin"/><Relationship Id="rId25" Type="http://schemas.openxmlformats.org/officeDocument/2006/relationships/oleObject" Target="../embeddings/oleObject12.bin"/><Relationship Id="rId33" Type="http://schemas.openxmlformats.org/officeDocument/2006/relationships/oleObject" Target="../embeddings/oleObject16.bin"/><Relationship Id="rId38" Type="http://schemas.openxmlformats.org/officeDocument/2006/relationships/image" Target="../media/image18.emf"/><Relationship Id="rId46" Type="http://schemas.openxmlformats.org/officeDocument/2006/relationships/image" Target="../media/image22.emf"/><Relationship Id="rId59" Type="http://schemas.openxmlformats.org/officeDocument/2006/relationships/oleObject" Target="../embeddings/oleObject29.bin"/><Relationship Id="rId67" Type="http://schemas.openxmlformats.org/officeDocument/2006/relationships/oleObject" Target="../embeddings/oleObject33.bin"/><Relationship Id="rId20" Type="http://schemas.openxmlformats.org/officeDocument/2006/relationships/image" Target="../media/image9.emf"/><Relationship Id="rId41" Type="http://schemas.openxmlformats.org/officeDocument/2006/relationships/oleObject" Target="../embeddings/oleObject20.bin"/><Relationship Id="rId54" Type="http://schemas.openxmlformats.org/officeDocument/2006/relationships/image" Target="../media/image26.emf"/><Relationship Id="rId62" Type="http://schemas.openxmlformats.org/officeDocument/2006/relationships/image" Target="../media/image30.emf"/><Relationship Id="rId70" Type="http://schemas.openxmlformats.org/officeDocument/2006/relationships/image" Target="../media/image34.emf"/><Relationship Id="rId75" Type="http://schemas.openxmlformats.org/officeDocument/2006/relationships/oleObject" Target="../embeddings/oleObject37.bin"/><Relationship Id="rId1" Type="http://schemas.openxmlformats.org/officeDocument/2006/relationships/drawing" Target="../drawings/drawing1.xml"/><Relationship Id="rId6" Type="http://schemas.openxmlformats.org/officeDocument/2006/relationships/image" Target="../media/image2.emf"/><Relationship Id="rId15" Type="http://schemas.openxmlformats.org/officeDocument/2006/relationships/oleObject" Target="../embeddings/oleObject7.bin"/><Relationship Id="rId23" Type="http://schemas.openxmlformats.org/officeDocument/2006/relationships/oleObject" Target="../embeddings/oleObject11.bin"/><Relationship Id="rId28" Type="http://schemas.openxmlformats.org/officeDocument/2006/relationships/image" Target="../media/image13.emf"/><Relationship Id="rId36" Type="http://schemas.openxmlformats.org/officeDocument/2006/relationships/image" Target="../media/image17.emf"/><Relationship Id="rId49" Type="http://schemas.openxmlformats.org/officeDocument/2006/relationships/oleObject" Target="../embeddings/oleObject24.bin"/><Relationship Id="rId57" Type="http://schemas.openxmlformats.org/officeDocument/2006/relationships/oleObject" Target="../embeddings/oleObject28.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3" Type="http://schemas.openxmlformats.org/officeDocument/2006/relationships/oleObject" Target="../embeddings/oleObject45.bin"/><Relationship Id="rId18" Type="http://schemas.openxmlformats.org/officeDocument/2006/relationships/image" Target="../media/image8.emf"/><Relationship Id="rId26" Type="http://schemas.openxmlformats.org/officeDocument/2006/relationships/image" Target="../media/image12.emf"/><Relationship Id="rId39" Type="http://schemas.openxmlformats.org/officeDocument/2006/relationships/oleObject" Target="../embeddings/oleObject58.bin"/><Relationship Id="rId21" Type="http://schemas.openxmlformats.org/officeDocument/2006/relationships/oleObject" Target="../embeddings/oleObject49.bin"/><Relationship Id="rId34" Type="http://schemas.openxmlformats.org/officeDocument/2006/relationships/image" Target="../media/image16.emf"/><Relationship Id="rId42" Type="http://schemas.openxmlformats.org/officeDocument/2006/relationships/image" Target="../media/image20.emf"/><Relationship Id="rId47" Type="http://schemas.openxmlformats.org/officeDocument/2006/relationships/oleObject" Target="../embeddings/oleObject62.bin"/><Relationship Id="rId50" Type="http://schemas.openxmlformats.org/officeDocument/2006/relationships/image" Target="../media/image24.emf"/><Relationship Id="rId55" Type="http://schemas.openxmlformats.org/officeDocument/2006/relationships/oleObject" Target="../embeddings/oleObject66.bin"/><Relationship Id="rId63" Type="http://schemas.openxmlformats.org/officeDocument/2006/relationships/oleObject" Target="../embeddings/oleObject70.bin"/><Relationship Id="rId68" Type="http://schemas.openxmlformats.org/officeDocument/2006/relationships/image" Target="../media/image34.emf"/><Relationship Id="rId76" Type="http://schemas.openxmlformats.org/officeDocument/2006/relationships/oleObject" Target="../embeddings/oleObject77.bin"/><Relationship Id="rId7" Type="http://schemas.openxmlformats.org/officeDocument/2006/relationships/oleObject" Target="../embeddings/oleObject42.bin"/><Relationship Id="rId71" Type="http://schemas.openxmlformats.org/officeDocument/2006/relationships/image" Target="../media/image35.emf"/><Relationship Id="rId2" Type="http://schemas.openxmlformats.org/officeDocument/2006/relationships/vmlDrawing" Target="../drawings/vmlDrawing2.vml"/><Relationship Id="rId16" Type="http://schemas.openxmlformats.org/officeDocument/2006/relationships/image" Target="../media/image7.emf"/><Relationship Id="rId29" Type="http://schemas.openxmlformats.org/officeDocument/2006/relationships/oleObject" Target="../embeddings/oleObject53.bin"/><Relationship Id="rId11" Type="http://schemas.openxmlformats.org/officeDocument/2006/relationships/oleObject" Target="../embeddings/oleObject44.bin"/><Relationship Id="rId24" Type="http://schemas.openxmlformats.org/officeDocument/2006/relationships/image" Target="../media/image11.emf"/><Relationship Id="rId32" Type="http://schemas.openxmlformats.org/officeDocument/2006/relationships/image" Target="../media/image15.emf"/><Relationship Id="rId37" Type="http://schemas.openxmlformats.org/officeDocument/2006/relationships/oleObject" Target="../embeddings/oleObject57.bin"/><Relationship Id="rId40" Type="http://schemas.openxmlformats.org/officeDocument/2006/relationships/image" Target="../media/image19.emf"/><Relationship Id="rId45" Type="http://schemas.openxmlformats.org/officeDocument/2006/relationships/oleObject" Target="../embeddings/oleObject61.bin"/><Relationship Id="rId53" Type="http://schemas.openxmlformats.org/officeDocument/2006/relationships/oleObject" Target="../embeddings/oleObject65.bin"/><Relationship Id="rId58" Type="http://schemas.openxmlformats.org/officeDocument/2006/relationships/image" Target="../media/image42.emf"/><Relationship Id="rId66" Type="http://schemas.openxmlformats.org/officeDocument/2006/relationships/image" Target="../media/image32.emf"/><Relationship Id="rId74" Type="http://schemas.openxmlformats.org/officeDocument/2006/relationships/oleObject" Target="../embeddings/oleObject76.bin"/><Relationship Id="rId79" Type="http://schemas.openxmlformats.org/officeDocument/2006/relationships/image" Target="../media/image39.emf"/><Relationship Id="rId5" Type="http://schemas.openxmlformats.org/officeDocument/2006/relationships/oleObject" Target="../embeddings/oleObject41.bin"/><Relationship Id="rId61" Type="http://schemas.openxmlformats.org/officeDocument/2006/relationships/oleObject" Target="../embeddings/oleObject69.bin"/><Relationship Id="rId82" Type="http://schemas.openxmlformats.org/officeDocument/2006/relationships/comments" Target="../comments1.xml"/><Relationship Id="rId10" Type="http://schemas.openxmlformats.org/officeDocument/2006/relationships/image" Target="../media/image4.emf"/><Relationship Id="rId19" Type="http://schemas.openxmlformats.org/officeDocument/2006/relationships/oleObject" Target="../embeddings/oleObject48.bin"/><Relationship Id="rId31" Type="http://schemas.openxmlformats.org/officeDocument/2006/relationships/oleObject" Target="../embeddings/oleObject54.bin"/><Relationship Id="rId44" Type="http://schemas.openxmlformats.org/officeDocument/2006/relationships/image" Target="../media/image21.emf"/><Relationship Id="rId52" Type="http://schemas.openxmlformats.org/officeDocument/2006/relationships/image" Target="../media/image25.emf"/><Relationship Id="rId60" Type="http://schemas.openxmlformats.org/officeDocument/2006/relationships/image" Target="../media/image29.emf"/><Relationship Id="rId65" Type="http://schemas.openxmlformats.org/officeDocument/2006/relationships/oleObject" Target="../embeddings/oleObject71.bin"/><Relationship Id="rId73" Type="http://schemas.openxmlformats.org/officeDocument/2006/relationships/image" Target="../media/image36.emf"/><Relationship Id="rId78" Type="http://schemas.openxmlformats.org/officeDocument/2006/relationships/oleObject" Target="../embeddings/oleObject78.bin"/><Relationship Id="rId81" Type="http://schemas.openxmlformats.org/officeDocument/2006/relationships/image" Target="../media/image43.emf"/><Relationship Id="rId4" Type="http://schemas.openxmlformats.org/officeDocument/2006/relationships/image" Target="../media/image1.wmf"/><Relationship Id="rId9" Type="http://schemas.openxmlformats.org/officeDocument/2006/relationships/oleObject" Target="../embeddings/oleObject43.bin"/><Relationship Id="rId14" Type="http://schemas.openxmlformats.org/officeDocument/2006/relationships/image" Target="../media/image6.emf"/><Relationship Id="rId22" Type="http://schemas.openxmlformats.org/officeDocument/2006/relationships/image" Target="../media/image10.emf"/><Relationship Id="rId27" Type="http://schemas.openxmlformats.org/officeDocument/2006/relationships/oleObject" Target="../embeddings/oleObject52.bin"/><Relationship Id="rId30" Type="http://schemas.openxmlformats.org/officeDocument/2006/relationships/image" Target="../media/image14.emf"/><Relationship Id="rId35" Type="http://schemas.openxmlformats.org/officeDocument/2006/relationships/oleObject" Target="../embeddings/oleObject56.bin"/><Relationship Id="rId43" Type="http://schemas.openxmlformats.org/officeDocument/2006/relationships/oleObject" Target="../embeddings/oleObject60.bin"/><Relationship Id="rId48" Type="http://schemas.openxmlformats.org/officeDocument/2006/relationships/image" Target="../media/image23.emf"/><Relationship Id="rId56" Type="http://schemas.openxmlformats.org/officeDocument/2006/relationships/image" Target="../media/image27.emf"/><Relationship Id="rId64" Type="http://schemas.openxmlformats.org/officeDocument/2006/relationships/image" Target="../media/image31.emf"/><Relationship Id="rId69" Type="http://schemas.openxmlformats.org/officeDocument/2006/relationships/oleObject" Target="../embeddings/oleObject73.bin"/><Relationship Id="rId77" Type="http://schemas.openxmlformats.org/officeDocument/2006/relationships/image" Target="../media/image38.emf"/><Relationship Id="rId8" Type="http://schemas.openxmlformats.org/officeDocument/2006/relationships/image" Target="../media/image3.emf"/><Relationship Id="rId51" Type="http://schemas.openxmlformats.org/officeDocument/2006/relationships/oleObject" Target="../embeddings/oleObject64.bin"/><Relationship Id="rId72" Type="http://schemas.openxmlformats.org/officeDocument/2006/relationships/oleObject" Target="../embeddings/oleObject75.bin"/><Relationship Id="rId80" Type="http://schemas.openxmlformats.org/officeDocument/2006/relationships/oleObject" Target="../embeddings/oleObject79.bin"/><Relationship Id="rId3" Type="http://schemas.openxmlformats.org/officeDocument/2006/relationships/oleObject" Target="../embeddings/oleObject40.bin"/><Relationship Id="rId12" Type="http://schemas.openxmlformats.org/officeDocument/2006/relationships/image" Target="../media/image5.emf"/><Relationship Id="rId17" Type="http://schemas.openxmlformats.org/officeDocument/2006/relationships/oleObject" Target="../embeddings/oleObject47.bin"/><Relationship Id="rId25" Type="http://schemas.openxmlformats.org/officeDocument/2006/relationships/oleObject" Target="../embeddings/oleObject51.bin"/><Relationship Id="rId33" Type="http://schemas.openxmlformats.org/officeDocument/2006/relationships/oleObject" Target="../embeddings/oleObject55.bin"/><Relationship Id="rId38" Type="http://schemas.openxmlformats.org/officeDocument/2006/relationships/image" Target="../media/image18.emf"/><Relationship Id="rId46" Type="http://schemas.openxmlformats.org/officeDocument/2006/relationships/image" Target="../media/image22.emf"/><Relationship Id="rId59" Type="http://schemas.openxmlformats.org/officeDocument/2006/relationships/oleObject" Target="../embeddings/oleObject68.bin"/><Relationship Id="rId67" Type="http://schemas.openxmlformats.org/officeDocument/2006/relationships/oleObject" Target="../embeddings/oleObject72.bin"/><Relationship Id="rId20" Type="http://schemas.openxmlformats.org/officeDocument/2006/relationships/image" Target="../media/image9.emf"/><Relationship Id="rId41" Type="http://schemas.openxmlformats.org/officeDocument/2006/relationships/oleObject" Target="../embeddings/oleObject59.bin"/><Relationship Id="rId54" Type="http://schemas.openxmlformats.org/officeDocument/2006/relationships/image" Target="../media/image26.emf"/><Relationship Id="rId62" Type="http://schemas.openxmlformats.org/officeDocument/2006/relationships/image" Target="../media/image30.emf"/><Relationship Id="rId70" Type="http://schemas.openxmlformats.org/officeDocument/2006/relationships/oleObject" Target="../embeddings/oleObject74.bin"/><Relationship Id="rId75" Type="http://schemas.openxmlformats.org/officeDocument/2006/relationships/image" Target="../media/image37.emf"/><Relationship Id="rId1" Type="http://schemas.openxmlformats.org/officeDocument/2006/relationships/drawing" Target="../drawings/drawing2.xml"/><Relationship Id="rId6" Type="http://schemas.openxmlformats.org/officeDocument/2006/relationships/image" Target="../media/image2.emf"/><Relationship Id="rId15" Type="http://schemas.openxmlformats.org/officeDocument/2006/relationships/oleObject" Target="../embeddings/oleObject46.bin"/><Relationship Id="rId23" Type="http://schemas.openxmlformats.org/officeDocument/2006/relationships/oleObject" Target="../embeddings/oleObject50.bin"/><Relationship Id="rId28" Type="http://schemas.openxmlformats.org/officeDocument/2006/relationships/image" Target="../media/image13.emf"/><Relationship Id="rId36" Type="http://schemas.openxmlformats.org/officeDocument/2006/relationships/image" Target="../media/image17.emf"/><Relationship Id="rId49" Type="http://schemas.openxmlformats.org/officeDocument/2006/relationships/oleObject" Target="../embeddings/oleObject63.bin"/><Relationship Id="rId57" Type="http://schemas.openxmlformats.org/officeDocument/2006/relationships/oleObject" Target="../embeddings/oleObject67.bin"/></Relationships>
</file>

<file path=xl/worksheets/_rels/sheet3.xml.rels><?xml version="1.0" encoding="UTF-8" standalone="yes"?>
<Relationships xmlns="http://schemas.openxmlformats.org/package/2006/relationships"><Relationship Id="rId13" Type="http://schemas.openxmlformats.org/officeDocument/2006/relationships/image" Target="../media/image6.emf"/><Relationship Id="rId18" Type="http://schemas.openxmlformats.org/officeDocument/2006/relationships/oleObject" Target="../embeddings/oleObject87.bin"/><Relationship Id="rId26" Type="http://schemas.openxmlformats.org/officeDocument/2006/relationships/oleObject" Target="../embeddings/oleObject91.bin"/><Relationship Id="rId39" Type="http://schemas.openxmlformats.org/officeDocument/2006/relationships/image" Target="../media/image27.emf"/><Relationship Id="rId3" Type="http://schemas.openxmlformats.org/officeDocument/2006/relationships/vmlDrawing" Target="../drawings/vmlDrawing3.vml"/><Relationship Id="rId21" Type="http://schemas.openxmlformats.org/officeDocument/2006/relationships/image" Target="../media/image13.emf"/><Relationship Id="rId34" Type="http://schemas.openxmlformats.org/officeDocument/2006/relationships/oleObject" Target="../embeddings/oleObject95.bin"/><Relationship Id="rId42" Type="http://schemas.openxmlformats.org/officeDocument/2006/relationships/oleObject" Target="../embeddings/oleObject99.bin"/><Relationship Id="rId47" Type="http://schemas.openxmlformats.org/officeDocument/2006/relationships/image" Target="../media/image36.emf"/><Relationship Id="rId50" Type="http://schemas.openxmlformats.org/officeDocument/2006/relationships/comments" Target="../comments2.xml"/><Relationship Id="rId7" Type="http://schemas.openxmlformats.org/officeDocument/2006/relationships/image" Target="../media/image2.emf"/><Relationship Id="rId12" Type="http://schemas.openxmlformats.org/officeDocument/2006/relationships/oleObject" Target="../embeddings/oleObject84.bin"/><Relationship Id="rId17" Type="http://schemas.openxmlformats.org/officeDocument/2006/relationships/image" Target="../media/image11.emf"/><Relationship Id="rId25" Type="http://schemas.openxmlformats.org/officeDocument/2006/relationships/image" Target="../media/image44.emf"/><Relationship Id="rId33" Type="http://schemas.openxmlformats.org/officeDocument/2006/relationships/image" Target="../media/image20.emf"/><Relationship Id="rId38" Type="http://schemas.openxmlformats.org/officeDocument/2006/relationships/oleObject" Target="../embeddings/oleObject97.bin"/><Relationship Id="rId46" Type="http://schemas.openxmlformats.org/officeDocument/2006/relationships/oleObject" Target="../embeddings/oleObject101.bin"/><Relationship Id="rId2" Type="http://schemas.openxmlformats.org/officeDocument/2006/relationships/drawing" Target="../drawings/drawing3.xml"/><Relationship Id="rId16" Type="http://schemas.openxmlformats.org/officeDocument/2006/relationships/oleObject" Target="../embeddings/oleObject86.bin"/><Relationship Id="rId20" Type="http://schemas.openxmlformats.org/officeDocument/2006/relationships/oleObject" Target="../embeddings/oleObject88.bin"/><Relationship Id="rId29" Type="http://schemas.openxmlformats.org/officeDocument/2006/relationships/image" Target="../media/image46.emf"/><Relationship Id="rId41" Type="http://schemas.openxmlformats.org/officeDocument/2006/relationships/image" Target="../media/image48.emf"/><Relationship Id="rId1" Type="http://schemas.openxmlformats.org/officeDocument/2006/relationships/printerSettings" Target="../printerSettings/printerSettings1.bin"/><Relationship Id="rId6" Type="http://schemas.openxmlformats.org/officeDocument/2006/relationships/oleObject" Target="../embeddings/oleObject81.bin"/><Relationship Id="rId11" Type="http://schemas.openxmlformats.org/officeDocument/2006/relationships/image" Target="../media/image5.emf"/><Relationship Id="rId24" Type="http://schemas.openxmlformats.org/officeDocument/2006/relationships/oleObject" Target="../embeddings/oleObject90.bin"/><Relationship Id="rId32" Type="http://schemas.openxmlformats.org/officeDocument/2006/relationships/oleObject" Target="../embeddings/oleObject94.bin"/><Relationship Id="rId37" Type="http://schemas.openxmlformats.org/officeDocument/2006/relationships/image" Target="../media/image25.emf"/><Relationship Id="rId40" Type="http://schemas.openxmlformats.org/officeDocument/2006/relationships/oleObject" Target="../embeddings/oleObject98.bin"/><Relationship Id="rId45" Type="http://schemas.openxmlformats.org/officeDocument/2006/relationships/image" Target="../media/image35.emf"/><Relationship Id="rId5" Type="http://schemas.openxmlformats.org/officeDocument/2006/relationships/image" Target="../media/image1.wmf"/><Relationship Id="rId15" Type="http://schemas.openxmlformats.org/officeDocument/2006/relationships/image" Target="../media/image9.emf"/><Relationship Id="rId23" Type="http://schemas.openxmlformats.org/officeDocument/2006/relationships/image" Target="../media/image15.emf"/><Relationship Id="rId28" Type="http://schemas.openxmlformats.org/officeDocument/2006/relationships/oleObject" Target="../embeddings/oleObject92.bin"/><Relationship Id="rId36" Type="http://schemas.openxmlformats.org/officeDocument/2006/relationships/oleObject" Target="../embeddings/oleObject96.bin"/><Relationship Id="rId49" Type="http://schemas.openxmlformats.org/officeDocument/2006/relationships/image" Target="../media/image39.emf"/><Relationship Id="rId10" Type="http://schemas.openxmlformats.org/officeDocument/2006/relationships/oleObject" Target="../embeddings/oleObject83.bin"/><Relationship Id="rId19" Type="http://schemas.openxmlformats.org/officeDocument/2006/relationships/image" Target="../media/image12.emf"/><Relationship Id="rId31" Type="http://schemas.openxmlformats.org/officeDocument/2006/relationships/image" Target="../media/image47.emf"/><Relationship Id="rId44" Type="http://schemas.openxmlformats.org/officeDocument/2006/relationships/oleObject" Target="../embeddings/oleObject100.bin"/><Relationship Id="rId4" Type="http://schemas.openxmlformats.org/officeDocument/2006/relationships/oleObject" Target="../embeddings/oleObject80.bin"/><Relationship Id="rId9" Type="http://schemas.openxmlformats.org/officeDocument/2006/relationships/image" Target="../media/image4.emf"/><Relationship Id="rId14" Type="http://schemas.openxmlformats.org/officeDocument/2006/relationships/oleObject" Target="../embeddings/oleObject85.bin"/><Relationship Id="rId22" Type="http://schemas.openxmlformats.org/officeDocument/2006/relationships/oleObject" Target="../embeddings/oleObject89.bin"/><Relationship Id="rId27" Type="http://schemas.openxmlformats.org/officeDocument/2006/relationships/image" Target="../media/image45.emf"/><Relationship Id="rId30" Type="http://schemas.openxmlformats.org/officeDocument/2006/relationships/oleObject" Target="../embeddings/oleObject93.bin"/><Relationship Id="rId35" Type="http://schemas.openxmlformats.org/officeDocument/2006/relationships/image" Target="../media/image21.emf"/><Relationship Id="rId43" Type="http://schemas.openxmlformats.org/officeDocument/2006/relationships/image" Target="../media/image34.emf"/><Relationship Id="rId48" Type="http://schemas.openxmlformats.org/officeDocument/2006/relationships/oleObject" Target="../embeddings/oleObject102.bin"/><Relationship Id="rId8" Type="http://schemas.openxmlformats.org/officeDocument/2006/relationships/oleObject" Target="../embeddings/oleObject8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55"/>
  <sheetViews>
    <sheetView zoomScale="85" zoomScaleNormal="85" workbookViewId="0">
      <selection activeCell="B59" sqref="B59"/>
    </sheetView>
  </sheetViews>
  <sheetFormatPr defaultColWidth="9" defaultRowHeight="15" x14ac:dyDescent="0.25"/>
  <cols>
    <col min="1" max="1" width="9" style="193" customWidth="1"/>
    <col min="2" max="2" width="22.125" style="193" customWidth="1"/>
    <col min="3" max="3" width="14.25" style="193" customWidth="1"/>
    <col min="4" max="5" width="9" style="193"/>
    <col min="6" max="6" width="13.25" style="202" customWidth="1"/>
    <col min="7" max="8" width="9" style="193"/>
    <col min="9" max="9" width="9.5" style="193" customWidth="1"/>
    <col min="10" max="11" width="9" style="193"/>
    <col min="12" max="12" width="10" style="193" customWidth="1"/>
    <col min="13" max="13" width="10.625" style="193" customWidth="1"/>
    <col min="14" max="14" width="10" style="193" customWidth="1"/>
    <col min="15" max="15" width="9" style="193"/>
    <col min="16" max="16" width="11.625" style="193" customWidth="1"/>
    <col min="17" max="16384" width="9" style="193"/>
  </cols>
  <sheetData>
    <row r="1" spans="2:9" s="448" customFormat="1" ht="18.75" x14ac:dyDescent="0.25">
      <c r="B1" s="449" t="s">
        <v>0</v>
      </c>
      <c r="C1" s="450"/>
      <c r="D1" s="450"/>
      <c r="E1" s="451"/>
      <c r="F1" s="452"/>
    </row>
    <row r="2" spans="2:9" ht="15.75" x14ac:dyDescent="0.25">
      <c r="B2" s="453"/>
      <c r="C2" s="200"/>
      <c r="D2" s="201"/>
      <c r="E2" s="201"/>
    </row>
    <row r="3" spans="2:9" ht="15.75" x14ac:dyDescent="0.25">
      <c r="B3" s="199"/>
      <c r="C3" s="200" t="s">
        <v>1</v>
      </c>
      <c r="D3" s="201"/>
      <c r="E3" s="201"/>
    </row>
    <row r="4" spans="2:9" ht="15.75" x14ac:dyDescent="0.25">
      <c r="B4" s="201"/>
      <c r="C4" s="200" t="s">
        <v>2</v>
      </c>
      <c r="D4" s="201"/>
      <c r="E4" s="201"/>
    </row>
    <row r="5" spans="2:9" ht="15.75" x14ac:dyDescent="0.25">
      <c r="B5" s="201"/>
      <c r="C5" s="200" t="s">
        <v>3</v>
      </c>
      <c r="D5" s="201"/>
      <c r="E5" s="201"/>
    </row>
    <row r="6" spans="2:9" ht="15.75" x14ac:dyDescent="0.25">
      <c r="B6" s="201"/>
      <c r="C6" s="200" t="s">
        <v>4</v>
      </c>
      <c r="D6" s="201"/>
      <c r="E6" s="201"/>
    </row>
    <row r="7" spans="2:9" ht="15.75" x14ac:dyDescent="0.25">
      <c r="B7" s="201"/>
      <c r="C7" s="200" t="s">
        <v>5</v>
      </c>
      <c r="D7" s="201"/>
      <c r="E7" s="201"/>
    </row>
    <row r="8" spans="2:9" ht="15.75" x14ac:dyDescent="0.25">
      <c r="B8" s="201"/>
      <c r="C8" s="200" t="s">
        <v>6</v>
      </c>
      <c r="D8" s="201"/>
      <c r="E8" s="201"/>
    </row>
    <row r="9" spans="2:9" ht="15.75" x14ac:dyDescent="0.25">
      <c r="B9" s="201"/>
      <c r="C9" s="200" t="s">
        <v>7</v>
      </c>
      <c r="D9" s="201"/>
      <c r="E9" s="201"/>
    </row>
    <row r="10" spans="2:9" ht="15.75" x14ac:dyDescent="0.25">
      <c r="B10" s="201"/>
      <c r="C10" s="200" t="s">
        <v>8</v>
      </c>
      <c r="D10" s="201"/>
      <c r="E10" s="201"/>
    </row>
    <row r="11" spans="2:9" ht="15.75" x14ac:dyDescent="0.25">
      <c r="B11" s="201"/>
      <c r="C11" s="200" t="s">
        <v>9</v>
      </c>
      <c r="D11" s="201"/>
      <c r="E11" s="201"/>
    </row>
    <row r="13" spans="2:9" s="448" customFormat="1" ht="18.75" x14ac:dyDescent="0.3">
      <c r="B13" s="454">
        <v>2</v>
      </c>
      <c r="C13" s="455" t="s">
        <v>10</v>
      </c>
      <c r="D13" s="454"/>
      <c r="F13" s="452"/>
    </row>
    <row r="14" spans="2:9" x14ac:dyDescent="0.25">
      <c r="B14" s="567" t="s">
        <v>11</v>
      </c>
      <c r="C14" s="567"/>
      <c r="D14" s="457">
        <v>1.6</v>
      </c>
      <c r="E14" s="458" t="s">
        <v>12</v>
      </c>
      <c r="F14" s="459"/>
      <c r="G14" s="458"/>
      <c r="H14" s="458"/>
      <c r="I14" s="458"/>
    </row>
    <row r="15" spans="2:9" x14ac:dyDescent="0.25">
      <c r="B15" s="567" t="s">
        <v>13</v>
      </c>
      <c r="C15" s="567"/>
      <c r="D15" s="457">
        <v>29.95</v>
      </c>
      <c r="E15" s="458" t="s">
        <v>12</v>
      </c>
      <c r="F15" s="459"/>
      <c r="G15" s="458"/>
      <c r="H15" s="458"/>
      <c r="I15" s="458"/>
    </row>
    <row r="16" spans="2:9" x14ac:dyDescent="0.25">
      <c r="B16" s="458" t="s">
        <v>14</v>
      </c>
      <c r="C16" s="458" t="s">
        <v>15</v>
      </c>
      <c r="D16" s="460">
        <f>D15/(2*D14)</f>
        <v>9.359375</v>
      </c>
      <c r="E16" s="456" t="str">
        <f>IF(D16&lt;4,"&lt;","&gt;")</f>
        <v>&gt;</v>
      </c>
      <c r="F16" s="456" t="s">
        <v>16</v>
      </c>
      <c r="G16" s="567" t="str">
        <f>IF(E16="&lt;","横向应力控制条件","底部加厚，便于纵向配筋")</f>
        <v>底部加厚，便于纵向配筋</v>
      </c>
      <c r="H16" s="567"/>
      <c r="I16" s="567"/>
    </row>
    <row r="17" spans="2:10" x14ac:dyDescent="0.25">
      <c r="B17" s="458" t="s">
        <v>17</v>
      </c>
      <c r="C17" s="461">
        <v>1.6</v>
      </c>
      <c r="D17" s="458" t="s">
        <v>12</v>
      </c>
      <c r="E17" s="567" t="s">
        <v>18</v>
      </c>
      <c r="F17" s="567"/>
      <c r="G17" s="458" t="s">
        <v>19</v>
      </c>
      <c r="H17" s="458"/>
      <c r="I17" s="458"/>
    </row>
    <row r="18" spans="2:10" x14ac:dyDescent="0.25">
      <c r="B18" s="458" t="s">
        <v>20</v>
      </c>
      <c r="C18" s="456" t="s">
        <v>21</v>
      </c>
      <c r="D18" s="458"/>
      <c r="E18" s="462">
        <f>1/10*C17</f>
        <v>0.16000000000000003</v>
      </c>
      <c r="F18" s="462">
        <f>1/15*C17</f>
        <v>0.10666666666666667</v>
      </c>
      <c r="G18" s="461">
        <v>0.25</v>
      </c>
      <c r="H18" s="458"/>
      <c r="I18" s="458"/>
    </row>
    <row r="19" spans="2:10" x14ac:dyDescent="0.25">
      <c r="B19" s="458" t="s">
        <v>22</v>
      </c>
      <c r="C19" s="456" t="s">
        <v>23</v>
      </c>
      <c r="D19" s="458"/>
      <c r="E19" s="462">
        <f>1.5*G18</f>
        <v>0.375</v>
      </c>
      <c r="F19" s="462">
        <f>2.5*G18</f>
        <v>0.625</v>
      </c>
      <c r="G19" s="461">
        <v>0.31</v>
      </c>
      <c r="H19" s="458"/>
      <c r="I19" s="458"/>
    </row>
    <row r="20" spans="2:10" x14ac:dyDescent="0.25">
      <c r="B20" s="458" t="s">
        <v>24</v>
      </c>
      <c r="C20" s="456" t="s">
        <v>25</v>
      </c>
      <c r="D20" s="458"/>
      <c r="E20" s="462">
        <f>1*G18</f>
        <v>0.25</v>
      </c>
      <c r="F20" s="462">
        <f>2*G18</f>
        <v>0.5</v>
      </c>
      <c r="G20" s="461">
        <v>0.3</v>
      </c>
      <c r="H20" s="458"/>
      <c r="I20" s="458"/>
    </row>
    <row r="21" spans="2:10" x14ac:dyDescent="0.25">
      <c r="B21" s="458" t="s">
        <v>26</v>
      </c>
      <c r="C21" s="456" t="s">
        <v>25</v>
      </c>
      <c r="D21" s="458"/>
      <c r="E21" s="462">
        <f>1*G18</f>
        <v>0.25</v>
      </c>
      <c r="F21" s="462">
        <f>2*G18</f>
        <v>0.5</v>
      </c>
      <c r="G21" s="461">
        <v>0.3</v>
      </c>
      <c r="H21" s="458"/>
      <c r="I21" s="458"/>
    </row>
    <row r="22" spans="2:10" x14ac:dyDescent="0.25">
      <c r="B22" s="458" t="s">
        <v>27</v>
      </c>
      <c r="C22" s="456" t="s">
        <v>28</v>
      </c>
      <c r="D22" s="458"/>
      <c r="E22" s="462">
        <f>0.5*C17</f>
        <v>0.8</v>
      </c>
      <c r="F22" s="462">
        <f>0.6*C17</f>
        <v>0.96</v>
      </c>
      <c r="G22" s="461">
        <v>1</v>
      </c>
      <c r="H22" s="458"/>
      <c r="I22" s="458"/>
    </row>
    <row r="23" spans="2:10" x14ac:dyDescent="0.25">
      <c r="B23" s="458" t="s">
        <v>29</v>
      </c>
      <c r="C23" s="456" t="s">
        <v>30</v>
      </c>
      <c r="D23" s="458"/>
      <c r="E23" s="462">
        <f>1*G18</f>
        <v>0.25</v>
      </c>
      <c r="F23" s="462">
        <f>1.5*G18</f>
        <v>0.375</v>
      </c>
      <c r="G23" s="461">
        <v>0.15</v>
      </c>
      <c r="H23" s="458"/>
      <c r="I23" s="458"/>
    </row>
    <row r="24" spans="2:10" x14ac:dyDescent="0.25">
      <c r="B24" s="458" t="s">
        <v>31</v>
      </c>
      <c r="C24" s="456" t="s">
        <v>32</v>
      </c>
      <c r="D24" s="458"/>
      <c r="E24" s="462">
        <f>0.4*C17</f>
        <v>0.64000000000000012</v>
      </c>
      <c r="F24" s="462">
        <f>0.6*C17</f>
        <v>0.96</v>
      </c>
      <c r="G24" s="461">
        <v>0.8</v>
      </c>
      <c r="H24" s="458"/>
      <c r="I24" s="458"/>
    </row>
    <row r="25" spans="2:10" ht="18.75" x14ac:dyDescent="0.35">
      <c r="B25" s="458" t="s">
        <v>33</v>
      </c>
      <c r="C25" s="568" t="s">
        <v>34</v>
      </c>
      <c r="D25" s="569"/>
      <c r="E25" s="569"/>
      <c r="F25" s="570"/>
      <c r="G25" s="461">
        <v>0.69499999999999995</v>
      </c>
      <c r="H25" s="463"/>
      <c r="I25" s="463"/>
      <c r="J25" s="240"/>
    </row>
    <row r="26" spans="2:10" x14ac:dyDescent="0.25">
      <c r="B26" s="571" t="s">
        <v>35</v>
      </c>
      <c r="C26" s="572"/>
      <c r="D26" s="572"/>
      <c r="E26" s="573"/>
      <c r="F26" s="459" t="s">
        <v>36</v>
      </c>
      <c r="G26" s="461">
        <v>0</v>
      </c>
      <c r="H26" s="160"/>
      <c r="I26" s="463"/>
      <c r="J26" s="240"/>
    </row>
    <row r="27" spans="2:10" x14ac:dyDescent="0.25">
      <c r="B27" s="574"/>
      <c r="C27" s="575"/>
      <c r="D27" s="575"/>
      <c r="E27" s="576"/>
      <c r="F27" s="459" t="s">
        <v>37</v>
      </c>
      <c r="G27" s="461">
        <v>0.24</v>
      </c>
      <c r="H27" s="160"/>
      <c r="I27" s="463"/>
      <c r="J27" s="240"/>
    </row>
    <row r="28" spans="2:10" x14ac:dyDescent="0.25">
      <c r="B28" s="574"/>
      <c r="C28" s="575"/>
      <c r="D28" s="575"/>
      <c r="E28" s="576"/>
      <c r="F28" s="459" t="s">
        <v>38</v>
      </c>
      <c r="G28" s="461">
        <v>0.2</v>
      </c>
      <c r="H28" s="160"/>
      <c r="I28" s="463"/>
      <c r="J28" s="240"/>
    </row>
    <row r="29" spans="2:10" x14ac:dyDescent="0.25">
      <c r="B29" s="574"/>
      <c r="C29" s="575"/>
      <c r="D29" s="575"/>
      <c r="E29" s="576"/>
      <c r="F29" s="459" t="s">
        <v>39</v>
      </c>
      <c r="G29" s="461">
        <v>0.2</v>
      </c>
      <c r="H29" s="160"/>
      <c r="I29" s="463"/>
      <c r="J29" s="240"/>
    </row>
    <row r="30" spans="2:10" x14ac:dyDescent="0.25">
      <c r="B30" s="574"/>
      <c r="C30" s="575"/>
      <c r="D30" s="575"/>
      <c r="E30" s="576"/>
      <c r="F30" s="459" t="s">
        <v>40</v>
      </c>
      <c r="G30" s="461">
        <f>2*C17</f>
        <v>3.2</v>
      </c>
      <c r="H30" s="160"/>
      <c r="I30" s="463"/>
      <c r="J30" s="240"/>
    </row>
    <row r="31" spans="2:10" x14ac:dyDescent="0.25">
      <c r="B31" s="574"/>
      <c r="C31" s="575"/>
      <c r="D31" s="575"/>
      <c r="E31" s="576"/>
      <c r="F31" s="459" t="s">
        <v>41</v>
      </c>
      <c r="G31" s="461">
        <v>1.35</v>
      </c>
      <c r="H31" s="160"/>
      <c r="I31" s="463"/>
      <c r="J31" s="240"/>
    </row>
    <row r="32" spans="2:10" x14ac:dyDescent="0.25">
      <c r="B32" s="577"/>
      <c r="C32" s="578"/>
      <c r="D32" s="578"/>
      <c r="E32" s="579"/>
      <c r="F32" s="459" t="s">
        <v>42</v>
      </c>
      <c r="G32" s="461">
        <v>0.8</v>
      </c>
      <c r="H32" s="160"/>
      <c r="I32" s="463"/>
      <c r="J32" s="240"/>
    </row>
    <row r="33" spans="2:10" ht="15.75" x14ac:dyDescent="0.25">
      <c r="B33" s="464" t="s">
        <v>43</v>
      </c>
      <c r="C33" s="465">
        <v>1.823</v>
      </c>
      <c r="D33" s="464" t="s">
        <v>12</v>
      </c>
      <c r="G33" s="246"/>
      <c r="H33" s="240"/>
      <c r="I33" s="240"/>
      <c r="J33" s="240"/>
    </row>
    <row r="34" spans="2:10" ht="15.75" x14ac:dyDescent="0.25">
      <c r="B34" s="464" t="s">
        <v>44</v>
      </c>
      <c r="C34" s="465">
        <v>2.0470000000000002</v>
      </c>
      <c r="D34" s="464" t="s">
        <v>12</v>
      </c>
      <c r="G34" s="246"/>
      <c r="H34" s="240"/>
      <c r="I34" s="240"/>
      <c r="J34" s="240"/>
    </row>
    <row r="35" spans="2:10" ht="15.75" x14ac:dyDescent="0.25">
      <c r="B35" s="464" t="s">
        <v>45</v>
      </c>
      <c r="C35" s="465">
        <v>2.2000000000000002</v>
      </c>
      <c r="D35" s="464" t="s">
        <v>12</v>
      </c>
      <c r="G35" s="246"/>
      <c r="H35" s="240"/>
      <c r="I35" s="240"/>
      <c r="J35" s="240"/>
    </row>
    <row r="36" spans="2:10" ht="15.75" x14ac:dyDescent="0.25">
      <c r="B36" s="193" t="s">
        <v>46</v>
      </c>
      <c r="C36" s="466">
        <f>C17+G24</f>
        <v>2.4000000000000004</v>
      </c>
      <c r="D36" s="464" t="s">
        <v>12</v>
      </c>
      <c r="E36" s="193" t="s">
        <v>47</v>
      </c>
      <c r="F36" s="467">
        <f>C36/G18</f>
        <v>9.6000000000000014</v>
      </c>
      <c r="G36" s="193" t="str">
        <f>IF(F36&lt;20+F36&gt;15,"&lt;","&gt;")</f>
        <v>&lt;</v>
      </c>
      <c r="H36" s="193" t="s">
        <v>48</v>
      </c>
      <c r="I36" s="193" t="str">
        <f>IF(G36="&lt;","横向刚度满足要求","横向刚度不满足要求")</f>
        <v>横向刚度满足要求</v>
      </c>
    </row>
    <row r="37" spans="2:10" ht="15.75" x14ac:dyDescent="0.25">
      <c r="B37" s="464" t="s">
        <v>49</v>
      </c>
      <c r="C37" s="466">
        <f>C17+G24+G18+G23</f>
        <v>2.8000000000000003</v>
      </c>
      <c r="D37" s="464" t="s">
        <v>12</v>
      </c>
    </row>
    <row r="38" spans="2:10" ht="15.75" x14ac:dyDescent="0.25">
      <c r="B38" s="464"/>
      <c r="C38" s="246"/>
      <c r="D38" s="464"/>
      <c r="H38" s="585" t="s">
        <v>50</v>
      </c>
      <c r="I38" s="585"/>
    </row>
    <row r="39" spans="2:10" s="448" customFormat="1" ht="18.75" x14ac:dyDescent="0.3">
      <c r="B39" s="454">
        <v>3</v>
      </c>
      <c r="C39" s="455" t="s">
        <v>51</v>
      </c>
      <c r="D39" s="454"/>
      <c r="F39" s="452"/>
      <c r="H39" s="585"/>
      <c r="I39" s="585"/>
    </row>
    <row r="40" spans="2:10" s="448" customFormat="1" ht="15.75" x14ac:dyDescent="0.25">
      <c r="C40" s="468" t="s">
        <v>52</v>
      </c>
      <c r="D40" s="469"/>
      <c r="F40" s="452"/>
      <c r="H40" s="585"/>
      <c r="I40" s="585"/>
    </row>
    <row r="41" spans="2:10" ht="18.75" x14ac:dyDescent="0.3">
      <c r="B41" s="470"/>
      <c r="C41" s="470"/>
      <c r="D41" s="470"/>
      <c r="E41" s="322" t="s">
        <v>53</v>
      </c>
      <c r="F41" s="471">
        <v>19.100000000000001</v>
      </c>
      <c r="G41" s="470" t="s">
        <v>54</v>
      </c>
      <c r="H41" s="585"/>
      <c r="I41" s="585"/>
    </row>
    <row r="42" spans="2:10" ht="18" x14ac:dyDescent="0.25">
      <c r="B42" s="472" t="s">
        <v>55</v>
      </c>
      <c r="C42" s="199"/>
      <c r="D42" s="199"/>
      <c r="E42" s="473" t="s">
        <v>56</v>
      </c>
      <c r="F42" s="471">
        <v>1.71</v>
      </c>
      <c r="G42" s="470" t="s">
        <v>54</v>
      </c>
      <c r="H42" s="585"/>
      <c r="I42" s="585"/>
    </row>
    <row r="43" spans="2:10" ht="18" x14ac:dyDescent="0.25">
      <c r="B43" s="470"/>
      <c r="C43" s="470"/>
      <c r="D43" s="470"/>
      <c r="E43" s="322" t="s">
        <v>57</v>
      </c>
      <c r="F43" s="471">
        <v>2.39</v>
      </c>
      <c r="G43" s="470" t="s">
        <v>54</v>
      </c>
      <c r="H43" s="585"/>
      <c r="I43" s="585"/>
    </row>
    <row r="44" spans="2:10" ht="18" x14ac:dyDescent="0.25">
      <c r="B44" s="199"/>
      <c r="C44" s="199"/>
      <c r="D44" s="199"/>
      <c r="E44" s="473" t="s">
        <v>58</v>
      </c>
      <c r="F44" s="471">
        <v>26.8</v>
      </c>
      <c r="G44" s="470" t="s">
        <v>54</v>
      </c>
      <c r="H44" s="585"/>
      <c r="I44" s="585"/>
    </row>
    <row r="45" spans="2:10" ht="18" x14ac:dyDescent="0.25">
      <c r="B45" s="199"/>
      <c r="C45" s="199"/>
      <c r="D45" s="199"/>
      <c r="E45" s="473" t="s">
        <v>59</v>
      </c>
      <c r="F45" s="471">
        <v>32500</v>
      </c>
      <c r="G45" s="470" t="s">
        <v>54</v>
      </c>
      <c r="H45" s="585"/>
      <c r="I45" s="585"/>
    </row>
    <row r="46" spans="2:10" ht="19.5" x14ac:dyDescent="0.35">
      <c r="E46" s="474" t="s">
        <v>60</v>
      </c>
      <c r="F46" s="475">
        <f>0.75*F44</f>
        <v>20.100000000000001</v>
      </c>
      <c r="G46" s="470" t="s">
        <v>54</v>
      </c>
      <c r="H46" s="470" t="s">
        <v>61</v>
      </c>
    </row>
    <row r="47" spans="2:10" ht="19.5" x14ac:dyDescent="0.35">
      <c r="E47" s="474" t="s">
        <v>62</v>
      </c>
      <c r="F47" s="475">
        <v>2.0099999999999998</v>
      </c>
      <c r="G47" s="470" t="s">
        <v>54</v>
      </c>
      <c r="H47" s="470"/>
    </row>
    <row r="48" spans="2:10" ht="19.5" x14ac:dyDescent="0.35">
      <c r="E48" s="474" t="s">
        <v>63</v>
      </c>
      <c r="F48" s="471">
        <v>30</v>
      </c>
      <c r="G48" s="470" t="s">
        <v>54</v>
      </c>
      <c r="H48" s="470"/>
    </row>
    <row r="49" spans="1:12" ht="18.75" x14ac:dyDescent="0.3">
      <c r="B49" s="199"/>
      <c r="C49" s="199"/>
      <c r="D49" s="199"/>
      <c r="E49" s="473" t="s">
        <v>64</v>
      </c>
      <c r="F49" s="471">
        <v>360</v>
      </c>
      <c r="G49" s="470" t="s">
        <v>54</v>
      </c>
      <c r="H49" s="470"/>
      <c r="J49" s="494"/>
      <c r="K49" s="494"/>
    </row>
    <row r="50" spans="1:12" ht="18.75" x14ac:dyDescent="0.3">
      <c r="B50" s="199"/>
      <c r="C50" s="199"/>
      <c r="D50" s="199"/>
      <c r="E50" s="473" t="s">
        <v>65</v>
      </c>
      <c r="F50" s="471">
        <v>360</v>
      </c>
      <c r="G50" s="470" t="s">
        <v>54</v>
      </c>
      <c r="H50" s="470"/>
    </row>
    <row r="51" spans="1:12" ht="18.75" x14ac:dyDescent="0.3">
      <c r="B51" s="199"/>
      <c r="C51" s="199"/>
      <c r="D51" s="199"/>
      <c r="E51" s="473" t="s">
        <v>66</v>
      </c>
      <c r="F51" s="471">
        <v>200000</v>
      </c>
      <c r="G51" s="470" t="s">
        <v>54</v>
      </c>
      <c r="H51" s="470"/>
    </row>
    <row r="52" spans="1:12" ht="18.75" x14ac:dyDescent="0.3">
      <c r="A52" s="476" t="s">
        <v>67</v>
      </c>
      <c r="C52" s="199"/>
      <c r="D52" s="199"/>
      <c r="E52" s="473" t="s">
        <v>68</v>
      </c>
      <c r="F52" s="471">
        <v>980</v>
      </c>
      <c r="G52" s="470" t="s">
        <v>69</v>
      </c>
      <c r="H52" s="293"/>
    </row>
    <row r="53" spans="1:12" ht="18.75" x14ac:dyDescent="0.3">
      <c r="A53" s="199"/>
      <c r="C53" s="199"/>
      <c r="D53" s="199"/>
      <c r="E53" s="473" t="s">
        <v>70</v>
      </c>
      <c r="F53" s="471">
        <v>300</v>
      </c>
      <c r="G53" s="470" t="s">
        <v>69</v>
      </c>
      <c r="H53" s="293"/>
    </row>
    <row r="54" spans="1:12" ht="18.75" x14ac:dyDescent="0.3">
      <c r="B54" s="477"/>
      <c r="C54" s="477"/>
      <c r="D54" s="477"/>
      <c r="E54" s="478" t="s">
        <v>71</v>
      </c>
      <c r="F54" s="479">
        <v>1860</v>
      </c>
      <c r="G54" s="480" t="s">
        <v>54</v>
      </c>
      <c r="H54" s="481"/>
    </row>
    <row r="55" spans="1:12" ht="18.75" x14ac:dyDescent="0.3">
      <c r="B55" s="477"/>
      <c r="C55" s="477"/>
      <c r="D55" s="477"/>
      <c r="E55" s="478" t="s">
        <v>72</v>
      </c>
      <c r="F55" s="479">
        <v>1320</v>
      </c>
      <c r="G55" s="480" t="s">
        <v>54</v>
      </c>
      <c r="H55" s="481"/>
      <c r="J55" s="193" t="s">
        <v>73</v>
      </c>
    </row>
    <row r="56" spans="1:12" ht="18.75" x14ac:dyDescent="0.3">
      <c r="B56" s="477"/>
      <c r="C56" s="482"/>
      <c r="D56" s="477"/>
      <c r="E56" s="478" t="s">
        <v>74</v>
      </c>
      <c r="F56" s="479">
        <v>390</v>
      </c>
      <c r="G56" s="480" t="s">
        <v>54</v>
      </c>
      <c r="H56" s="481"/>
    </row>
    <row r="57" spans="1:12" ht="18.75" x14ac:dyDescent="0.3">
      <c r="B57" s="477"/>
      <c r="C57" s="477"/>
      <c r="D57" s="477"/>
      <c r="E57" s="478" t="s">
        <v>75</v>
      </c>
      <c r="F57" s="479">
        <v>195000</v>
      </c>
      <c r="G57" s="480" t="s">
        <v>54</v>
      </c>
      <c r="H57" s="481"/>
    </row>
    <row r="58" spans="1:12" x14ac:dyDescent="0.25">
      <c r="B58" s="477"/>
      <c r="C58" s="477"/>
      <c r="D58" s="477"/>
      <c r="E58" s="478"/>
      <c r="F58" s="483"/>
      <c r="G58" s="480"/>
      <c r="H58" s="481"/>
    </row>
    <row r="59" spans="1:12" s="448" customFormat="1" ht="15.75" x14ac:dyDescent="0.25">
      <c r="B59" s="484"/>
      <c r="C59" s="468" t="s">
        <v>76</v>
      </c>
      <c r="D59" s="469"/>
      <c r="E59" s="485"/>
      <c r="F59" s="486"/>
      <c r="G59" s="484"/>
      <c r="H59" s="487"/>
    </row>
    <row r="60" spans="1:12" x14ac:dyDescent="0.25">
      <c r="C60" s="470" t="s">
        <v>77</v>
      </c>
      <c r="D60" s="470"/>
      <c r="E60" s="322"/>
      <c r="F60" s="488"/>
      <c r="G60" s="470"/>
      <c r="L60" s="193" t="s">
        <v>78</v>
      </c>
    </row>
    <row r="61" spans="1:12" ht="18" x14ac:dyDescent="0.25">
      <c r="C61" s="293" t="s">
        <v>79</v>
      </c>
      <c r="D61" s="293" t="s">
        <v>80</v>
      </c>
      <c r="E61" s="293" t="s">
        <v>81</v>
      </c>
      <c r="F61" s="488" t="s">
        <v>82</v>
      </c>
      <c r="G61" s="293" t="s">
        <v>83</v>
      </c>
      <c r="H61" s="293" t="s">
        <v>84</v>
      </c>
      <c r="I61" s="293" t="s">
        <v>85</v>
      </c>
    </row>
    <row r="62" spans="1:12" x14ac:dyDescent="0.25">
      <c r="C62" s="489">
        <v>1</v>
      </c>
      <c r="D62" s="490">
        <f>2*G19*G20</f>
        <v>0.186</v>
      </c>
      <c r="E62" s="491">
        <f>1/2*G20</f>
        <v>0.15</v>
      </c>
      <c r="F62" s="492">
        <f>D62*E62</f>
        <v>2.7899999999999998E-2</v>
      </c>
      <c r="G62" s="490">
        <f t="shared" ref="G62:G69" si="0">ABS($F$72-E62)</f>
        <v>1.3722174545898342</v>
      </c>
      <c r="H62" s="466">
        <f>D62*G62^2</f>
        <v>0.35023441813866674</v>
      </c>
      <c r="I62" s="466">
        <f>1/12*G19*G20^3*2</f>
        <v>1.395E-3</v>
      </c>
    </row>
    <row r="63" spans="1:12" x14ac:dyDescent="0.25">
      <c r="C63" s="493">
        <v>2</v>
      </c>
      <c r="D63" s="490">
        <f>2*G19*G21*0.5</f>
        <v>9.2999999999999999E-2</v>
      </c>
      <c r="E63" s="491">
        <f>G20+1/3*G21</f>
        <v>0.39999999999999997</v>
      </c>
      <c r="F63" s="492">
        <f t="shared" ref="F63:F69" si="1">D63*E63</f>
        <v>3.7199999999999997E-2</v>
      </c>
      <c r="G63" s="490">
        <f t="shared" si="0"/>
        <v>1.1222174545898342</v>
      </c>
      <c r="H63" s="466">
        <f t="shared" ref="H63:H69" si="2">D63*G63^2</f>
        <v>0.11712159743090607</v>
      </c>
      <c r="I63" s="466">
        <f>1/36*G19*G21^3*2</f>
        <v>4.6499999999999997E-4</v>
      </c>
    </row>
    <row r="64" spans="1:12" x14ac:dyDescent="0.25">
      <c r="C64" s="493">
        <v>3</v>
      </c>
      <c r="D64" s="490">
        <f>2*G18*G24</f>
        <v>0.4</v>
      </c>
      <c r="E64" s="491">
        <f>1/2*G24</f>
        <v>0.4</v>
      </c>
      <c r="F64" s="492">
        <f t="shared" si="1"/>
        <v>0.16000000000000003</v>
      </c>
      <c r="G64" s="490">
        <f t="shared" si="0"/>
        <v>1.1222174545898342</v>
      </c>
      <c r="H64" s="466">
        <f t="shared" si="2"/>
        <v>0.50374880615443474</v>
      </c>
      <c r="I64" s="466">
        <f>1/12*G18*G24^3*2</f>
        <v>2.1333333333333336E-2</v>
      </c>
    </row>
    <row r="65" spans="2:9" x14ac:dyDescent="0.25">
      <c r="C65" s="493">
        <v>4</v>
      </c>
      <c r="D65" s="490">
        <f>1/2*PI()*(C17+G18)^2</f>
        <v>5.3760504284555344</v>
      </c>
      <c r="E65" s="491">
        <f>G24+0.424*(C17+G18)</f>
        <v>1.5844</v>
      </c>
      <c r="F65" s="492">
        <f t="shared" si="1"/>
        <v>8.5178142988449483</v>
      </c>
      <c r="G65" s="490">
        <f t="shared" si="0"/>
        <v>6.2182545410165879E-2</v>
      </c>
      <c r="H65" s="466">
        <f t="shared" si="2"/>
        <v>2.0787407285166544E-2</v>
      </c>
      <c r="I65" s="466">
        <f>0.00687*(2*(C17+G18))^4</f>
        <v>1.2875486070000002</v>
      </c>
    </row>
    <row r="66" spans="2:9" x14ac:dyDescent="0.25">
      <c r="C66" s="493">
        <v>5</v>
      </c>
      <c r="D66" s="490">
        <f>-1/2*PI()*C17^2</f>
        <v>-4.0212385965949355</v>
      </c>
      <c r="E66" s="491">
        <f>G24+0.424*C17</f>
        <v>1.4784000000000002</v>
      </c>
      <c r="F66" s="492">
        <f t="shared" si="1"/>
        <v>-5.9449991412059537</v>
      </c>
      <c r="G66" s="490">
        <f t="shared" si="0"/>
        <v>4.3817454589833993E-2</v>
      </c>
      <c r="H66" s="466">
        <f t="shared" si="2"/>
        <v>-7.7206547609337704E-3</v>
      </c>
      <c r="I66" s="466">
        <f>-0.00687*(2*C17)^4</f>
        <v>-0.72037171200000039</v>
      </c>
    </row>
    <row r="67" spans="2:9" x14ac:dyDescent="0.25">
      <c r="C67" s="493">
        <v>6</v>
      </c>
      <c r="D67" s="490">
        <f>G22*G23</f>
        <v>0.15</v>
      </c>
      <c r="E67" s="491">
        <f>C36+G18+1/2*G23</f>
        <v>2.7250000000000005</v>
      </c>
      <c r="F67" s="492">
        <f t="shared" si="1"/>
        <v>0.40875000000000006</v>
      </c>
      <c r="G67" s="490">
        <f t="shared" si="0"/>
        <v>1.2027825454101664</v>
      </c>
      <c r="H67" s="466">
        <f t="shared" si="2"/>
        <v>0.21700287773150384</v>
      </c>
      <c r="I67" s="466">
        <f>1/12*G22*G23^3</f>
        <v>2.8124999999999998E-4</v>
      </c>
    </row>
    <row r="68" spans="2:9" x14ac:dyDescent="0.25">
      <c r="C68" s="493">
        <v>7</v>
      </c>
      <c r="D68" s="490">
        <f>2*G23*G25*0.5</f>
        <v>0.10425</v>
      </c>
      <c r="E68" s="491">
        <f>C36+G18</f>
        <v>2.6500000000000004</v>
      </c>
      <c r="F68" s="492">
        <f t="shared" si="1"/>
        <v>0.27626250000000002</v>
      </c>
      <c r="G68" s="490">
        <f t="shared" si="0"/>
        <v>1.1277825454101662</v>
      </c>
      <c r="H68" s="466">
        <f t="shared" si="2"/>
        <v>0.13259489421954365</v>
      </c>
      <c r="I68" s="466">
        <f>1/36*G25*G23^3*2</f>
        <v>1.3031249999999998E-4</v>
      </c>
    </row>
    <row r="69" spans="2:9" x14ac:dyDescent="0.25">
      <c r="B69" s="193" t="s">
        <v>86</v>
      </c>
      <c r="C69" s="493"/>
      <c r="D69" s="490">
        <f>G26*G27</f>
        <v>0</v>
      </c>
      <c r="E69" s="491">
        <f>0.5*G26</f>
        <v>0</v>
      </c>
      <c r="F69" s="492">
        <f t="shared" si="1"/>
        <v>0</v>
      </c>
      <c r="G69" s="490">
        <f t="shared" si="0"/>
        <v>1.5222174545898342</v>
      </c>
      <c r="H69" s="466">
        <f t="shared" si="2"/>
        <v>0</v>
      </c>
      <c r="I69" s="466">
        <f>1/12*G24*G26^3*2</f>
        <v>0</v>
      </c>
    </row>
    <row r="70" spans="2:9" x14ac:dyDescent="0.25">
      <c r="C70" s="493" t="s">
        <v>87</v>
      </c>
      <c r="D70" s="490">
        <f>SUM(D62:D69)</f>
        <v>2.288061831860599</v>
      </c>
      <c r="E70" s="491"/>
      <c r="F70" s="492">
        <f>SUM(F62:F69)</f>
        <v>3.482927657638994</v>
      </c>
      <c r="G70" s="490"/>
      <c r="H70" s="466">
        <f>SUM(H62:H69)</f>
        <v>1.3337693461992879</v>
      </c>
      <c r="I70" s="466">
        <f>SUM(I62:I69)</f>
        <v>0.59078179083333315</v>
      </c>
    </row>
    <row r="71" spans="2:9" ht="18.75" x14ac:dyDescent="0.3">
      <c r="D71" s="470"/>
      <c r="E71" s="322" t="s">
        <v>88</v>
      </c>
      <c r="F71" s="492">
        <f>D70</f>
        <v>2.288061831860599</v>
      </c>
      <c r="G71" s="470" t="s">
        <v>89</v>
      </c>
    </row>
    <row r="72" spans="2:9" ht="16.5" x14ac:dyDescent="0.3">
      <c r="B72" s="470"/>
      <c r="C72" s="470"/>
      <c r="D72" s="470"/>
      <c r="E72" s="322" t="s">
        <v>90</v>
      </c>
      <c r="F72" s="492">
        <f>F70/D70</f>
        <v>1.5222174545898342</v>
      </c>
      <c r="G72" s="470" t="s">
        <v>12</v>
      </c>
    </row>
    <row r="73" spans="2:9" ht="16.5" x14ac:dyDescent="0.3">
      <c r="C73" s="470"/>
      <c r="D73" s="470"/>
      <c r="E73" s="322" t="s">
        <v>91</v>
      </c>
      <c r="F73" s="492">
        <f>C37-F72</f>
        <v>1.2777825454101661</v>
      </c>
      <c r="G73" s="470" t="s">
        <v>12</v>
      </c>
    </row>
    <row r="74" spans="2:9" ht="18.75" x14ac:dyDescent="0.3">
      <c r="B74" s="470"/>
      <c r="C74" s="470"/>
      <c r="D74" s="470"/>
      <c r="E74" s="322" t="s">
        <v>92</v>
      </c>
      <c r="F74" s="495">
        <f>H70+I70</f>
        <v>1.9245511370326209</v>
      </c>
      <c r="G74" s="470" t="s">
        <v>93</v>
      </c>
    </row>
    <row r="75" spans="2:9" x14ac:dyDescent="0.25">
      <c r="B75" s="470"/>
      <c r="E75" s="496" t="s">
        <v>94</v>
      </c>
      <c r="F75" s="495">
        <f>1/2*(C17+C17+G18)</f>
        <v>1.7250000000000001</v>
      </c>
      <c r="G75" s="470"/>
    </row>
    <row r="76" spans="2:9" x14ac:dyDescent="0.25">
      <c r="B76" s="470"/>
      <c r="C76" s="470"/>
      <c r="D76" s="470"/>
      <c r="E76" s="496" t="s">
        <v>95</v>
      </c>
      <c r="F76" s="495">
        <f>F72-G24</f>
        <v>0.72221745458983411</v>
      </c>
      <c r="G76" s="470"/>
    </row>
    <row r="77" spans="2:9" x14ac:dyDescent="0.25">
      <c r="B77" s="470"/>
      <c r="C77" s="470"/>
      <c r="D77" s="193" t="s">
        <v>96</v>
      </c>
      <c r="E77" s="322" t="s">
        <v>97</v>
      </c>
      <c r="F77" s="495">
        <f>F76/F75</f>
        <v>0.418676785269469</v>
      </c>
      <c r="G77" s="470"/>
    </row>
    <row r="78" spans="2:9" x14ac:dyDescent="0.25">
      <c r="B78" s="470"/>
      <c r="C78" s="470"/>
      <c r="D78" s="470"/>
      <c r="E78" s="322" t="s">
        <v>98</v>
      </c>
      <c r="F78" s="495">
        <f>ACOS(F77)</f>
        <v>1.1388085647697723</v>
      </c>
      <c r="G78" s="470"/>
    </row>
    <row r="79" spans="2:9" x14ac:dyDescent="0.25">
      <c r="B79" s="470"/>
      <c r="C79" s="470"/>
      <c r="D79" s="470"/>
      <c r="E79" s="322"/>
      <c r="F79" s="495"/>
      <c r="G79" s="470"/>
    </row>
    <row r="80" spans="2:9" ht="18" x14ac:dyDescent="0.25">
      <c r="B80" s="470"/>
      <c r="C80" s="470"/>
      <c r="D80" s="470"/>
      <c r="E80" s="496" t="s">
        <v>99</v>
      </c>
      <c r="F80" s="495">
        <f>2*G18*F75^2*(SIN(F78)-F78*F77)</f>
        <v>0.64175692037014553</v>
      </c>
      <c r="G80" s="470" t="s">
        <v>100</v>
      </c>
    </row>
    <row r="81" spans="2:8" x14ac:dyDescent="0.25">
      <c r="B81" s="470"/>
      <c r="C81" s="470"/>
      <c r="D81" s="470"/>
      <c r="E81" s="322"/>
      <c r="F81" s="495"/>
      <c r="G81" s="470"/>
    </row>
    <row r="82" spans="2:8" ht="18" x14ac:dyDescent="0.25">
      <c r="B82" s="470"/>
      <c r="C82" s="470"/>
      <c r="D82" s="470"/>
      <c r="E82" s="496" t="s">
        <v>101</v>
      </c>
      <c r="F82" s="495">
        <f>G23*G22*(F73-1/2*G23)+2*G23*G25*(F73-G23)/2</f>
        <v>0.29798871217053474</v>
      </c>
      <c r="G82" s="470" t="s">
        <v>100</v>
      </c>
    </row>
    <row r="83" spans="2:8" ht="18" x14ac:dyDescent="0.25">
      <c r="B83" s="470"/>
      <c r="C83" s="470"/>
      <c r="D83" s="470"/>
      <c r="E83" s="322" t="s">
        <v>102</v>
      </c>
      <c r="F83" s="495">
        <f>F80+F82</f>
        <v>0.93974563254068033</v>
      </c>
      <c r="G83" s="470" t="s">
        <v>100</v>
      </c>
    </row>
    <row r="84" spans="2:8" x14ac:dyDescent="0.25">
      <c r="B84" s="477"/>
      <c r="C84" s="477"/>
      <c r="D84" s="477"/>
      <c r="E84" s="478"/>
      <c r="F84" s="483"/>
      <c r="G84" s="480"/>
      <c r="H84" s="481"/>
    </row>
    <row r="85" spans="2:8" ht="17.25" x14ac:dyDescent="0.25">
      <c r="B85" s="477"/>
      <c r="C85" s="497" t="s">
        <v>103</v>
      </c>
      <c r="D85" s="498"/>
      <c r="E85" s="478"/>
      <c r="F85" s="483"/>
      <c r="G85" s="480"/>
      <c r="H85" s="481"/>
    </row>
    <row r="86" spans="2:8" x14ac:dyDescent="0.25">
      <c r="B86" s="477"/>
      <c r="C86" s="477"/>
      <c r="D86" s="477"/>
      <c r="E86" s="478" t="s">
        <v>104</v>
      </c>
      <c r="F86" s="471">
        <v>1.05</v>
      </c>
      <c r="G86" s="480"/>
      <c r="H86" s="481"/>
    </row>
    <row r="87" spans="2:8" ht="18.75" x14ac:dyDescent="0.3">
      <c r="B87" s="477"/>
      <c r="C87" s="477"/>
      <c r="D87" s="477"/>
      <c r="E87" s="322" t="s">
        <v>105</v>
      </c>
      <c r="F87" s="471">
        <v>25</v>
      </c>
      <c r="G87" s="470" t="s">
        <v>106</v>
      </c>
      <c r="H87" s="481"/>
    </row>
    <row r="88" spans="2:8" ht="16.5" x14ac:dyDescent="0.3">
      <c r="B88" s="477"/>
      <c r="C88" s="477"/>
      <c r="D88" s="477"/>
      <c r="E88" s="322" t="s">
        <v>107</v>
      </c>
      <c r="F88" s="499">
        <f>F87*D70</f>
        <v>57.201545796514978</v>
      </c>
      <c r="G88" s="470" t="s">
        <v>108</v>
      </c>
      <c r="H88" s="481"/>
    </row>
    <row r="89" spans="2:8" ht="16.5" x14ac:dyDescent="0.3">
      <c r="B89" s="477"/>
      <c r="C89" s="477"/>
      <c r="D89" s="477"/>
      <c r="E89" s="322" t="s">
        <v>109</v>
      </c>
      <c r="F89" s="499">
        <f>F86*F88</f>
        <v>60.061623086340731</v>
      </c>
      <c r="G89" s="470" t="s">
        <v>108</v>
      </c>
      <c r="H89" s="481"/>
    </row>
    <row r="90" spans="2:8" x14ac:dyDescent="0.25">
      <c r="B90" s="477"/>
      <c r="C90" s="477"/>
      <c r="D90" s="477"/>
      <c r="E90" s="478"/>
      <c r="F90" s="483"/>
      <c r="G90" s="480"/>
      <c r="H90" s="481"/>
    </row>
    <row r="91" spans="2:8" ht="17.25" x14ac:dyDescent="0.25">
      <c r="B91" s="477"/>
      <c r="C91" s="497" t="s">
        <v>110</v>
      </c>
      <c r="D91" s="477"/>
      <c r="E91" s="478"/>
      <c r="F91" s="483"/>
      <c r="G91" s="480"/>
      <c r="H91" s="481"/>
    </row>
    <row r="92" spans="2:8" x14ac:dyDescent="0.25">
      <c r="B92" s="477"/>
      <c r="C92" s="477"/>
      <c r="D92" s="477"/>
      <c r="E92" s="478" t="s">
        <v>104</v>
      </c>
      <c r="F92" s="471">
        <v>1.05</v>
      </c>
      <c r="G92" s="480"/>
      <c r="H92" s="481"/>
    </row>
    <row r="93" spans="2:8" ht="18.75" x14ac:dyDescent="0.3">
      <c r="B93" s="477"/>
      <c r="C93" s="477"/>
      <c r="D93" s="477"/>
      <c r="E93" s="322" t="s">
        <v>111</v>
      </c>
      <c r="F93" s="471">
        <v>25</v>
      </c>
      <c r="G93" s="470" t="s">
        <v>106</v>
      </c>
      <c r="H93" s="481"/>
    </row>
    <row r="94" spans="2:8" ht="16.5" x14ac:dyDescent="0.3">
      <c r="B94" s="477"/>
      <c r="C94" s="477"/>
      <c r="D94" s="477"/>
      <c r="E94" s="322" t="s">
        <v>112</v>
      </c>
      <c r="F94" s="499">
        <f>F93*G28*G29*G30/G31</f>
        <v>2.3703703703703702</v>
      </c>
      <c r="G94" s="470" t="s">
        <v>108</v>
      </c>
      <c r="H94" s="481"/>
    </row>
    <row r="95" spans="2:8" ht="16.5" x14ac:dyDescent="0.3">
      <c r="B95" s="477"/>
      <c r="C95" s="477"/>
      <c r="D95" s="477"/>
      <c r="E95" s="322" t="s">
        <v>113</v>
      </c>
      <c r="F95" s="499">
        <f>F92*F94</f>
        <v>2.4888888888888889</v>
      </c>
      <c r="G95" s="470" t="s">
        <v>108</v>
      </c>
      <c r="H95" s="481"/>
    </row>
    <row r="96" spans="2:8" ht="17.25" x14ac:dyDescent="0.25">
      <c r="B96" s="477"/>
      <c r="C96" s="497" t="s">
        <v>114</v>
      </c>
      <c r="D96" s="477"/>
      <c r="E96" s="478"/>
      <c r="F96" s="483"/>
      <c r="G96" s="480"/>
      <c r="H96" s="481"/>
    </row>
    <row r="97" spans="2:8" x14ac:dyDescent="0.25">
      <c r="B97" s="477"/>
      <c r="C97" s="477"/>
      <c r="D97" s="477"/>
      <c r="E97" s="478" t="s">
        <v>104</v>
      </c>
      <c r="F97" s="471">
        <v>1.2</v>
      </c>
      <c r="G97" s="480"/>
      <c r="H97" s="481"/>
    </row>
    <row r="98" spans="2:8" ht="18" x14ac:dyDescent="0.25">
      <c r="B98" s="477"/>
      <c r="C98" s="477"/>
      <c r="D98" s="477"/>
      <c r="E98" s="322" t="s">
        <v>115</v>
      </c>
      <c r="F98" s="500">
        <f>3</f>
        <v>3</v>
      </c>
      <c r="G98" s="470" t="s">
        <v>116</v>
      </c>
      <c r="H98" s="481"/>
    </row>
    <row r="99" spans="2:8" ht="16.5" x14ac:dyDescent="0.3">
      <c r="B99" s="477"/>
      <c r="C99" s="477"/>
      <c r="D99" s="477"/>
      <c r="E99" s="322" t="s">
        <v>117</v>
      </c>
      <c r="F99" s="501">
        <f>F98*G32*2</f>
        <v>4.8000000000000007</v>
      </c>
      <c r="G99" s="470"/>
      <c r="H99" s="481"/>
    </row>
    <row r="100" spans="2:8" ht="16.5" x14ac:dyDescent="0.3">
      <c r="B100" s="477"/>
      <c r="C100" s="477"/>
      <c r="D100" s="477"/>
      <c r="E100" s="322" t="s">
        <v>118</v>
      </c>
      <c r="F100" s="501">
        <f>F97*F99</f>
        <v>5.7600000000000007</v>
      </c>
      <c r="G100" s="470" t="s">
        <v>108</v>
      </c>
      <c r="H100" s="481"/>
    </row>
    <row r="101" spans="2:8" ht="17.25" x14ac:dyDescent="0.25">
      <c r="B101" s="477"/>
      <c r="C101" s="497" t="s">
        <v>119</v>
      </c>
      <c r="D101" s="477"/>
      <c r="E101" s="478"/>
      <c r="F101" s="483"/>
      <c r="G101" s="480"/>
      <c r="H101" s="481"/>
    </row>
    <row r="102" spans="2:8" x14ac:dyDescent="0.25">
      <c r="B102" s="477"/>
      <c r="D102" s="322"/>
      <c r="E102" s="470" t="s">
        <v>120</v>
      </c>
      <c r="F102" s="493"/>
      <c r="G102" s="480"/>
      <c r="H102" s="481"/>
    </row>
    <row r="103" spans="2:8" x14ac:dyDescent="0.25">
      <c r="B103" s="477"/>
      <c r="C103" s="470"/>
      <c r="D103" s="322"/>
      <c r="E103" s="478" t="s">
        <v>104</v>
      </c>
      <c r="F103" s="471">
        <v>1.2</v>
      </c>
    </row>
    <row r="104" spans="2:8" ht="18.75" x14ac:dyDescent="0.3">
      <c r="B104" s="477"/>
      <c r="C104" s="470"/>
      <c r="D104" s="322"/>
      <c r="E104" s="322" t="s">
        <v>121</v>
      </c>
      <c r="F104" s="471">
        <v>10</v>
      </c>
      <c r="G104" s="470" t="s">
        <v>106</v>
      </c>
    </row>
    <row r="105" spans="2:8" x14ac:dyDescent="0.25">
      <c r="B105" s="477"/>
      <c r="C105" s="477"/>
      <c r="D105" s="477"/>
      <c r="E105" s="322" t="s">
        <v>122</v>
      </c>
      <c r="F105" s="467">
        <f>C33</f>
        <v>1.823</v>
      </c>
      <c r="G105" s="193" t="s">
        <v>12</v>
      </c>
    </row>
    <row r="106" spans="2:8" x14ac:dyDescent="0.25">
      <c r="B106" s="477"/>
      <c r="C106" s="477"/>
      <c r="D106" s="477"/>
      <c r="E106" s="496" t="s">
        <v>123</v>
      </c>
      <c r="F106" s="467">
        <f>F105-D14</f>
        <v>0.22299999999999986</v>
      </c>
      <c r="G106" s="193" t="s">
        <v>12</v>
      </c>
    </row>
    <row r="107" spans="2:8" ht="18.75" x14ac:dyDescent="0.3">
      <c r="B107" s="477"/>
      <c r="C107" s="477"/>
      <c r="D107" s="477"/>
      <c r="E107" s="322" t="s">
        <v>124</v>
      </c>
      <c r="F107" s="499">
        <f>IF(F106&gt;0,(1/2*PI()*D14^2+2*D14*F106),(ACOS(ABS(F106)/D14)*D14^2-(D14^2-F106^2)^0.5*ABS(F106)))</f>
        <v>4.7348385965949351</v>
      </c>
      <c r="G107" s="193" t="s">
        <v>125</v>
      </c>
      <c r="H107" s="481"/>
    </row>
    <row r="108" spans="2:8" ht="16.5" x14ac:dyDescent="0.3">
      <c r="B108" s="477"/>
      <c r="C108" s="477"/>
      <c r="D108" s="477"/>
      <c r="E108" s="322" t="s">
        <v>126</v>
      </c>
      <c r="F108" s="499">
        <f>F104*F107</f>
        <v>47.348385965949348</v>
      </c>
      <c r="G108" s="470" t="s">
        <v>108</v>
      </c>
      <c r="H108" s="481"/>
    </row>
    <row r="109" spans="2:8" ht="16.5" x14ac:dyDescent="0.3">
      <c r="B109" s="477"/>
      <c r="C109" s="477"/>
      <c r="D109" s="477"/>
      <c r="E109" s="322" t="s">
        <v>118</v>
      </c>
      <c r="F109" s="499">
        <f>F103*F108</f>
        <v>56.818063159139214</v>
      </c>
      <c r="G109" s="470" t="s">
        <v>108</v>
      </c>
      <c r="H109" s="481"/>
    </row>
    <row r="110" spans="2:8" x14ac:dyDescent="0.25">
      <c r="B110" s="477"/>
      <c r="C110" s="477"/>
      <c r="D110" s="477"/>
      <c r="E110" s="478"/>
      <c r="F110" s="483"/>
      <c r="G110" s="480"/>
      <c r="H110" s="481"/>
    </row>
    <row r="111" spans="2:8" x14ac:dyDescent="0.25">
      <c r="B111" s="477"/>
      <c r="C111" s="477"/>
      <c r="D111" s="477"/>
      <c r="E111" s="470" t="s">
        <v>127</v>
      </c>
      <c r="F111" s="493"/>
      <c r="G111" s="480"/>
      <c r="H111" s="481"/>
    </row>
    <row r="112" spans="2:8" x14ac:dyDescent="0.25">
      <c r="B112" s="477"/>
      <c r="C112" s="477"/>
      <c r="D112" s="477"/>
      <c r="E112" s="478" t="s">
        <v>104</v>
      </c>
      <c r="F112" s="502">
        <v>1</v>
      </c>
      <c r="G112" s="480"/>
      <c r="H112" s="481"/>
    </row>
    <row r="113" spans="2:8" x14ac:dyDescent="0.25">
      <c r="B113" s="477"/>
      <c r="C113" s="477"/>
      <c r="D113" s="477"/>
      <c r="E113" s="322" t="s">
        <v>128</v>
      </c>
      <c r="F113" s="501">
        <f>C35</f>
        <v>2.2000000000000002</v>
      </c>
      <c r="G113" s="193" t="s">
        <v>12</v>
      </c>
      <c r="H113" s="481"/>
    </row>
    <row r="114" spans="2:8" x14ac:dyDescent="0.25">
      <c r="B114" s="477"/>
      <c r="C114" s="477"/>
      <c r="D114" s="477"/>
      <c r="E114" s="496" t="s">
        <v>123</v>
      </c>
      <c r="F114" s="501">
        <f>F113-D14</f>
        <v>0.60000000000000009</v>
      </c>
      <c r="G114" s="193" t="s">
        <v>12</v>
      </c>
      <c r="H114" s="481"/>
    </row>
    <row r="115" spans="2:8" ht="18.75" x14ac:dyDescent="0.3">
      <c r="B115" s="477"/>
      <c r="C115" s="477"/>
      <c r="D115" s="477"/>
      <c r="E115" s="322" t="s">
        <v>129</v>
      </c>
      <c r="F115" s="501">
        <f>IF(F114&gt;0,(1/2*PI()*D14^2+2*D14*F114),(ACOS(ABS(F114)/D14)*D14^2-(D14^2-F114^2)^0.5*ABS(F114)))</f>
        <v>5.9412385965949355</v>
      </c>
      <c r="G115" s="193" t="s">
        <v>125</v>
      </c>
      <c r="H115" s="481"/>
    </row>
    <row r="116" spans="2:8" ht="16.5" x14ac:dyDescent="0.3">
      <c r="B116" s="477"/>
      <c r="C116" s="477"/>
      <c r="D116" s="477"/>
      <c r="E116" s="322" t="s">
        <v>130</v>
      </c>
      <c r="F116" s="499">
        <f>F104*F115</f>
        <v>59.412385965949355</v>
      </c>
      <c r="G116" s="470" t="s">
        <v>108</v>
      </c>
      <c r="H116" s="481"/>
    </row>
    <row r="117" spans="2:8" ht="16.5" x14ac:dyDescent="0.3">
      <c r="B117" s="477"/>
      <c r="C117" s="477"/>
      <c r="D117" s="477"/>
      <c r="E117" s="322" t="s">
        <v>131</v>
      </c>
      <c r="F117" s="499">
        <f>F112*F116</f>
        <v>59.412385965949355</v>
      </c>
      <c r="G117" s="470" t="s">
        <v>108</v>
      </c>
      <c r="H117" s="481"/>
    </row>
    <row r="118" spans="2:8" ht="17.25" x14ac:dyDescent="0.25">
      <c r="B118" s="482" t="s">
        <v>67</v>
      </c>
      <c r="C118" s="497" t="s">
        <v>132</v>
      </c>
      <c r="D118" s="477"/>
      <c r="E118" s="478"/>
      <c r="F118" s="483"/>
      <c r="G118" s="480"/>
      <c r="H118" s="481"/>
    </row>
    <row r="119" spans="2:8" x14ac:dyDescent="0.25">
      <c r="B119" s="477"/>
      <c r="C119" s="477"/>
      <c r="D119" s="470"/>
      <c r="E119" s="478" t="s">
        <v>104</v>
      </c>
      <c r="F119" s="471">
        <v>1.05</v>
      </c>
      <c r="G119" s="470"/>
      <c r="H119" s="481"/>
    </row>
    <row r="120" spans="2:8" ht="16.5" x14ac:dyDescent="0.3">
      <c r="B120" s="477"/>
      <c r="C120" s="477"/>
      <c r="D120" s="322"/>
      <c r="E120" s="322" t="s">
        <v>133</v>
      </c>
      <c r="F120" s="503">
        <v>0</v>
      </c>
      <c r="G120" s="470" t="s">
        <v>108</v>
      </c>
      <c r="H120" s="481"/>
    </row>
    <row r="121" spans="2:8" ht="16.5" x14ac:dyDescent="0.3">
      <c r="B121" s="477"/>
      <c r="C121" s="477"/>
      <c r="D121" s="470"/>
      <c r="E121" s="322" t="s">
        <v>134</v>
      </c>
      <c r="F121" s="492">
        <f>F119*F120</f>
        <v>0</v>
      </c>
      <c r="G121" s="470" t="s">
        <v>108</v>
      </c>
      <c r="H121" s="481"/>
    </row>
    <row r="122" spans="2:8" ht="17.25" x14ac:dyDescent="0.25">
      <c r="B122" s="482" t="s">
        <v>67</v>
      </c>
      <c r="C122" s="497" t="s">
        <v>135</v>
      </c>
      <c r="D122" s="477"/>
      <c r="E122" s="478"/>
      <c r="F122" s="483"/>
      <c r="G122" s="480"/>
      <c r="H122" s="481"/>
    </row>
    <row r="123" spans="2:8" x14ac:dyDescent="0.25">
      <c r="B123" s="477"/>
      <c r="C123" s="477"/>
      <c r="D123" s="477"/>
      <c r="E123" s="478"/>
      <c r="F123" s="483"/>
      <c r="G123" s="480"/>
      <c r="H123" s="481"/>
    </row>
    <row r="124" spans="2:8" x14ac:dyDescent="0.25">
      <c r="B124" s="477"/>
      <c r="C124" s="477"/>
      <c r="D124" s="470"/>
      <c r="E124" s="478" t="s">
        <v>104</v>
      </c>
      <c r="F124" s="471">
        <v>1.05</v>
      </c>
      <c r="G124" s="470"/>
      <c r="H124" s="481"/>
    </row>
    <row r="125" spans="2:8" ht="18.75" x14ac:dyDescent="0.3">
      <c r="B125" s="477"/>
      <c r="C125" s="477"/>
      <c r="D125" s="470"/>
      <c r="E125" s="322" t="s">
        <v>136</v>
      </c>
      <c r="F125" s="471">
        <v>0</v>
      </c>
      <c r="G125" s="470" t="s">
        <v>106</v>
      </c>
      <c r="H125" s="481"/>
    </row>
    <row r="126" spans="2:8" ht="16.5" x14ac:dyDescent="0.25">
      <c r="B126" s="477"/>
      <c r="C126" s="477"/>
      <c r="D126" s="580" t="s">
        <v>137</v>
      </c>
      <c r="E126" s="580"/>
      <c r="F126" s="471">
        <v>0</v>
      </c>
      <c r="G126" s="470" t="s">
        <v>12</v>
      </c>
      <c r="H126" s="481"/>
    </row>
    <row r="127" spans="2:8" x14ac:dyDescent="0.25">
      <c r="B127" s="477"/>
      <c r="C127" s="477"/>
      <c r="D127" s="322"/>
      <c r="E127" s="322" t="s">
        <v>138</v>
      </c>
      <c r="F127" s="471">
        <v>0</v>
      </c>
      <c r="G127" s="470" t="s">
        <v>12</v>
      </c>
      <c r="H127" s="481"/>
    </row>
    <row r="128" spans="2:8" ht="17.25" x14ac:dyDescent="0.3">
      <c r="B128" s="477"/>
      <c r="C128" s="477"/>
      <c r="D128" s="322"/>
      <c r="E128" s="322" t="s">
        <v>139</v>
      </c>
      <c r="F128" s="504">
        <f>F125*(F126*F127)</f>
        <v>0</v>
      </c>
      <c r="G128" s="470" t="s">
        <v>108</v>
      </c>
      <c r="H128" s="481"/>
    </row>
    <row r="129" spans="2:12" ht="16.5" x14ac:dyDescent="0.3">
      <c r="B129" s="477"/>
      <c r="C129" s="477"/>
      <c r="D129" s="470"/>
      <c r="E129" s="322" t="s">
        <v>140</v>
      </c>
      <c r="F129" s="504">
        <f>F124*F128</f>
        <v>0</v>
      </c>
      <c r="G129" s="470" t="s">
        <v>108</v>
      </c>
      <c r="H129" s="481"/>
    </row>
    <row r="130" spans="2:12" x14ac:dyDescent="0.25">
      <c r="B130" s="477"/>
      <c r="C130" s="477"/>
      <c r="D130" s="470"/>
      <c r="E130" s="322"/>
      <c r="F130" s="505"/>
      <c r="G130" s="470"/>
      <c r="H130" s="481"/>
    </row>
    <row r="131" spans="2:12" ht="16.5" x14ac:dyDescent="0.25">
      <c r="B131" s="477"/>
      <c r="C131" s="470" t="s">
        <v>141</v>
      </c>
      <c r="D131" s="322"/>
      <c r="E131" s="322" t="s">
        <v>142</v>
      </c>
      <c r="F131" s="506">
        <v>1.2</v>
      </c>
      <c r="H131" s="507"/>
    </row>
    <row r="132" spans="2:12" ht="16.5" x14ac:dyDescent="0.25">
      <c r="B132" s="477"/>
      <c r="C132" s="470" t="s">
        <v>143</v>
      </c>
      <c r="D132" s="322"/>
      <c r="E132" s="322" t="s">
        <v>144</v>
      </c>
      <c r="F132" s="506">
        <v>1</v>
      </c>
      <c r="H132" s="507"/>
    </row>
    <row r="133" spans="2:12" ht="16.5" x14ac:dyDescent="0.3">
      <c r="E133" s="322" t="s">
        <v>145</v>
      </c>
      <c r="F133" s="508">
        <f>F88+F94+F99+F108+F120+F128</f>
        <v>111.72030213283469</v>
      </c>
      <c r="G133" s="470" t="s">
        <v>108</v>
      </c>
      <c r="H133" s="509" t="s">
        <v>146</v>
      </c>
      <c r="I133" s="520"/>
      <c r="J133" s="520"/>
      <c r="K133" s="520"/>
      <c r="L133" s="520"/>
    </row>
    <row r="134" spans="2:12" x14ac:dyDescent="0.25">
      <c r="B134" s="477"/>
      <c r="C134" s="470"/>
      <c r="D134" s="470"/>
      <c r="E134" s="322" t="s">
        <v>147</v>
      </c>
      <c r="F134" s="508">
        <f>F89+F95+F100+F109+F121+F129</f>
        <v>125.12857513436883</v>
      </c>
      <c r="G134" s="470" t="s">
        <v>108</v>
      </c>
      <c r="H134" s="507"/>
    </row>
    <row r="135" spans="2:12" ht="16.5" x14ac:dyDescent="0.3">
      <c r="B135" s="477"/>
      <c r="C135" s="470"/>
      <c r="D135" s="470"/>
      <c r="E135" s="322" t="s">
        <v>148</v>
      </c>
      <c r="F135" s="508">
        <f>F88+F94+F99+F116+F120+F128</f>
        <v>123.7843021328347</v>
      </c>
      <c r="G135" s="470" t="s">
        <v>108</v>
      </c>
      <c r="H135" s="507"/>
    </row>
    <row r="136" spans="2:12" x14ac:dyDescent="0.25">
      <c r="B136" s="477"/>
      <c r="C136" s="470"/>
      <c r="D136" s="470"/>
      <c r="E136" s="322" t="s">
        <v>149</v>
      </c>
      <c r="F136" s="508">
        <f>F89+F95+F100+F117+F121+F129</f>
        <v>127.72289794117897</v>
      </c>
      <c r="G136" s="470" t="s">
        <v>108</v>
      </c>
      <c r="H136" s="507"/>
    </row>
    <row r="137" spans="2:12" ht="17.25" x14ac:dyDescent="0.3">
      <c r="B137" s="477"/>
      <c r="C137" s="470"/>
      <c r="D137" s="470"/>
      <c r="E137" s="322" t="s">
        <v>150</v>
      </c>
      <c r="F137" s="508">
        <f>F131*F134</f>
        <v>150.15429016124259</v>
      </c>
      <c r="G137" s="470" t="s">
        <v>108</v>
      </c>
      <c r="H137" s="507"/>
    </row>
    <row r="138" spans="2:12" ht="17.25" x14ac:dyDescent="0.3">
      <c r="B138" s="477"/>
      <c r="C138" s="470"/>
      <c r="D138" s="470"/>
      <c r="E138" s="322" t="s">
        <v>151</v>
      </c>
      <c r="F138" s="508">
        <f>F132*F136</f>
        <v>127.72289794117897</v>
      </c>
      <c r="G138" s="470" t="s">
        <v>108</v>
      </c>
      <c r="H138" s="507"/>
    </row>
    <row r="139" spans="2:12" x14ac:dyDescent="0.25">
      <c r="B139" s="477"/>
      <c r="C139" s="470"/>
      <c r="D139" s="470"/>
      <c r="E139" s="322"/>
      <c r="F139" s="510" t="str">
        <f>IF(F137&gt;F138,"由设计工况控制纵向配筋","由满槽工况控制纵向配筋")</f>
        <v>由设计工况控制纵向配筋</v>
      </c>
      <c r="G139" s="511"/>
      <c r="H139" s="507"/>
    </row>
    <row r="140" spans="2:12" ht="16.5" x14ac:dyDescent="0.3">
      <c r="B140" s="477"/>
      <c r="C140" s="470"/>
      <c r="D140" s="470"/>
      <c r="E140" s="322" t="s">
        <v>152</v>
      </c>
      <c r="F140" s="512">
        <f>D15-0.6</f>
        <v>29.349999999999998</v>
      </c>
      <c r="G140" s="199" t="s">
        <v>12</v>
      </c>
      <c r="H140" s="513" t="s">
        <v>153</v>
      </c>
      <c r="I140" s="520"/>
    </row>
    <row r="141" spans="2:12" ht="16.5" x14ac:dyDescent="0.3">
      <c r="B141" s="477"/>
      <c r="C141" s="470"/>
      <c r="D141" s="470"/>
      <c r="E141" s="322" t="s">
        <v>154</v>
      </c>
      <c r="F141" s="512">
        <f>D15-2*0.6</f>
        <v>28.75</v>
      </c>
      <c r="G141" s="199" t="s">
        <v>12</v>
      </c>
      <c r="H141" s="507"/>
    </row>
    <row r="142" spans="2:12" ht="18.75" x14ac:dyDescent="0.3">
      <c r="B142" s="477"/>
      <c r="C142" s="470"/>
      <c r="D142" s="470"/>
      <c r="E142" s="322" t="s">
        <v>155</v>
      </c>
      <c r="F142" s="508">
        <f>1/8*F133*F140^2</f>
        <v>12029.797745502723</v>
      </c>
      <c r="G142" s="470" t="s">
        <v>156</v>
      </c>
      <c r="H142" s="507"/>
    </row>
    <row r="143" spans="2:12" ht="16.5" x14ac:dyDescent="0.3">
      <c r="B143" s="477"/>
      <c r="C143" s="470"/>
      <c r="D143" s="470"/>
      <c r="E143" s="322" t="s">
        <v>157</v>
      </c>
      <c r="F143" s="508">
        <f>1/2*F133*F141</f>
        <v>1605.9793431594987</v>
      </c>
      <c r="G143" s="470" t="s">
        <v>158</v>
      </c>
      <c r="H143" s="507"/>
    </row>
    <row r="144" spans="2:12" ht="18.75" x14ac:dyDescent="0.3">
      <c r="B144" s="477"/>
      <c r="C144" s="470"/>
      <c r="D144" s="470"/>
      <c r="E144" s="322" t="s">
        <v>159</v>
      </c>
      <c r="F144" s="508">
        <f>1/8*F134*F140^2</f>
        <v>13473.571251710728</v>
      </c>
      <c r="G144" s="470" t="s">
        <v>156</v>
      </c>
      <c r="H144" s="507"/>
    </row>
    <row r="145" spans="2:10" ht="16.5" x14ac:dyDescent="0.3">
      <c r="B145" s="477"/>
      <c r="C145" s="470"/>
      <c r="D145" s="470"/>
      <c r="E145" s="322" t="s">
        <v>160</v>
      </c>
      <c r="F145" s="508">
        <f>1/2*F134*F141</f>
        <v>1798.7232675565519</v>
      </c>
      <c r="G145" s="470" t="s">
        <v>158</v>
      </c>
      <c r="H145" s="507"/>
    </row>
    <row r="146" spans="2:10" x14ac:dyDescent="0.25">
      <c r="B146" s="477"/>
      <c r="C146" s="470"/>
      <c r="D146" s="470"/>
      <c r="E146" s="322"/>
      <c r="F146" s="514"/>
      <c r="G146" s="470"/>
      <c r="H146" s="507"/>
    </row>
    <row r="147" spans="2:10" s="448" customFormat="1" ht="15.75" x14ac:dyDescent="0.25">
      <c r="C147" s="468" t="s">
        <v>161</v>
      </c>
      <c r="D147" s="468"/>
      <c r="E147" s="468"/>
      <c r="F147" s="452"/>
    </row>
    <row r="148" spans="2:10" ht="15.75" x14ac:dyDescent="0.25">
      <c r="C148" s="497"/>
      <c r="D148" s="497"/>
      <c r="E148" s="497"/>
    </row>
    <row r="149" spans="2:10" ht="15.75" x14ac:dyDescent="0.25">
      <c r="C149" s="497"/>
      <c r="D149" s="515" t="s">
        <v>162</v>
      </c>
      <c r="E149" s="515"/>
      <c r="F149" s="516"/>
    </row>
    <row r="150" spans="2:10" ht="15.75" x14ac:dyDescent="0.25">
      <c r="C150" s="497"/>
      <c r="D150" s="497"/>
      <c r="E150" s="497"/>
    </row>
    <row r="151" spans="2:10" x14ac:dyDescent="0.25">
      <c r="C151" s="517" t="s">
        <v>163</v>
      </c>
      <c r="D151" s="517"/>
      <c r="E151" s="498"/>
      <c r="F151" s="518"/>
      <c r="G151" s="498"/>
    </row>
    <row r="152" spans="2:10" x14ac:dyDescent="0.25">
      <c r="C152" s="470" t="s">
        <v>164</v>
      </c>
      <c r="D152" s="470"/>
      <c r="E152" s="470"/>
      <c r="F152" s="493"/>
      <c r="G152" s="470"/>
    </row>
    <row r="153" spans="2:10" x14ac:dyDescent="0.25">
      <c r="C153" s="470" t="s">
        <v>165</v>
      </c>
      <c r="D153" s="470"/>
      <c r="E153" s="470"/>
      <c r="F153" s="493"/>
      <c r="G153" s="470"/>
    </row>
    <row r="154" spans="2:10" ht="19.5" x14ac:dyDescent="0.3">
      <c r="C154" s="470"/>
      <c r="D154" s="470"/>
      <c r="E154" s="322" t="s">
        <v>166</v>
      </c>
      <c r="F154" s="471">
        <v>140</v>
      </c>
      <c r="G154" s="470" t="s">
        <v>167</v>
      </c>
      <c r="I154" s="464" t="s">
        <v>168</v>
      </c>
      <c r="J154" s="193" t="s">
        <v>169</v>
      </c>
    </row>
    <row r="155" spans="2:10" x14ac:dyDescent="0.25">
      <c r="C155" s="470"/>
      <c r="D155" s="470"/>
      <c r="E155" s="322" t="s">
        <v>170</v>
      </c>
      <c r="F155" s="471">
        <v>5</v>
      </c>
      <c r="G155" s="470" t="s">
        <v>171</v>
      </c>
    </row>
    <row r="156" spans="2:10" ht="18.75" x14ac:dyDescent="0.3">
      <c r="C156" s="470"/>
      <c r="D156" s="470"/>
      <c r="E156" s="322" t="s">
        <v>172</v>
      </c>
      <c r="F156" s="519">
        <f>F154*F155</f>
        <v>700</v>
      </c>
      <c r="G156" s="470" t="s">
        <v>167</v>
      </c>
    </row>
    <row r="157" spans="2:10" x14ac:dyDescent="0.25">
      <c r="C157" s="470"/>
      <c r="D157" s="470"/>
      <c r="E157" s="322" t="s">
        <v>173</v>
      </c>
      <c r="F157" s="471">
        <v>7</v>
      </c>
      <c r="G157" s="493" t="s">
        <v>174</v>
      </c>
    </row>
    <row r="158" spans="2:10" ht="18.75" x14ac:dyDescent="0.3">
      <c r="C158" s="470"/>
      <c r="D158" s="470"/>
      <c r="E158" s="322" t="s">
        <v>175</v>
      </c>
      <c r="F158" s="519">
        <f>F156*F157</f>
        <v>4900</v>
      </c>
      <c r="G158" s="470" t="s">
        <v>167</v>
      </c>
    </row>
    <row r="159" spans="2:10" x14ac:dyDescent="0.25">
      <c r="B159" s="520" t="s">
        <v>176</v>
      </c>
      <c r="C159" s="517" t="s">
        <v>177</v>
      </c>
      <c r="D159" s="517"/>
      <c r="E159" s="521"/>
      <c r="F159" s="522"/>
      <c r="G159" s="498"/>
    </row>
    <row r="160" spans="2:10" ht="18.75" x14ac:dyDescent="0.3">
      <c r="C160" s="470"/>
      <c r="D160" s="470"/>
      <c r="E160" s="322" t="s">
        <v>178</v>
      </c>
      <c r="F160" s="471">
        <v>140</v>
      </c>
      <c r="G160" s="470" t="s">
        <v>167</v>
      </c>
    </row>
    <row r="161" spans="2:10" x14ac:dyDescent="0.25">
      <c r="C161" s="470"/>
      <c r="D161" s="470"/>
      <c r="E161" s="322" t="s">
        <v>179</v>
      </c>
      <c r="F161" s="471">
        <v>0</v>
      </c>
      <c r="G161" s="470" t="s">
        <v>171</v>
      </c>
    </row>
    <row r="162" spans="2:10" ht="18.75" x14ac:dyDescent="0.3">
      <c r="C162" s="470"/>
      <c r="D162" s="470"/>
      <c r="E162" s="322" t="s">
        <v>180</v>
      </c>
      <c r="F162" s="519">
        <f>F160*F161</f>
        <v>0</v>
      </c>
      <c r="G162" s="470" t="s">
        <v>167</v>
      </c>
    </row>
    <row r="163" spans="2:10" x14ac:dyDescent="0.25">
      <c r="C163" s="470"/>
      <c r="D163" s="470"/>
      <c r="E163" s="322" t="s">
        <v>181</v>
      </c>
      <c r="F163" s="471">
        <v>0</v>
      </c>
      <c r="G163" s="493" t="s">
        <v>174</v>
      </c>
    </row>
    <row r="164" spans="2:10" ht="18.75" x14ac:dyDescent="0.3">
      <c r="C164" s="470"/>
      <c r="D164" s="470"/>
      <c r="E164" s="322" t="s">
        <v>182</v>
      </c>
      <c r="F164" s="519">
        <f>F162*F163</f>
        <v>0</v>
      </c>
      <c r="G164" s="470" t="s">
        <v>167</v>
      </c>
    </row>
    <row r="165" spans="2:10" x14ac:dyDescent="0.25">
      <c r="C165" s="517" t="s">
        <v>183</v>
      </c>
      <c r="D165" s="517"/>
      <c r="E165" s="498"/>
      <c r="F165" s="518"/>
      <c r="G165" s="498"/>
    </row>
    <row r="166" spans="2:10" ht="18.75" x14ac:dyDescent="0.3">
      <c r="C166" s="470"/>
      <c r="D166" s="470"/>
      <c r="E166" s="322" t="s">
        <v>184</v>
      </c>
      <c r="F166" s="471">
        <f>1/4*PI()*25^2</f>
        <v>490.87385212340519</v>
      </c>
      <c r="G166" s="470" t="s">
        <v>167</v>
      </c>
      <c r="I166" s="464" t="s">
        <v>185</v>
      </c>
      <c r="J166" s="193" t="s">
        <v>186</v>
      </c>
    </row>
    <row r="167" spans="2:10" ht="16.5" x14ac:dyDescent="0.3">
      <c r="C167" s="470"/>
      <c r="D167" s="470"/>
      <c r="E167" s="322" t="s">
        <v>187</v>
      </c>
      <c r="F167" s="471">
        <v>5</v>
      </c>
      <c r="G167" s="470" t="s">
        <v>171</v>
      </c>
      <c r="I167" s="193" t="s">
        <v>188</v>
      </c>
    </row>
    <row r="168" spans="2:10" ht="18.75" x14ac:dyDescent="0.3">
      <c r="C168" s="470"/>
      <c r="D168" s="470"/>
      <c r="E168" s="322" t="s">
        <v>189</v>
      </c>
      <c r="F168" s="471">
        <f>F166*F167</f>
        <v>2454.3692606170262</v>
      </c>
      <c r="G168" s="470" t="s">
        <v>167</v>
      </c>
    </row>
    <row r="169" spans="2:10" x14ac:dyDescent="0.25">
      <c r="B169" s="520" t="s">
        <v>176</v>
      </c>
      <c r="C169" s="517" t="s">
        <v>190</v>
      </c>
      <c r="D169" s="517"/>
      <c r="E169" s="498"/>
      <c r="F169" s="518"/>
      <c r="G169" s="498"/>
    </row>
    <row r="170" spans="2:10" ht="18.75" x14ac:dyDescent="0.3">
      <c r="C170" s="470"/>
      <c r="D170" s="470"/>
      <c r="E170" s="322" t="s">
        <v>191</v>
      </c>
      <c r="F170" s="471">
        <v>201.1</v>
      </c>
      <c r="G170" s="470" t="s">
        <v>167</v>
      </c>
    </row>
    <row r="171" spans="2:10" ht="16.5" x14ac:dyDescent="0.3">
      <c r="C171" s="470"/>
      <c r="D171" s="470"/>
      <c r="E171" s="322" t="s">
        <v>192</v>
      </c>
      <c r="F171" s="471">
        <v>0</v>
      </c>
      <c r="G171" s="470" t="s">
        <v>171</v>
      </c>
    </row>
    <row r="172" spans="2:10" ht="18.75" x14ac:dyDescent="0.3">
      <c r="C172" s="470"/>
      <c r="D172" s="470"/>
      <c r="E172" s="322" t="s">
        <v>193</v>
      </c>
      <c r="F172" s="471">
        <f>F170*F171</f>
        <v>0</v>
      </c>
      <c r="G172" s="470" t="s">
        <v>167</v>
      </c>
    </row>
    <row r="173" spans="2:10" x14ac:dyDescent="0.25">
      <c r="C173" s="470"/>
    </row>
    <row r="174" spans="2:10" ht="17.25" x14ac:dyDescent="0.25">
      <c r="C174" s="470"/>
      <c r="E174" s="322" t="s">
        <v>194</v>
      </c>
      <c r="F174" s="467">
        <f>2*(G18+G19)*1000</f>
        <v>1120</v>
      </c>
      <c r="G174" s="470" t="s">
        <v>186</v>
      </c>
    </row>
    <row r="175" spans="2:10" ht="17.25" x14ac:dyDescent="0.25">
      <c r="C175" s="470"/>
      <c r="D175" s="470"/>
      <c r="E175" s="322" t="s">
        <v>195</v>
      </c>
      <c r="F175" s="492">
        <f>1/2*(G20+G20+G21)*1000</f>
        <v>449.99999999999994</v>
      </c>
      <c r="G175" s="470" t="s">
        <v>186</v>
      </c>
    </row>
    <row r="176" spans="2:10" x14ac:dyDescent="0.25">
      <c r="C176" s="470"/>
      <c r="D176" s="470"/>
      <c r="E176" s="322" t="s">
        <v>196</v>
      </c>
      <c r="F176" s="492">
        <f>2*G18*1000</f>
        <v>500</v>
      </c>
      <c r="G176" s="470" t="s">
        <v>186</v>
      </c>
    </row>
    <row r="177" spans="1:20" x14ac:dyDescent="0.25">
      <c r="C177" s="470"/>
      <c r="D177" s="322"/>
      <c r="E177" s="322" t="s">
        <v>197</v>
      </c>
      <c r="F177" s="475">
        <v>15.2</v>
      </c>
      <c r="G177" s="470" t="s">
        <v>186</v>
      </c>
    </row>
    <row r="178" spans="1:20" ht="16.5" x14ac:dyDescent="0.3">
      <c r="C178" s="470"/>
      <c r="D178" s="322"/>
      <c r="E178" s="322" t="s">
        <v>198</v>
      </c>
      <c r="F178" s="467">
        <f>(4*F154*F155/PI())^0.5</f>
        <v>29.854106607209232</v>
      </c>
      <c r="G178" s="470" t="s">
        <v>186</v>
      </c>
    </row>
    <row r="179" spans="1:20" ht="17.25" x14ac:dyDescent="0.3">
      <c r="C179" s="470"/>
      <c r="D179" s="470"/>
      <c r="E179" s="322" t="s">
        <v>199</v>
      </c>
      <c r="F179" s="492">
        <f>F178+15</f>
        <v>44.854106607209232</v>
      </c>
      <c r="G179" s="470" t="s">
        <v>186</v>
      </c>
      <c r="I179" s="494" t="s">
        <v>200</v>
      </c>
      <c r="J179" s="494"/>
      <c r="K179" s="494"/>
      <c r="L179" s="494"/>
      <c r="N179" s="524" t="s">
        <v>201</v>
      </c>
      <c r="O179" s="524"/>
      <c r="P179" s="524"/>
      <c r="Q179" s="524"/>
      <c r="R179" s="524" t="s">
        <v>202</v>
      </c>
      <c r="S179" s="524"/>
      <c r="T179" s="524"/>
    </row>
    <row r="180" spans="1:20" ht="18.75" x14ac:dyDescent="0.3">
      <c r="C180" s="470"/>
      <c r="D180" s="470"/>
      <c r="E180" s="322" t="s">
        <v>203</v>
      </c>
      <c r="F180" s="492">
        <f>F157*1/4*PI()*F179^2</f>
        <v>11060.94781217747</v>
      </c>
      <c r="G180" s="470" t="s">
        <v>167</v>
      </c>
    </row>
    <row r="181" spans="1:20" ht="16.5" x14ac:dyDescent="0.3">
      <c r="B181" s="476" t="s">
        <v>67</v>
      </c>
      <c r="D181" s="470"/>
      <c r="E181" s="322" t="s">
        <v>204</v>
      </c>
      <c r="F181" s="492">
        <f>(4*F161*F160/PI())^0.5</f>
        <v>0</v>
      </c>
      <c r="G181" s="470" t="s">
        <v>186</v>
      </c>
    </row>
    <row r="182" spans="1:20" ht="17.25" x14ac:dyDescent="0.3">
      <c r="B182" s="476" t="s">
        <v>67</v>
      </c>
      <c r="D182" s="470"/>
      <c r="E182" s="322" t="s">
        <v>205</v>
      </c>
      <c r="F182" s="492">
        <f>F181+15</f>
        <v>15</v>
      </c>
      <c r="G182" s="470" t="s">
        <v>186</v>
      </c>
    </row>
    <row r="183" spans="1:20" ht="18.75" x14ac:dyDescent="0.3">
      <c r="C183" s="476" t="s">
        <v>67</v>
      </c>
      <c r="D183" s="470"/>
      <c r="E183" s="322" t="s">
        <v>206</v>
      </c>
      <c r="F183" s="492">
        <f>F163*1/4*PI()*F182^2</f>
        <v>0</v>
      </c>
      <c r="G183" s="470" t="s">
        <v>167</v>
      </c>
    </row>
    <row r="184" spans="1:20" ht="18.75" x14ac:dyDescent="0.3">
      <c r="C184" s="470"/>
      <c r="D184" s="470"/>
      <c r="E184" s="322" t="s">
        <v>207</v>
      </c>
      <c r="F184" s="492">
        <f>F180+F183</f>
        <v>11060.94781217747</v>
      </c>
      <c r="G184" s="470" t="s">
        <v>167</v>
      </c>
    </row>
    <row r="185" spans="1:20" ht="16.5" x14ac:dyDescent="0.3">
      <c r="C185" s="470"/>
      <c r="D185" s="470"/>
      <c r="E185" s="322" t="s">
        <v>208</v>
      </c>
      <c r="F185" s="492">
        <f>F57/F45</f>
        <v>6</v>
      </c>
      <c r="G185" s="470"/>
    </row>
    <row r="186" spans="1:20" ht="16.5" x14ac:dyDescent="0.3">
      <c r="C186" s="470"/>
      <c r="D186" s="470"/>
      <c r="E186" s="322" t="s">
        <v>209</v>
      </c>
      <c r="F186" s="492">
        <f>F51/F45</f>
        <v>6.1538461538461542</v>
      </c>
    </row>
    <row r="187" spans="1:20" ht="18.75" x14ac:dyDescent="0.3">
      <c r="C187" s="470"/>
      <c r="D187" s="470"/>
      <c r="E187" s="322" t="s">
        <v>210</v>
      </c>
      <c r="F187" s="492">
        <f>IF(B169="！",F186*F168,F186*(F168+F172))</f>
        <v>15103.810834566315</v>
      </c>
      <c r="G187" s="470" t="s">
        <v>167</v>
      </c>
    </row>
    <row r="188" spans="1:20" ht="18.75" x14ac:dyDescent="0.3">
      <c r="C188" s="470"/>
      <c r="D188" s="470"/>
      <c r="E188" s="473" t="s">
        <v>211</v>
      </c>
      <c r="F188" s="492">
        <f>F71*10^6-F184+F187</f>
        <v>2292104.694882988</v>
      </c>
      <c r="G188" s="470" t="s">
        <v>167</v>
      </c>
    </row>
    <row r="189" spans="1:20" x14ac:dyDescent="0.25">
      <c r="C189" s="470"/>
      <c r="D189" s="470"/>
      <c r="E189" s="322" t="s">
        <v>212</v>
      </c>
      <c r="F189" s="523">
        <v>35</v>
      </c>
      <c r="G189" s="470" t="s">
        <v>186</v>
      </c>
    </row>
    <row r="190" spans="1:20" ht="16.5" x14ac:dyDescent="0.3">
      <c r="C190" s="470"/>
      <c r="D190" s="470"/>
      <c r="E190" s="322" t="s">
        <v>213</v>
      </c>
      <c r="F190" s="492">
        <f>F189+15</f>
        <v>50</v>
      </c>
      <c r="G190" s="470" t="s">
        <v>186</v>
      </c>
      <c r="H190" s="193" t="s">
        <v>214</v>
      </c>
    </row>
    <row r="191" spans="1:20" ht="16.5" x14ac:dyDescent="0.3">
      <c r="A191" s="520" t="s">
        <v>176</v>
      </c>
      <c r="C191" s="470"/>
      <c r="D191" s="470"/>
      <c r="E191" s="322" t="s">
        <v>215</v>
      </c>
      <c r="F191" s="492">
        <f>IF(A191="！",0,F189+15)</f>
        <v>0</v>
      </c>
      <c r="G191" s="470" t="s">
        <v>186</v>
      </c>
    </row>
    <row r="192" spans="1:20" x14ac:dyDescent="0.25">
      <c r="A192" s="520" t="s">
        <v>176</v>
      </c>
      <c r="C192" s="470"/>
      <c r="D192" s="470"/>
      <c r="E192" s="322" t="s">
        <v>216</v>
      </c>
      <c r="F192" s="523">
        <f>IF(F164+F172=0,0,(F164*F193+F191*F172)/(F164+F172))</f>
        <v>0</v>
      </c>
      <c r="G192" s="470" t="s">
        <v>186</v>
      </c>
    </row>
    <row r="193" spans="3:20" ht="16.5" x14ac:dyDescent="0.3">
      <c r="C193" s="470"/>
      <c r="D193" s="470"/>
      <c r="E193" s="322" t="s">
        <v>217</v>
      </c>
      <c r="F193" s="523">
        <v>0</v>
      </c>
      <c r="G193" s="470" t="s">
        <v>186</v>
      </c>
    </row>
    <row r="194" spans="3:20" ht="16.5" x14ac:dyDescent="0.3">
      <c r="C194" s="470"/>
      <c r="D194" s="470"/>
      <c r="E194" s="322" t="s">
        <v>218</v>
      </c>
      <c r="F194" s="523">
        <f>1/2*G18*1000</f>
        <v>125</v>
      </c>
      <c r="G194" s="470" t="s">
        <v>186</v>
      </c>
    </row>
    <row r="195" spans="3:20" x14ac:dyDescent="0.25">
      <c r="C195" s="470"/>
      <c r="D195" s="470"/>
      <c r="E195" s="322" t="s">
        <v>219</v>
      </c>
      <c r="F195" s="523">
        <f>F194</f>
        <v>125</v>
      </c>
      <c r="G195" s="470" t="s">
        <v>186</v>
      </c>
    </row>
    <row r="196" spans="3:20" ht="16.5" x14ac:dyDescent="0.3">
      <c r="C196" s="470"/>
      <c r="D196" s="470"/>
      <c r="E196" s="322" t="s">
        <v>220</v>
      </c>
      <c r="F196" s="492">
        <f>C37*1000-F195</f>
        <v>2675.0000000000005</v>
      </c>
      <c r="G196" s="470" t="s">
        <v>186</v>
      </c>
    </row>
    <row r="197" spans="3:20" x14ac:dyDescent="0.25">
      <c r="C197" s="470"/>
      <c r="D197" s="470"/>
      <c r="E197" s="322"/>
      <c r="F197" s="488"/>
      <c r="G197" s="470"/>
    </row>
    <row r="198" spans="3:20" x14ac:dyDescent="0.25">
      <c r="C198" s="470"/>
      <c r="D198" s="470"/>
      <c r="E198" s="322"/>
      <c r="F198" s="488"/>
      <c r="G198" s="470"/>
    </row>
    <row r="199" spans="3:20" ht="16.5" x14ac:dyDescent="0.25">
      <c r="C199" s="470"/>
      <c r="D199" s="470"/>
      <c r="E199" s="521" t="s">
        <v>221</v>
      </c>
      <c r="F199" s="492">
        <f>(F71*10^6*F72*10^3+F186*F168*(C37*10^3-F190)+F186*F172*F191-F180*(C37*10^3-F194)-F183*F194)/F188</f>
        <v>1524.744969040295</v>
      </c>
      <c r="G199" s="470" t="s">
        <v>186</v>
      </c>
      <c r="H199" s="246"/>
      <c r="I199" s="246"/>
      <c r="J199" s="246"/>
      <c r="K199" s="246"/>
      <c r="L199" s="246"/>
    </row>
    <row r="200" spans="3:20" ht="16.5" x14ac:dyDescent="0.3">
      <c r="C200" s="470"/>
      <c r="D200" s="470"/>
      <c r="E200" s="322" t="s">
        <v>222</v>
      </c>
      <c r="F200" s="492">
        <f>C37*10^3-F199</f>
        <v>1275.2550309597054</v>
      </c>
      <c r="G200" s="470" t="s">
        <v>186</v>
      </c>
    </row>
    <row r="201" spans="3:20" x14ac:dyDescent="0.25">
      <c r="C201" s="470"/>
      <c r="D201" s="470"/>
      <c r="E201" s="322"/>
      <c r="F201" s="492"/>
      <c r="G201" s="470"/>
    </row>
    <row r="202" spans="3:20" ht="18.75" x14ac:dyDescent="0.3">
      <c r="C202" s="470"/>
      <c r="D202" s="470"/>
      <c r="E202" s="521" t="s">
        <v>223</v>
      </c>
      <c r="F202" s="488"/>
      <c r="G202" s="470"/>
      <c r="P202" s="520" t="s">
        <v>224</v>
      </c>
      <c r="Q202" s="520"/>
      <c r="R202" s="520"/>
      <c r="S202" s="520"/>
      <c r="T202" s="520"/>
    </row>
    <row r="203" spans="3:20" ht="18.75" x14ac:dyDescent="0.3">
      <c r="E203" s="322" t="s">
        <v>225</v>
      </c>
      <c r="F203" s="467">
        <f>F74*10^12+F71*10^6*(F72*10^3-F199)^2+F186*F168*(C37*10^3-F190-F199)^2+F186*F164*(F191-F199)^2-F180*(C37*10^3-F194-F199)^2-F183*(F193-F199)^2</f>
        <v>1932605756057.9727</v>
      </c>
      <c r="G203" s="193" t="s">
        <v>226</v>
      </c>
      <c r="P203" s="520" t="s">
        <v>227</v>
      </c>
      <c r="Q203" s="520"/>
      <c r="R203" s="520"/>
      <c r="S203" s="520"/>
      <c r="T203" s="520"/>
    </row>
    <row r="204" spans="3:20" ht="18.75" x14ac:dyDescent="0.3">
      <c r="E204" s="322" t="s">
        <v>228</v>
      </c>
      <c r="F204" s="467">
        <f>IF(B159="！",F188+F185*F158,F188+F185*(F158+F164))</f>
        <v>2321504.694882988</v>
      </c>
      <c r="G204" s="193" t="s">
        <v>229</v>
      </c>
      <c r="P204" s="246"/>
      <c r="Q204" s="246"/>
      <c r="R204" s="246"/>
      <c r="S204" s="246"/>
      <c r="T204" s="246"/>
    </row>
    <row r="205" spans="3:20" x14ac:dyDescent="0.25">
      <c r="E205" s="322"/>
      <c r="F205" s="525"/>
      <c r="P205" s="246"/>
      <c r="Q205" s="246"/>
      <c r="R205" s="246"/>
      <c r="S205" s="246"/>
      <c r="T205" s="246"/>
    </row>
    <row r="206" spans="3:20" x14ac:dyDescent="0.25">
      <c r="E206" s="322"/>
      <c r="F206" s="525"/>
      <c r="Q206" s="246"/>
      <c r="R206" s="246"/>
      <c r="S206" s="246"/>
      <c r="T206" s="246"/>
    </row>
    <row r="207" spans="3:20" ht="16.5" x14ac:dyDescent="0.3">
      <c r="E207" s="322" t="s">
        <v>230</v>
      </c>
    </row>
    <row r="208" spans="3:20" ht="16.5" x14ac:dyDescent="0.3">
      <c r="E208" s="322" t="s">
        <v>231</v>
      </c>
      <c r="F208" s="467">
        <f>(F188*F199+F185*F158*(C37*10^3-F194)+F185*F164*F193)/F204</f>
        <v>1539.3120289238075</v>
      </c>
      <c r="G208" s="193" t="s">
        <v>186</v>
      </c>
      <c r="L208" s="246"/>
      <c r="M208" s="246"/>
      <c r="N208" s="246"/>
      <c r="O208" s="246"/>
      <c r="P208" s="246"/>
    </row>
    <row r="209" spans="1:16" ht="16.5" x14ac:dyDescent="0.3">
      <c r="E209" s="322" t="s">
        <v>232</v>
      </c>
      <c r="F209" s="467">
        <f>C37*10^3-F208</f>
        <v>1260.687971076193</v>
      </c>
      <c r="G209" s="193" t="s">
        <v>186</v>
      </c>
    </row>
    <row r="211" spans="1:16" ht="16.5" x14ac:dyDescent="0.25">
      <c r="D211" s="521"/>
      <c r="E211" s="521" t="s">
        <v>233</v>
      </c>
    </row>
    <row r="212" spans="1:16" ht="18.75" x14ac:dyDescent="0.3">
      <c r="E212" s="322" t="s">
        <v>234</v>
      </c>
      <c r="F212" s="467">
        <f>F203+F188*(F208-F199)^2+F185*F158*(F209-F194)^2+F185*F164*(F193-F208)^2</f>
        <v>1971011881646.4985</v>
      </c>
      <c r="G212" s="193" t="s">
        <v>226</v>
      </c>
      <c r="L212" s="246"/>
      <c r="M212" s="520" t="s">
        <v>235</v>
      </c>
      <c r="N212" s="246"/>
      <c r="O212" s="246"/>
      <c r="P212" s="246"/>
    </row>
    <row r="213" spans="1:16" ht="18.75" x14ac:dyDescent="0.3">
      <c r="E213" s="322" t="s">
        <v>236</v>
      </c>
      <c r="F213" s="467">
        <f>F212/F209</f>
        <v>1563441491.3659673</v>
      </c>
      <c r="G213" s="193" t="s">
        <v>237</v>
      </c>
    </row>
    <row r="214" spans="1:16" ht="18.75" x14ac:dyDescent="0.3">
      <c r="E214" s="322" t="s">
        <v>238</v>
      </c>
      <c r="F214" s="467">
        <f>F212/F208</f>
        <v>1280449866.3110619</v>
      </c>
      <c r="G214" s="193" t="s">
        <v>237</v>
      </c>
    </row>
    <row r="216" spans="1:16" x14ac:dyDescent="0.25">
      <c r="A216" s="521"/>
      <c r="B216" s="521"/>
      <c r="C216" s="521"/>
      <c r="D216" s="521"/>
      <c r="E216" s="521" t="s">
        <v>239</v>
      </c>
      <c r="F216" s="521"/>
      <c r="G216" s="521"/>
      <c r="H216" s="521"/>
      <c r="I216" s="521"/>
    </row>
    <row r="217" spans="1:16" x14ac:dyDescent="0.25">
      <c r="B217" s="581" t="s">
        <v>240</v>
      </c>
      <c r="C217" s="582"/>
      <c r="D217" s="582"/>
      <c r="E217" s="582"/>
      <c r="F217" s="582"/>
      <c r="G217" s="582"/>
      <c r="H217" s="582"/>
      <c r="I217" s="582"/>
    </row>
    <row r="218" spans="1:16" ht="16.5" x14ac:dyDescent="0.3">
      <c r="E218" s="322" t="s">
        <v>241</v>
      </c>
      <c r="F218" s="475">
        <f>0.75*F54</f>
        <v>1395</v>
      </c>
      <c r="G218" s="193" t="s">
        <v>242</v>
      </c>
    </row>
    <row r="219" spans="1:16" x14ac:dyDescent="0.25">
      <c r="C219" s="493" t="s">
        <v>243</v>
      </c>
      <c r="D219" s="470"/>
      <c r="E219" s="322"/>
      <c r="F219" s="526"/>
    </row>
    <row r="220" spans="1:16" x14ac:dyDescent="0.25">
      <c r="C220" s="470"/>
      <c r="D220" s="493" t="s">
        <v>244</v>
      </c>
      <c r="E220" s="322"/>
      <c r="F220" s="526"/>
    </row>
    <row r="221" spans="1:16" x14ac:dyDescent="0.25">
      <c r="C221" s="470"/>
      <c r="D221" s="493" t="s">
        <v>245</v>
      </c>
      <c r="E221" s="322"/>
      <c r="F221" s="526"/>
    </row>
    <row r="222" spans="1:16" x14ac:dyDescent="0.25">
      <c r="C222" s="470"/>
      <c r="D222" s="493" t="s">
        <v>246</v>
      </c>
      <c r="E222" s="322"/>
      <c r="F222" s="526"/>
    </row>
    <row r="223" spans="1:16" x14ac:dyDescent="0.25">
      <c r="C223" s="470"/>
      <c r="D223" s="493" t="s">
        <v>247</v>
      </c>
      <c r="E223" s="322"/>
      <c r="F223" s="526"/>
    </row>
    <row r="224" spans="1:16" ht="15.75" x14ac:dyDescent="0.25">
      <c r="C224" s="470"/>
      <c r="D224" s="493"/>
      <c r="E224" s="474" t="s">
        <v>248</v>
      </c>
      <c r="F224" s="475">
        <v>5</v>
      </c>
      <c r="G224" s="464" t="s">
        <v>186</v>
      </c>
    </row>
    <row r="225" spans="2:18" ht="15.75" x14ac:dyDescent="0.25">
      <c r="C225" s="470"/>
      <c r="D225" s="493"/>
      <c r="E225" s="474" t="s">
        <v>249</v>
      </c>
      <c r="F225" s="527">
        <f>D15*1000</f>
        <v>29950</v>
      </c>
      <c r="G225" s="464" t="s">
        <v>186</v>
      </c>
    </row>
    <row r="226" spans="2:18" ht="18.75" x14ac:dyDescent="0.35">
      <c r="E226" s="474" t="s">
        <v>250</v>
      </c>
      <c r="F226" s="467">
        <f>F224/F225*F57</f>
        <v>32.554257095158597</v>
      </c>
      <c r="G226" s="193" t="s">
        <v>242</v>
      </c>
    </row>
    <row r="227" spans="2:18" x14ac:dyDescent="0.25">
      <c r="E227" s="496" t="s">
        <v>251</v>
      </c>
      <c r="F227" s="475">
        <v>0.2</v>
      </c>
    </row>
    <row r="228" spans="2:18" x14ac:dyDescent="0.25">
      <c r="E228" s="496" t="s">
        <v>252</v>
      </c>
      <c r="F228" s="475">
        <v>0</v>
      </c>
      <c r="G228" s="193" t="s">
        <v>253</v>
      </c>
    </row>
    <row r="229" spans="2:18" x14ac:dyDescent="0.25">
      <c r="E229" s="496" t="s">
        <v>254</v>
      </c>
      <c r="F229" s="475">
        <v>1.5E-3</v>
      </c>
    </row>
    <row r="230" spans="2:18" ht="18" x14ac:dyDescent="0.25">
      <c r="E230" s="496" t="s">
        <v>255</v>
      </c>
      <c r="F230" s="475">
        <f>F225/2/1000</f>
        <v>14.975</v>
      </c>
      <c r="G230" s="193" t="s">
        <v>12</v>
      </c>
      <c r="K230" s="583" t="s">
        <v>256</v>
      </c>
      <c r="L230" s="583"/>
      <c r="M230" s="322"/>
      <c r="O230" s="532"/>
    </row>
    <row r="231" spans="2:18" x14ac:dyDescent="0.25">
      <c r="E231" s="193" t="s">
        <v>257</v>
      </c>
      <c r="F231" s="467">
        <f>F227*F228+F229*F230</f>
        <v>2.24625E-2</v>
      </c>
    </row>
    <row r="232" spans="2:18" ht="16.5" x14ac:dyDescent="0.3">
      <c r="E232" s="496" t="s">
        <v>258</v>
      </c>
      <c r="F232" s="467">
        <f>IF(F231&lt;0.2,F231*F218,F218*(1-EXP(-F231)))</f>
        <v>31.3351875</v>
      </c>
      <c r="G232" s="193" t="s">
        <v>242</v>
      </c>
    </row>
    <row r="233" spans="2:18" x14ac:dyDescent="0.25">
      <c r="E233" s="496" t="s">
        <v>259</v>
      </c>
      <c r="F233" s="475">
        <f>0.00001</f>
        <v>1.0000000000000001E-5</v>
      </c>
      <c r="G233" s="193" t="s">
        <v>260</v>
      </c>
    </row>
    <row r="234" spans="2:18" x14ac:dyDescent="0.25">
      <c r="E234" s="496" t="s">
        <v>261</v>
      </c>
      <c r="F234" s="475">
        <v>0</v>
      </c>
      <c r="G234" s="193" t="s">
        <v>262</v>
      </c>
    </row>
    <row r="235" spans="2:18" ht="16.5" x14ac:dyDescent="0.3">
      <c r="E235" s="496" t="s">
        <v>263</v>
      </c>
      <c r="F235" s="467">
        <f>F233*F234*F57</f>
        <v>0</v>
      </c>
      <c r="G235" s="193" t="s">
        <v>242</v>
      </c>
      <c r="N235" s="246"/>
      <c r="O235" s="246"/>
      <c r="P235" s="246"/>
      <c r="Q235" s="246"/>
      <c r="R235" s="246"/>
    </row>
    <row r="236" spans="2:18" ht="18.75" x14ac:dyDescent="0.35">
      <c r="E236" s="474" t="s">
        <v>264</v>
      </c>
      <c r="F236" s="528">
        <f>0.4*(F218/F54-0.5)*F218</f>
        <v>139.5</v>
      </c>
      <c r="G236" s="193" t="s">
        <v>242</v>
      </c>
      <c r="K236" s="520" t="s">
        <v>265</v>
      </c>
      <c r="L236" s="520"/>
      <c r="M236" s="520"/>
      <c r="N236" s="246"/>
      <c r="O236" s="246"/>
      <c r="P236" s="246"/>
      <c r="Q236" s="246"/>
      <c r="R236" s="246"/>
    </row>
    <row r="237" spans="2:18" ht="16.5" x14ac:dyDescent="0.3">
      <c r="B237" s="529"/>
      <c r="C237" s="529"/>
      <c r="D237" s="529"/>
      <c r="E237" s="530" t="s">
        <v>266</v>
      </c>
      <c r="K237" s="520" t="s">
        <v>267</v>
      </c>
      <c r="L237" s="520"/>
      <c r="M237" s="520"/>
    </row>
    <row r="238" spans="2:18" ht="18.75" x14ac:dyDescent="0.3">
      <c r="C238" s="529" t="s">
        <v>268</v>
      </c>
      <c r="E238" s="322" t="s">
        <v>269</v>
      </c>
      <c r="F238" s="475">
        <v>0</v>
      </c>
      <c r="G238" s="193" t="s">
        <v>242</v>
      </c>
      <c r="H238" s="529" t="s">
        <v>270</v>
      </c>
      <c r="I238" s="529"/>
      <c r="J238" s="520"/>
      <c r="K238" s="520"/>
    </row>
    <row r="239" spans="2:18" ht="16.5" x14ac:dyDescent="0.3">
      <c r="E239" s="322" t="s">
        <v>271</v>
      </c>
      <c r="F239" s="467">
        <f>F218-F226-F232-F235-F236-F238</f>
        <v>1191.6105554048413</v>
      </c>
      <c r="G239" s="193" t="s">
        <v>242</v>
      </c>
      <c r="H239" s="520" t="s">
        <v>272</v>
      </c>
      <c r="I239" s="520"/>
      <c r="J239" s="520"/>
    </row>
    <row r="241" spans="1:16" ht="16.5" x14ac:dyDescent="0.3">
      <c r="E241" s="322" t="s">
        <v>273</v>
      </c>
    </row>
    <row r="242" spans="1:16" ht="16.5" x14ac:dyDescent="0.3">
      <c r="E242" s="496" t="s">
        <v>274</v>
      </c>
      <c r="F242" s="467">
        <f>F239*F158+F239*F164-F238*F168-F238*F172</f>
        <v>5838891.7214837223</v>
      </c>
      <c r="G242" s="193" t="s">
        <v>275</v>
      </c>
      <c r="L242" s="246"/>
      <c r="M242" s="246"/>
      <c r="N242" s="246"/>
      <c r="O242" s="246"/>
      <c r="P242" s="246"/>
    </row>
    <row r="243" spans="1:16" x14ac:dyDescent="0.25">
      <c r="E243" s="531" t="s">
        <v>276</v>
      </c>
      <c r="F243" s="467">
        <f>F200-F194</f>
        <v>1150.2550309597054</v>
      </c>
      <c r="G243" s="193" t="s">
        <v>186</v>
      </c>
    </row>
    <row r="244" spans="1:16" x14ac:dyDescent="0.25">
      <c r="E244" s="531" t="s">
        <v>277</v>
      </c>
      <c r="F244" s="467">
        <f>F199-F193</f>
        <v>1524.744969040295</v>
      </c>
      <c r="G244" s="193" t="s">
        <v>186</v>
      </c>
    </row>
    <row r="245" spans="1:16" x14ac:dyDescent="0.25">
      <c r="E245" s="531" t="s">
        <v>278</v>
      </c>
      <c r="F245" s="467">
        <f>F200-F190</f>
        <v>1225.2550309597054</v>
      </c>
      <c r="G245" s="193" t="s">
        <v>186</v>
      </c>
    </row>
    <row r="246" spans="1:16" x14ac:dyDescent="0.25">
      <c r="E246" s="531" t="s">
        <v>279</v>
      </c>
      <c r="F246" s="467">
        <f>F199-F191</f>
        <v>1524.744969040295</v>
      </c>
      <c r="G246" s="193" t="s">
        <v>186</v>
      </c>
    </row>
    <row r="248" spans="1:16" ht="16.5" x14ac:dyDescent="0.3">
      <c r="E248" s="322" t="s">
        <v>280</v>
      </c>
    </row>
    <row r="249" spans="1:16" ht="16.5" x14ac:dyDescent="0.3">
      <c r="E249" s="496" t="s">
        <v>281</v>
      </c>
      <c r="F249" s="467">
        <f>(F239*F158*F243-F239*F164*F244-F238*F168*F245+F238*F172*F246)/F242</f>
        <v>1150.2550309597054</v>
      </c>
      <c r="G249" s="193" t="s">
        <v>186</v>
      </c>
      <c r="L249" s="246"/>
      <c r="M249" s="246"/>
      <c r="N249" s="246"/>
      <c r="O249" s="246"/>
      <c r="P249" s="246"/>
    </row>
    <row r="251" spans="1:16" ht="16.5" x14ac:dyDescent="0.3">
      <c r="E251" s="322" t="s">
        <v>282</v>
      </c>
    </row>
    <row r="253" spans="1:16" ht="16.5" x14ac:dyDescent="0.3">
      <c r="E253" s="322" t="s">
        <v>283</v>
      </c>
      <c r="F253" s="467">
        <f>F243</f>
        <v>1150.2550309597054</v>
      </c>
      <c r="G253" s="193" t="s">
        <v>186</v>
      </c>
    </row>
    <row r="254" spans="1:16" ht="16.5" x14ac:dyDescent="0.3">
      <c r="E254" s="496" t="s">
        <v>284</v>
      </c>
      <c r="F254" s="467">
        <f>F242/F188+F242*F249*F253/F203</f>
        <v>6.544773121453364</v>
      </c>
      <c r="G254" s="193" t="s">
        <v>242</v>
      </c>
    </row>
    <row r="255" spans="1:16" ht="16.5" x14ac:dyDescent="0.3">
      <c r="A255" s="246"/>
      <c r="E255" s="322" t="s">
        <v>285</v>
      </c>
    </row>
    <row r="256" spans="1:16" ht="16.5" x14ac:dyDescent="0.3">
      <c r="A256" s="246"/>
      <c r="E256" s="322" t="s">
        <v>286</v>
      </c>
      <c r="F256" s="467">
        <f>F244</f>
        <v>1524.744969040295</v>
      </c>
      <c r="G256" s="193" t="s">
        <v>186</v>
      </c>
    </row>
    <row r="257" spans="2:18" ht="16.5" x14ac:dyDescent="0.3">
      <c r="E257" s="496" t="s">
        <v>287</v>
      </c>
      <c r="F257" s="467">
        <f>F242/F188-F242*F249*F256/F203</f>
        <v>-2.7514187891184005</v>
      </c>
      <c r="G257" s="193" t="s">
        <v>242</v>
      </c>
    </row>
    <row r="258" spans="2:18" ht="16.5" x14ac:dyDescent="0.3">
      <c r="E258" s="496" t="s">
        <v>288</v>
      </c>
      <c r="F258" s="533">
        <f>IF(F257&lt;0,0,F257)</f>
        <v>0</v>
      </c>
      <c r="G258" s="193" t="s">
        <v>242</v>
      </c>
      <c r="J258" s="520" t="s">
        <v>289</v>
      </c>
      <c r="K258" s="520"/>
      <c r="L258" s="520"/>
      <c r="M258" s="520"/>
      <c r="N258" s="520"/>
    </row>
    <row r="259" spans="2:18" ht="17.25" x14ac:dyDescent="0.3">
      <c r="B259" s="516" t="s">
        <v>290</v>
      </c>
      <c r="C259" s="520"/>
      <c r="D259" s="520"/>
      <c r="E259" s="520"/>
      <c r="F259" s="534"/>
      <c r="G259" s="520"/>
      <c r="J259" s="520" t="s">
        <v>291</v>
      </c>
      <c r="K259" s="520"/>
      <c r="L259" s="520"/>
      <c r="M259" s="520"/>
    </row>
    <row r="261" spans="2:18" ht="15.75" x14ac:dyDescent="0.25">
      <c r="E261" s="474" t="s">
        <v>292</v>
      </c>
      <c r="F261" s="467">
        <f>(F158+F168)/F188</f>
        <v>3.2085660297434481E-3</v>
      </c>
    </row>
    <row r="262" spans="2:18" ht="15.75" x14ac:dyDescent="0.25">
      <c r="E262" s="474" t="s">
        <v>293</v>
      </c>
      <c r="F262" s="467">
        <f>(F172+F164)/F188</f>
        <v>0</v>
      </c>
      <c r="K262" s="246"/>
      <c r="L262" s="246"/>
      <c r="M262" s="246"/>
      <c r="N262" s="246"/>
      <c r="O262" s="246"/>
    </row>
    <row r="265" spans="2:18" ht="17.25" x14ac:dyDescent="0.3">
      <c r="D265" s="529" t="s">
        <v>294</v>
      </c>
      <c r="E265" s="535" t="s">
        <v>295</v>
      </c>
      <c r="F265" s="467">
        <f>(35+280*F254/F48)/(1+15*F261)</f>
        <v>91.672490548048074</v>
      </c>
      <c r="G265" s="193" t="s">
        <v>242</v>
      </c>
      <c r="L265" s="246"/>
      <c r="M265" s="541"/>
      <c r="N265" s="246"/>
      <c r="O265" s="246"/>
      <c r="P265" s="246"/>
      <c r="Q265" s="246"/>
      <c r="R265" s="246"/>
    </row>
    <row r="266" spans="2:18" ht="16.5" x14ac:dyDescent="0.3">
      <c r="E266" s="322" t="s">
        <v>296</v>
      </c>
      <c r="F266" s="467">
        <f>IF(F262&gt;0,(35+280*F258)/(1+15*F262),0)</f>
        <v>0</v>
      </c>
      <c r="G266" s="193" t="s">
        <v>242</v>
      </c>
    </row>
    <row r="268" spans="2:18" ht="16.5" x14ac:dyDescent="0.3">
      <c r="F268" s="467">
        <f>F226+F232+F235+F236+F265</f>
        <v>295.06193514320665</v>
      </c>
      <c r="G268" s="193" t="s">
        <v>242</v>
      </c>
      <c r="I268" s="524" t="s">
        <v>297</v>
      </c>
      <c r="J268" s="524"/>
      <c r="K268" s="524"/>
      <c r="L268" s="524"/>
    </row>
    <row r="270" spans="2:18" ht="16.5" x14ac:dyDescent="0.25">
      <c r="C270" s="498" t="s">
        <v>298</v>
      </c>
    </row>
    <row r="271" spans="2:18" ht="18.75" x14ac:dyDescent="0.3">
      <c r="E271" s="322" t="s">
        <v>299</v>
      </c>
      <c r="F271" s="467">
        <f>F218-F268</f>
        <v>1099.9380648567933</v>
      </c>
      <c r="G271" s="193" t="s">
        <v>242</v>
      </c>
    </row>
    <row r="272" spans="2:18" ht="16.5" x14ac:dyDescent="0.3">
      <c r="E272" s="322" t="s">
        <v>273</v>
      </c>
    </row>
    <row r="273" spans="1:12" x14ac:dyDescent="0.25">
      <c r="F273" s="467">
        <f>F271*F158+F271*F164-F265*F168-F266*F172</f>
        <v>5164698.3749529524</v>
      </c>
      <c r="G273" s="193" t="s">
        <v>275</v>
      </c>
      <c r="H273" s="246"/>
      <c r="I273" s="246"/>
      <c r="J273" s="246"/>
      <c r="K273" s="246"/>
      <c r="L273" s="246"/>
    </row>
    <row r="274" spans="1:12" ht="16.5" x14ac:dyDescent="0.3">
      <c r="E274" s="322" t="s">
        <v>280</v>
      </c>
    </row>
    <row r="276" spans="1:12" x14ac:dyDescent="0.25">
      <c r="F276" s="467">
        <f>(F271*F158*F243-F271*F164*F244-F265*F168*F245+F266*F172*F246)/F273</f>
        <v>1146.9876841587313</v>
      </c>
      <c r="G276" s="193" t="s">
        <v>186</v>
      </c>
      <c r="H276" s="246"/>
      <c r="I276" s="246"/>
      <c r="J276" s="246"/>
      <c r="K276" s="246"/>
      <c r="L276" s="246"/>
    </row>
    <row r="278" spans="1:12" ht="16.5" x14ac:dyDescent="0.3">
      <c r="A278" s="584" t="s">
        <v>300</v>
      </c>
      <c r="B278" s="584"/>
      <c r="C278" s="584"/>
      <c r="D278" s="584"/>
      <c r="E278" s="584"/>
      <c r="F278" s="584"/>
      <c r="G278" s="584"/>
    </row>
    <row r="280" spans="1:12" x14ac:dyDescent="0.25">
      <c r="F280" s="467">
        <f>F273/F188+F273*F276*F200/F203</f>
        <v>6.1621822899671068</v>
      </c>
      <c r="G280" s="193" t="s">
        <v>242</v>
      </c>
      <c r="H280" s="520" t="s">
        <v>301</v>
      </c>
    </row>
    <row r="283" spans="1:12" x14ac:dyDescent="0.25">
      <c r="F283" s="467">
        <f>F273/F188-F273*F276*F199/F203</f>
        <v>-2.4204099680300106</v>
      </c>
      <c r="G283" s="193" t="s">
        <v>242</v>
      </c>
      <c r="H283" s="520" t="s">
        <v>302</v>
      </c>
    </row>
    <row r="285" spans="1:12" x14ac:dyDescent="0.25">
      <c r="B285" s="498" t="s">
        <v>303</v>
      </c>
    </row>
    <row r="286" spans="1:12" ht="16.5" x14ac:dyDescent="0.25">
      <c r="E286" s="531" t="s">
        <v>304</v>
      </c>
      <c r="F286" s="467">
        <f>F218-F268+F185*F280</f>
        <v>1136.9111585965959</v>
      </c>
      <c r="G286" s="193" t="s">
        <v>242</v>
      </c>
    </row>
    <row r="287" spans="1:12" ht="16.5" x14ac:dyDescent="0.25">
      <c r="E287" s="531" t="s">
        <v>305</v>
      </c>
      <c r="F287" s="467">
        <f>F218-F268+F185*F283</f>
        <v>1085.4156050486133</v>
      </c>
      <c r="G287" s="193" t="s">
        <v>242</v>
      </c>
    </row>
    <row r="288" spans="1:12" x14ac:dyDescent="0.25">
      <c r="E288" s="531"/>
      <c r="F288" s="525"/>
    </row>
    <row r="289" spans="2:8" x14ac:dyDescent="0.25">
      <c r="B289" s="498" t="s">
        <v>306</v>
      </c>
      <c r="C289" s="498"/>
      <c r="D289" s="521"/>
      <c r="E289" s="536"/>
      <c r="F289" s="498"/>
      <c r="G289" s="498"/>
      <c r="H289" s="498"/>
    </row>
    <row r="290" spans="2:8" ht="16.5" x14ac:dyDescent="0.25">
      <c r="B290" s="518" t="s">
        <v>307</v>
      </c>
      <c r="C290" s="470"/>
      <c r="D290" s="470"/>
      <c r="E290" s="505"/>
      <c r="F290" s="470"/>
      <c r="G290" s="470"/>
      <c r="H290" s="470"/>
    </row>
    <row r="291" spans="2:8" x14ac:dyDescent="0.25">
      <c r="B291" s="470"/>
      <c r="C291" s="470"/>
      <c r="D291" s="521"/>
      <c r="E291" s="505"/>
      <c r="F291" s="470"/>
      <c r="G291" s="470"/>
      <c r="H291" s="470"/>
    </row>
    <row r="292" spans="2:8" x14ac:dyDescent="0.25">
      <c r="B292" s="470"/>
      <c r="C292" s="470"/>
      <c r="D292" s="521"/>
      <c r="E292" s="505"/>
      <c r="F292" s="470"/>
      <c r="G292" s="470"/>
      <c r="H292" s="470"/>
    </row>
    <row r="293" spans="2:8" x14ac:dyDescent="0.25">
      <c r="B293" s="470"/>
      <c r="C293" s="470"/>
      <c r="D293" s="470"/>
      <c r="E293" s="505"/>
      <c r="F293" s="470"/>
      <c r="G293" s="470"/>
      <c r="H293" s="470"/>
    </row>
    <row r="294" spans="2:8" x14ac:dyDescent="0.25">
      <c r="B294" s="470"/>
      <c r="C294" s="470"/>
      <c r="D294" s="521"/>
      <c r="E294" s="505"/>
      <c r="F294" s="470"/>
      <c r="G294" s="470"/>
      <c r="H294" s="470"/>
    </row>
    <row r="295" spans="2:8" x14ac:dyDescent="0.25">
      <c r="B295" s="470"/>
      <c r="C295" s="470"/>
      <c r="D295" s="521"/>
      <c r="E295" s="505"/>
      <c r="F295" s="470"/>
      <c r="G295" s="470"/>
      <c r="H295" s="470"/>
    </row>
    <row r="296" spans="2:8" ht="16.5" x14ac:dyDescent="0.25">
      <c r="B296" s="518" t="s">
        <v>308</v>
      </c>
      <c r="C296" s="470"/>
      <c r="D296" s="521"/>
      <c r="E296" s="505"/>
      <c r="F296" s="470"/>
      <c r="G296" s="470"/>
      <c r="H296" s="470"/>
    </row>
    <row r="297" spans="2:8" ht="16.5" x14ac:dyDescent="0.25">
      <c r="B297" s="518" t="s">
        <v>309</v>
      </c>
      <c r="C297" s="470"/>
      <c r="D297" s="521"/>
      <c r="E297" s="505"/>
      <c r="F297" s="470"/>
      <c r="G297" s="470"/>
      <c r="H297" s="470"/>
    </row>
    <row r="298" spans="2:8" ht="16.5" x14ac:dyDescent="0.25">
      <c r="B298" s="518" t="s">
        <v>310</v>
      </c>
      <c r="C298" s="470"/>
      <c r="D298" s="521"/>
      <c r="E298" s="505"/>
      <c r="F298" s="470"/>
      <c r="G298" s="470"/>
      <c r="H298" s="470"/>
    </row>
    <row r="299" spans="2:8" ht="16.5" x14ac:dyDescent="0.25">
      <c r="E299" s="521" t="s">
        <v>311</v>
      </c>
      <c r="F299" s="537">
        <f>0.8/(1.6+(F55-F286)/(0.0033*F57))</f>
        <v>0.42451120388329727</v>
      </c>
    </row>
    <row r="300" spans="2:8" ht="16.5" x14ac:dyDescent="0.3">
      <c r="E300" s="538" t="s">
        <v>312</v>
      </c>
      <c r="F300" s="475">
        <v>0.55000000000000004</v>
      </c>
    </row>
    <row r="301" spans="2:8" ht="16.5" x14ac:dyDescent="0.25">
      <c r="E301" s="521" t="s">
        <v>313</v>
      </c>
      <c r="F301" s="537">
        <f>MIN(F299:F300)</f>
        <v>0.42451120388329727</v>
      </c>
    </row>
    <row r="302" spans="2:8" ht="15.75" x14ac:dyDescent="0.25">
      <c r="E302" s="474" t="s">
        <v>314</v>
      </c>
    </row>
    <row r="303" spans="2:8" x14ac:dyDescent="0.25">
      <c r="F303" s="467">
        <f>F49*F168+F55*F158</f>
        <v>7351572.9338221289</v>
      </c>
      <c r="G303" s="193" t="s">
        <v>275</v>
      </c>
    </row>
    <row r="305" spans="3:9" x14ac:dyDescent="0.25">
      <c r="F305" s="467">
        <f>F41*F174*F175+F50*F172-(F287-F56)*F164</f>
        <v>9626399.9999999981</v>
      </c>
      <c r="G305" s="193" t="s">
        <v>275</v>
      </c>
    </row>
    <row r="307" spans="3:9" x14ac:dyDescent="0.25">
      <c r="F307" s="467" t="str">
        <f>IF(F303&gt;F305,"第二类T形截面","第一类T行截面")</f>
        <v>第一类T行截面</v>
      </c>
      <c r="G307" s="466"/>
      <c r="H307" s="466" t="str">
        <f>IF(F307="第一类T行截面","x&lt;h'f","x&gt;h'f")</f>
        <v>x&lt;h'f</v>
      </c>
    </row>
    <row r="308" spans="3:9" ht="15.75" x14ac:dyDescent="0.25">
      <c r="E308" s="474" t="s">
        <v>315</v>
      </c>
      <c r="F308" s="467">
        <f>IF(F307="第一类T行截面",((F49*F168-F50*F172+F55*F158+(F287-F56)*F164)/(F41*F174)),((F49*F168-F50*F172+F55*F158+(F287-F56)*F164-F41*(F174-F176)*F175)/(F41*F176)))</f>
        <v>343.65991650253034</v>
      </c>
      <c r="G308" s="193" t="s">
        <v>186</v>
      </c>
    </row>
    <row r="309" spans="3:9" ht="16.5" x14ac:dyDescent="0.3">
      <c r="E309" s="322" t="s">
        <v>316</v>
      </c>
      <c r="F309" s="467">
        <f>0.85*F301*F196</f>
        <v>965.23234982964732</v>
      </c>
      <c r="G309" s="193" t="s">
        <v>186</v>
      </c>
    </row>
    <row r="310" spans="3:9" x14ac:dyDescent="0.25">
      <c r="F310" s="467" t="str">
        <f>IF(F308&lt;F309,"x≤0.85ζbh0，满足条件","x&gt;0.85ζbh0，不满足条件")</f>
        <v>x≤0.85ζbh0，满足条件</v>
      </c>
      <c r="G310" s="466"/>
      <c r="H310" s="466"/>
    </row>
    <row r="311" spans="3:9" ht="18" x14ac:dyDescent="0.25">
      <c r="E311" s="322" t="s">
        <v>317</v>
      </c>
      <c r="F311" s="467">
        <f>2*F192</f>
        <v>0</v>
      </c>
      <c r="G311" s="193" t="s">
        <v>186</v>
      </c>
    </row>
    <row r="312" spans="3:9" x14ac:dyDescent="0.25">
      <c r="F312" s="467" t="str">
        <f>IF(F308&gt;=F311,"x≥2a′，满足条件","不满足条件")</f>
        <v>x≥2a′，满足条件</v>
      </c>
      <c r="G312" s="466"/>
    </row>
    <row r="313" spans="3:9" x14ac:dyDescent="0.25">
      <c r="E313" s="539" t="s">
        <v>318</v>
      </c>
      <c r="F313" s="467">
        <f>IF(F307="第一类T行截面",(F41*F174*F308*(F196-1/2*F308)+F50*F172*(F196-F191)-(F287-F56)*F164*(F196-F193)),(F41*F174*F308*(F196-1/2*F308)+F41*(F174-F176)*F175*(F196-1/2*F175)+F50*F172*(F196-F191)-(F287-F56)*F164*(F196-F193)))</f>
        <v>18402237127.674412</v>
      </c>
      <c r="G313" s="193" t="s">
        <v>319</v>
      </c>
    </row>
    <row r="314" spans="3:9" x14ac:dyDescent="0.25">
      <c r="E314" s="539" t="s">
        <v>320</v>
      </c>
      <c r="F314" s="475">
        <v>1.2</v>
      </c>
    </row>
    <row r="315" spans="3:9" x14ac:dyDescent="0.25">
      <c r="E315" s="539" t="s">
        <v>321</v>
      </c>
      <c r="F315" s="540">
        <f>F144*10^6</f>
        <v>13473571251.710728</v>
      </c>
      <c r="G315" s="193" t="s">
        <v>319</v>
      </c>
    </row>
    <row r="316" spans="3:9" x14ac:dyDescent="0.25">
      <c r="E316" s="539" t="s">
        <v>322</v>
      </c>
      <c r="F316" s="540">
        <f>F314*F315</f>
        <v>16168285502.052872</v>
      </c>
      <c r="G316" s="193" t="s">
        <v>319</v>
      </c>
    </row>
    <row r="317" spans="3:9" x14ac:dyDescent="0.25">
      <c r="E317" s="539" t="s">
        <v>323</v>
      </c>
      <c r="F317" s="540" t="str">
        <f>IF(F316&lt;F313,"≤","&gt;")</f>
        <v>≤</v>
      </c>
      <c r="G317" s="522" t="s">
        <v>324</v>
      </c>
      <c r="H317" s="529" t="str">
        <f>IF(F317="≤","满足承载力设计要求","不满足承载力设计要求")</f>
        <v>满足承载力设计要求</v>
      </c>
      <c r="I317" s="529"/>
    </row>
    <row r="319" spans="3:9" s="448" customFormat="1" ht="15.75" x14ac:dyDescent="0.25">
      <c r="C319" s="468" t="s">
        <v>325</v>
      </c>
      <c r="F319" s="452"/>
    </row>
    <row r="320" spans="3:9" x14ac:dyDescent="0.25">
      <c r="E320" s="473" t="s">
        <v>320</v>
      </c>
      <c r="F320" s="475">
        <v>1.2</v>
      </c>
    </row>
    <row r="321" spans="3:8" x14ac:dyDescent="0.25">
      <c r="E321" s="473" t="s">
        <v>326</v>
      </c>
      <c r="F321" s="542">
        <f>F145*10^3</f>
        <v>1798723.2675565518</v>
      </c>
      <c r="G321" s="193" t="s">
        <v>275</v>
      </c>
    </row>
    <row r="322" spans="3:8" x14ac:dyDescent="0.25">
      <c r="E322" s="473" t="s">
        <v>327</v>
      </c>
      <c r="F322" s="542">
        <f>F320*F321</f>
        <v>2158467.9210678623</v>
      </c>
      <c r="G322" s="193" t="s">
        <v>275</v>
      </c>
    </row>
    <row r="323" spans="3:8" ht="16.5" x14ac:dyDescent="0.3">
      <c r="E323" s="473" t="s">
        <v>328</v>
      </c>
      <c r="F323" s="467">
        <f>F196-F175</f>
        <v>2225.0000000000005</v>
      </c>
      <c r="G323" s="193" t="s">
        <v>186</v>
      </c>
    </row>
    <row r="324" spans="3:8" x14ac:dyDescent="0.25">
      <c r="E324" s="473" t="s">
        <v>329</v>
      </c>
      <c r="F324" s="467">
        <f>F176</f>
        <v>500</v>
      </c>
      <c r="G324" s="193" t="s">
        <v>186</v>
      </c>
    </row>
    <row r="325" spans="3:8" ht="16.5" x14ac:dyDescent="0.3">
      <c r="E325" s="473" t="s">
        <v>330</v>
      </c>
      <c r="F325" s="467">
        <f>F323/F324</f>
        <v>4.4500000000000011</v>
      </c>
    </row>
    <row r="326" spans="3:8" ht="16.5" x14ac:dyDescent="0.25">
      <c r="D326" s="466">
        <f>IF(F325&lt;4,0.25,IF(F325&lt;6,((0.25-0.2)/(4-6)*(F325-4)+0.25),0.2))</f>
        <v>0.23874999999999996</v>
      </c>
      <c r="E326" s="543" t="s">
        <v>331</v>
      </c>
      <c r="F326" s="467">
        <f>D326*F41*F176*F196</f>
        <v>6099167.1875</v>
      </c>
      <c r="G326" s="193" t="s">
        <v>275</v>
      </c>
    </row>
    <row r="327" spans="3:8" x14ac:dyDescent="0.25">
      <c r="F327" s="544" t="str">
        <f>IF(F322&lt;F326,"截面尺寸满足要求","截面尺寸不满足要求")</f>
        <v>截面尺寸满足要求</v>
      </c>
      <c r="G327" s="529"/>
      <c r="H327" s="246"/>
    </row>
    <row r="328" spans="3:8" s="246" customFormat="1" x14ac:dyDescent="0.25">
      <c r="C328" s="476" t="s">
        <v>332</v>
      </c>
      <c r="D328" s="476"/>
      <c r="E328" s="476"/>
      <c r="F328" s="525"/>
    </row>
    <row r="329" spans="3:8" ht="16.5" x14ac:dyDescent="0.3">
      <c r="E329" s="322" t="s">
        <v>333</v>
      </c>
      <c r="F329" s="467">
        <f>0.7*F42*F176*F196</f>
        <v>1600987.5</v>
      </c>
      <c r="G329" s="193" t="s">
        <v>275</v>
      </c>
    </row>
    <row r="330" spans="3:8" x14ac:dyDescent="0.25">
      <c r="E330" s="531" t="s">
        <v>334</v>
      </c>
      <c r="F330" s="467">
        <f>F286*F158+F287*F164-F265*F168-F266*F172</f>
        <v>5345866.5342779858</v>
      </c>
      <c r="G330" s="193" t="s">
        <v>275</v>
      </c>
    </row>
    <row r="331" spans="3:8" ht="16.5" x14ac:dyDescent="0.3">
      <c r="E331" s="193" t="s">
        <v>335</v>
      </c>
      <c r="F331" s="467">
        <f>0.3*F41*F204</f>
        <v>13302221.901679521</v>
      </c>
      <c r="G331" s="193" t="s">
        <v>275</v>
      </c>
    </row>
    <row r="332" spans="3:8" ht="16.5" x14ac:dyDescent="0.3">
      <c r="E332" s="496" t="s">
        <v>336</v>
      </c>
      <c r="F332" s="467">
        <f>IF(F330&gt;F331,F331,F330)</f>
        <v>5345866.5342779858</v>
      </c>
      <c r="G332" s="193" t="s">
        <v>275</v>
      </c>
      <c r="H332" s="520" t="s">
        <v>337</v>
      </c>
    </row>
    <row r="333" spans="3:8" ht="16.5" x14ac:dyDescent="0.3">
      <c r="E333" s="322" t="s">
        <v>338</v>
      </c>
      <c r="F333" s="467">
        <f>0.05*F332</f>
        <v>267293.32671389933</v>
      </c>
      <c r="G333" s="193" t="s">
        <v>275</v>
      </c>
      <c r="H333" s="246"/>
    </row>
    <row r="334" spans="3:8" ht="15.75" x14ac:dyDescent="0.25">
      <c r="E334" s="474" t="s">
        <v>339</v>
      </c>
      <c r="F334" s="467">
        <f>F329+F333</f>
        <v>1868280.8267138994</v>
      </c>
      <c r="G334" s="193" t="s">
        <v>275</v>
      </c>
    </row>
    <row r="335" spans="3:8" x14ac:dyDescent="0.25">
      <c r="F335" s="544" t="str">
        <f>IF(F334&lt;F322,"需按计算配置箍筋","不需按计算配置箍筋")</f>
        <v>需按计算配置箍筋</v>
      </c>
      <c r="G335" s="529"/>
    </row>
    <row r="336" spans="3:8" x14ac:dyDescent="0.25">
      <c r="F336" s="525"/>
      <c r="G336" s="246"/>
    </row>
    <row r="337" spans="3:10" x14ac:dyDescent="0.25">
      <c r="E337" s="465" t="s">
        <v>340</v>
      </c>
      <c r="F337" s="475"/>
      <c r="G337" s="465"/>
      <c r="H337" s="465"/>
      <c r="I337" s="465"/>
    </row>
    <row r="338" spans="3:10" s="246" customFormat="1" ht="15.75" x14ac:dyDescent="0.25">
      <c r="E338" s="474" t="s">
        <v>341</v>
      </c>
      <c r="F338" s="475">
        <v>6</v>
      </c>
      <c r="G338" s="246" t="s">
        <v>186</v>
      </c>
    </row>
    <row r="339" spans="3:10" ht="18.75" x14ac:dyDescent="0.3">
      <c r="E339" s="322" t="s">
        <v>342</v>
      </c>
      <c r="F339" s="467">
        <f>1/4*PI()*F338^2</f>
        <v>28.274333882308138</v>
      </c>
      <c r="G339" s="193" t="s">
        <v>229</v>
      </c>
    </row>
    <row r="340" spans="3:10" ht="16.5" x14ac:dyDescent="0.3">
      <c r="E340" s="322" t="s">
        <v>343</v>
      </c>
      <c r="F340" s="475">
        <v>4</v>
      </c>
    </row>
    <row r="341" spans="3:10" ht="18.75" x14ac:dyDescent="0.3">
      <c r="E341" s="496" t="s">
        <v>344</v>
      </c>
      <c r="F341" s="467">
        <f>F339*F340</f>
        <v>113.09733552923255</v>
      </c>
      <c r="G341" s="193" t="s">
        <v>229</v>
      </c>
    </row>
    <row r="342" spans="3:10" x14ac:dyDescent="0.25">
      <c r="E342" s="496" t="s">
        <v>345</v>
      </c>
      <c r="F342" s="475">
        <f>150</f>
        <v>150</v>
      </c>
      <c r="G342" s="193" t="s">
        <v>186</v>
      </c>
    </row>
    <row r="343" spans="3:10" ht="18.75" x14ac:dyDescent="0.35">
      <c r="E343" s="474" t="s">
        <v>346</v>
      </c>
      <c r="F343" s="467">
        <f>F53</f>
        <v>300</v>
      </c>
      <c r="G343" s="193" t="s">
        <v>242</v>
      </c>
    </row>
    <row r="344" spans="3:10" ht="16.5" x14ac:dyDescent="0.3">
      <c r="E344" s="322" t="s">
        <v>347</v>
      </c>
      <c r="F344" s="467">
        <f>1.25*F343*F341*F196/F342</f>
        <v>756338.43135174282</v>
      </c>
      <c r="G344" s="193" t="s">
        <v>275</v>
      </c>
    </row>
    <row r="345" spans="3:10" ht="18.75" x14ac:dyDescent="0.35">
      <c r="E345" s="474" t="s">
        <v>348</v>
      </c>
      <c r="F345" s="467">
        <f>F334+F344</f>
        <v>2624619.2580656423</v>
      </c>
      <c r="G345" s="193" t="s">
        <v>275</v>
      </c>
    </row>
    <row r="346" spans="3:10" x14ac:dyDescent="0.25">
      <c r="F346" s="544" t="str">
        <f>IF(F345&gt;F322,"满足斜截面承载力要求","不满足斜截面承载力要求")</f>
        <v>满足斜截面承载力要求</v>
      </c>
      <c r="G346" s="529"/>
    </row>
    <row r="347" spans="3:10" ht="16.5" x14ac:dyDescent="0.3">
      <c r="E347" s="496" t="s">
        <v>349</v>
      </c>
      <c r="F347" s="467">
        <f>F341/(F176*F342)</f>
        <v>1.5079644737231008E-3</v>
      </c>
      <c r="G347" s="466" t="str">
        <f>IF(F347&gt;H347,"&gt;","&lt;")</f>
        <v>&gt;</v>
      </c>
      <c r="H347" s="465">
        <f>0.1/100</f>
        <v>1E-3</v>
      </c>
      <c r="I347" s="465" t="s">
        <v>350</v>
      </c>
      <c r="J347" s="465"/>
    </row>
    <row r="348" spans="3:10" x14ac:dyDescent="0.25">
      <c r="F348" s="544" t="str">
        <f>IF(G347="&gt;","满足最小配筋率要求","不满足最小配筋率要求")</f>
        <v>满足最小配筋率要求</v>
      </c>
      <c r="G348" s="529"/>
    </row>
    <row r="350" spans="3:10" s="448" customFormat="1" ht="15.75" x14ac:dyDescent="0.25">
      <c r="C350" s="468" t="s">
        <v>351</v>
      </c>
      <c r="F350" s="452"/>
    </row>
    <row r="351" spans="3:10" ht="18.75" x14ac:dyDescent="0.3">
      <c r="E351" s="322" t="s">
        <v>352</v>
      </c>
      <c r="F351" s="467">
        <f>F213</f>
        <v>1563441491.3659673</v>
      </c>
      <c r="G351" s="193" t="s">
        <v>237</v>
      </c>
    </row>
    <row r="352" spans="3:10" ht="16.5" x14ac:dyDescent="0.3">
      <c r="E352" s="322" t="s">
        <v>353</v>
      </c>
      <c r="F352" s="467">
        <f>F142*10^6/F351</f>
        <v>7.6944342413430373</v>
      </c>
      <c r="G352" s="193" t="s">
        <v>242</v>
      </c>
    </row>
    <row r="353" spans="2:13" x14ac:dyDescent="0.25">
      <c r="E353" s="545" t="s">
        <v>354</v>
      </c>
      <c r="F353" s="467">
        <f>F280</f>
        <v>6.1621822899671068</v>
      </c>
      <c r="G353" s="193" t="s">
        <v>242</v>
      </c>
    </row>
    <row r="354" spans="2:13" x14ac:dyDescent="0.25">
      <c r="E354" s="496" t="s">
        <v>355</v>
      </c>
      <c r="F354" s="467">
        <f>0.7+300/(C37*1000)</f>
        <v>0.80714285714285705</v>
      </c>
      <c r="G354" s="466" t="str">
        <f>IF(F354&gt;H354,"&gt;","&lt;")</f>
        <v>&lt;</v>
      </c>
      <c r="H354" s="193">
        <v>1.1000000000000001</v>
      </c>
    </row>
    <row r="355" spans="2:13" x14ac:dyDescent="0.25">
      <c r="E355" s="193" t="s">
        <v>356</v>
      </c>
      <c r="F355" s="467">
        <f>IF(G354="&lt;",F354,H354)</f>
        <v>0.80714285714285705</v>
      </c>
    </row>
    <row r="356" spans="2:13" x14ac:dyDescent="0.25">
      <c r="E356" s="322" t="s">
        <v>357</v>
      </c>
      <c r="F356" s="475">
        <v>1.35</v>
      </c>
    </row>
    <row r="357" spans="2:13" x14ac:dyDescent="0.25">
      <c r="E357" s="322" t="s">
        <v>358</v>
      </c>
      <c r="F357" s="467">
        <f>F356*F355</f>
        <v>1.0896428571428571</v>
      </c>
      <c r="L357" s="520" t="s">
        <v>359</v>
      </c>
      <c r="M357" s="520"/>
    </row>
    <row r="358" spans="2:13" ht="16.5" x14ac:dyDescent="0.3">
      <c r="B358" s="246"/>
      <c r="E358" s="496" t="s">
        <v>360</v>
      </c>
      <c r="F358" s="475">
        <f>0.7</f>
        <v>0.7</v>
      </c>
    </row>
    <row r="359" spans="2:13" ht="16.5" x14ac:dyDescent="0.3">
      <c r="E359" s="322" t="s">
        <v>361</v>
      </c>
      <c r="F359" s="467">
        <f>F352-F353</f>
        <v>1.5322519513759305</v>
      </c>
      <c r="G359" s="193" t="s">
        <v>242</v>
      </c>
    </row>
    <row r="360" spans="2:13" ht="16.5" x14ac:dyDescent="0.3">
      <c r="E360" s="322" t="s">
        <v>362</v>
      </c>
      <c r="F360" s="467">
        <f>F358*F357*F43</f>
        <v>1.8229724999999999</v>
      </c>
      <c r="G360" s="193" t="s">
        <v>242</v>
      </c>
    </row>
    <row r="361" spans="2:13" ht="16.5" x14ac:dyDescent="0.3">
      <c r="E361" s="322" t="s">
        <v>363</v>
      </c>
      <c r="F361" s="467" t="str">
        <f>IF(F359&lt;F360,"≤","&gt;")</f>
        <v>≤</v>
      </c>
      <c r="G361" s="493" t="s">
        <v>364</v>
      </c>
    </row>
    <row r="362" spans="2:13" x14ac:dyDescent="0.25">
      <c r="F362" s="544" t="str">
        <f>IF(F361="≤","正截面抗裂满足要求","正截面抗裂不满足要求")</f>
        <v>正截面抗裂满足要求</v>
      </c>
      <c r="G362" s="529"/>
    </row>
    <row r="364" spans="2:13" s="448" customFormat="1" ht="15.75" x14ac:dyDescent="0.25">
      <c r="C364" s="468" t="s">
        <v>365</v>
      </c>
      <c r="F364" s="452"/>
    </row>
    <row r="365" spans="2:13" s="246" customFormat="1" ht="16.5" x14ac:dyDescent="0.3">
      <c r="C365" s="546"/>
      <c r="E365" s="322" t="s">
        <v>152</v>
      </c>
      <c r="F365" s="547">
        <f>F140</f>
        <v>29.349999999999998</v>
      </c>
      <c r="G365" s="193" t="s">
        <v>12</v>
      </c>
    </row>
    <row r="366" spans="2:13" ht="16.5" x14ac:dyDescent="0.3">
      <c r="E366" s="322" t="s">
        <v>366</v>
      </c>
      <c r="F366" s="475">
        <v>0.6</v>
      </c>
      <c r="G366" s="193" t="s">
        <v>12</v>
      </c>
      <c r="H366" s="520" t="s">
        <v>367</v>
      </c>
    </row>
    <row r="367" spans="2:13" ht="16.5" x14ac:dyDescent="0.3">
      <c r="E367" s="322" t="s">
        <v>145</v>
      </c>
      <c r="F367" s="542">
        <f>F133</f>
        <v>111.72030213283469</v>
      </c>
      <c r="G367" s="193" t="s">
        <v>108</v>
      </c>
    </row>
    <row r="368" spans="2:13" ht="18.75" x14ac:dyDescent="0.3">
      <c r="E368" s="322" t="s">
        <v>368</v>
      </c>
      <c r="F368" s="467">
        <f>0.5*F367*F365*F366-1/2*F367*F366^2</f>
        <v>963.5876058956992</v>
      </c>
      <c r="G368" s="470" t="s">
        <v>156</v>
      </c>
    </row>
    <row r="369" spans="4:16" ht="16.5" x14ac:dyDescent="0.3">
      <c r="E369" s="322" t="s">
        <v>369</v>
      </c>
      <c r="F369" s="467">
        <f>0.5*F367*F365-F367*F366</f>
        <v>1572.4632525196482</v>
      </c>
      <c r="G369" s="470" t="s">
        <v>158</v>
      </c>
    </row>
    <row r="370" spans="4:16" x14ac:dyDescent="0.25">
      <c r="D370" s="548" t="s">
        <v>268</v>
      </c>
      <c r="E370" s="523" t="s">
        <v>370</v>
      </c>
      <c r="F370" s="475"/>
      <c r="G370" s="465"/>
    </row>
    <row r="371" spans="4:16" ht="16.5" x14ac:dyDescent="0.3">
      <c r="D371" s="470" t="s">
        <v>371</v>
      </c>
    </row>
    <row r="372" spans="4:16" ht="18.75" x14ac:dyDescent="0.3">
      <c r="E372" s="322" t="s">
        <v>372</v>
      </c>
      <c r="F372" s="467">
        <f>F174*F175*(F208-1/2*F175)+F176*(F208-F175)^2/2</f>
        <v>959063436.66712439</v>
      </c>
      <c r="G372" s="193" t="s">
        <v>237</v>
      </c>
    </row>
    <row r="373" spans="4:16" ht="16.5" x14ac:dyDescent="0.3">
      <c r="E373" s="322" t="s">
        <v>373</v>
      </c>
      <c r="F373" s="202">
        <f>F369*10^3*F372/(F212*F176)</f>
        <v>1.5302718619174056</v>
      </c>
      <c r="G373" s="193" t="s">
        <v>242</v>
      </c>
    </row>
    <row r="374" spans="4:16" ht="16.5" x14ac:dyDescent="0.3">
      <c r="E374" s="322" t="s">
        <v>374</v>
      </c>
      <c r="F374" s="475">
        <v>0</v>
      </c>
      <c r="G374" s="193" t="s">
        <v>186</v>
      </c>
      <c r="I374" s="520" t="s">
        <v>375</v>
      </c>
      <c r="J374" s="520"/>
      <c r="K374" s="520"/>
      <c r="L374" s="520"/>
      <c r="M374" s="520"/>
      <c r="N374" s="520"/>
      <c r="O374" s="520"/>
      <c r="P374" s="520"/>
    </row>
    <row r="375" spans="4:16" ht="16.5" x14ac:dyDescent="0.3">
      <c r="E375" s="322" t="s">
        <v>376</v>
      </c>
      <c r="F375" s="475">
        <f>F199-F208</f>
        <v>-14.567059883512457</v>
      </c>
      <c r="G375" s="193" t="s">
        <v>186</v>
      </c>
      <c r="I375" s="520"/>
      <c r="J375" s="520"/>
      <c r="K375" s="520"/>
      <c r="L375" s="520"/>
      <c r="M375" s="520"/>
      <c r="N375" s="520"/>
      <c r="O375" s="520"/>
      <c r="P375" s="520"/>
    </row>
    <row r="376" spans="4:16" x14ac:dyDescent="0.25">
      <c r="E376" s="531" t="s">
        <v>377</v>
      </c>
      <c r="F376" s="467">
        <f>F273/F188-F273*F276*F375/F203</f>
        <v>2.2979069969997403</v>
      </c>
      <c r="G376" s="193" t="s">
        <v>242</v>
      </c>
      <c r="H376" s="520" t="s">
        <v>378</v>
      </c>
      <c r="I376" s="520"/>
    </row>
    <row r="377" spans="4:16" ht="16.5" x14ac:dyDescent="0.3">
      <c r="E377" s="322" t="s">
        <v>379</v>
      </c>
      <c r="F377" s="533">
        <f>-F376+F368*10^6*F374/F212</f>
        <v>-2.2979069969997403</v>
      </c>
      <c r="G377" s="193" t="s">
        <v>242</v>
      </c>
      <c r="H377" s="520" t="s">
        <v>380</v>
      </c>
      <c r="I377" s="520"/>
      <c r="J377" s="520"/>
    </row>
    <row r="378" spans="4:16" ht="16.5" x14ac:dyDescent="0.3">
      <c r="E378" s="322" t="s">
        <v>381</v>
      </c>
      <c r="F378" s="475">
        <v>0</v>
      </c>
      <c r="G378" s="193" t="s">
        <v>242</v>
      </c>
    </row>
    <row r="379" spans="4:16" x14ac:dyDescent="0.25">
      <c r="F379" s="467">
        <f>(F377+F378)/2+((1/2*F377-1/2*F378)^2+F373^2)^0.5</f>
        <v>0.76463635125666896</v>
      </c>
      <c r="G379" s="193" t="s">
        <v>242</v>
      </c>
      <c r="H379" s="520" t="s">
        <v>382</v>
      </c>
    </row>
    <row r="380" spans="4:16" x14ac:dyDescent="0.25">
      <c r="F380" s="467">
        <f>(F377+F378)/2-((F377/2-F378/2)^2+F373^2)^0.5</f>
        <v>-3.0625433482564093</v>
      </c>
      <c r="G380" s="193" t="s">
        <v>242</v>
      </c>
      <c r="H380" s="520" t="s">
        <v>383</v>
      </c>
    </row>
    <row r="381" spans="4:16" ht="16.5" x14ac:dyDescent="0.3">
      <c r="E381" s="549" t="s">
        <v>384</v>
      </c>
      <c r="F381" s="467">
        <f>0.95*F43</f>
        <v>2.2705000000000002</v>
      </c>
      <c r="G381" s="193" t="s">
        <v>242</v>
      </c>
      <c r="H381" s="520" t="s">
        <v>385</v>
      </c>
    </row>
    <row r="382" spans="4:16" ht="16.5" x14ac:dyDescent="0.3">
      <c r="E382" s="322" t="s">
        <v>386</v>
      </c>
      <c r="F382" s="467">
        <f>0.6*F44</f>
        <v>16.079999999999998</v>
      </c>
      <c r="G382" s="193" t="s">
        <v>242</v>
      </c>
      <c r="I382" s="529" t="str">
        <f>IF(ABS(F379)&lt;F381,"主拉应力σtp≤0.95ftk,满足斜截面二级裂缝控制要求","主拉应力σtp&gt;0.95ftk,不满足斜截面二级裂缝控制要求")</f>
        <v>主拉应力σtp≤0.95ftk,满足斜截面二级裂缝控制要求</v>
      </c>
      <c r="J382" s="529"/>
      <c r="K382" s="529"/>
      <c r="L382" s="529"/>
      <c r="M382" s="529"/>
    </row>
    <row r="384" spans="4:16" x14ac:dyDescent="0.25">
      <c r="D384" s="548" t="s">
        <v>294</v>
      </c>
      <c r="E384" s="523" t="s">
        <v>387</v>
      </c>
      <c r="F384" s="475"/>
      <c r="G384" s="465"/>
    </row>
    <row r="385" spans="3:12" ht="16.5" x14ac:dyDescent="0.3">
      <c r="D385" s="470" t="s">
        <v>371</v>
      </c>
    </row>
    <row r="386" spans="3:12" ht="18.75" x14ac:dyDescent="0.3">
      <c r="E386" s="322" t="s">
        <v>388</v>
      </c>
      <c r="F386" s="467">
        <f>F174*F175*(F208-1/2*F175)</f>
        <v>662413262.57759893</v>
      </c>
      <c r="G386" s="193" t="s">
        <v>237</v>
      </c>
    </row>
    <row r="387" spans="3:12" ht="16.5" x14ac:dyDescent="0.3">
      <c r="E387" s="322" t="s">
        <v>373</v>
      </c>
      <c r="F387" s="467">
        <f>F369*10^3*F386/(F212*F176)</f>
        <v>1.0569398622952979</v>
      </c>
      <c r="G387" s="193" t="s">
        <v>242</v>
      </c>
    </row>
    <row r="388" spans="3:12" ht="16.5" x14ac:dyDescent="0.3">
      <c r="E388" s="322" t="s">
        <v>389</v>
      </c>
      <c r="F388" s="475">
        <f>F208-F175</f>
        <v>1089.3120289238075</v>
      </c>
      <c r="G388" s="193" t="s">
        <v>186</v>
      </c>
    </row>
    <row r="389" spans="3:12" ht="16.5" x14ac:dyDescent="0.3">
      <c r="E389" s="322" t="s">
        <v>390</v>
      </c>
      <c r="F389" s="475">
        <f>F199-F175</f>
        <v>1074.744969040295</v>
      </c>
      <c r="G389" s="193" t="s">
        <v>186</v>
      </c>
    </row>
    <row r="390" spans="3:12" x14ac:dyDescent="0.25">
      <c r="E390" s="531" t="s">
        <v>377</v>
      </c>
      <c r="F390" s="467">
        <f>F273/F188-F273*F276*F389/F203</f>
        <v>-1.0410647837090456</v>
      </c>
      <c r="H390" s="520" t="s">
        <v>302</v>
      </c>
    </row>
    <row r="391" spans="3:12" ht="16.5" x14ac:dyDescent="0.3">
      <c r="E391" s="322" t="s">
        <v>391</v>
      </c>
      <c r="F391" s="533">
        <f>-F390-F368*10^6*F388/F212</f>
        <v>0.50852229637140067</v>
      </c>
      <c r="H391" s="193" t="s">
        <v>301</v>
      </c>
      <c r="I391" s="520" t="s">
        <v>380</v>
      </c>
      <c r="J391" s="520"/>
      <c r="K391" s="520"/>
    </row>
    <row r="392" spans="3:12" ht="16.5" x14ac:dyDescent="0.3">
      <c r="E392" s="322" t="s">
        <v>381</v>
      </c>
      <c r="F392" s="475">
        <v>0</v>
      </c>
      <c r="G392" s="193" t="s">
        <v>242</v>
      </c>
    </row>
    <row r="393" spans="3:12" x14ac:dyDescent="0.25">
      <c r="F393" s="467">
        <f>(F391+F392)/2+((F391/2-F392/2)^2+F387^2)^0.5</f>
        <v>1.3413538783543433</v>
      </c>
      <c r="G393" s="193" t="s">
        <v>242</v>
      </c>
    </row>
    <row r="394" spans="3:12" x14ac:dyDescent="0.25">
      <c r="F394" s="467">
        <f>(F391+F392)/2-((F391/2-F392/2)^2+F387^2)^0.5</f>
        <v>-0.83283158198294249</v>
      </c>
      <c r="G394" s="193" t="s">
        <v>242</v>
      </c>
    </row>
    <row r="395" spans="3:12" x14ac:dyDescent="0.25">
      <c r="F395" s="544" t="str">
        <f>IF(ABS(F393)&lt;F381,"主拉应力σtp≤0.95ftk,满足斜截面二级裂缝控制要求","主拉应力σtp&gt;0.95ftk,不满足斜截面二级裂缝控制要求")</f>
        <v>主拉应力σtp≤0.95ftk,满足斜截面二级裂缝控制要求</v>
      </c>
      <c r="G395" s="529"/>
      <c r="H395" s="529"/>
      <c r="I395" s="529"/>
      <c r="J395" s="529"/>
    </row>
    <row r="397" spans="3:12" s="448" customFormat="1" ht="15.75" x14ac:dyDescent="0.25">
      <c r="C397" s="468" t="s">
        <v>392</v>
      </c>
      <c r="F397" s="452"/>
    </row>
    <row r="398" spans="3:12" ht="16.5" x14ac:dyDescent="0.3">
      <c r="C398" s="470" t="s">
        <v>393</v>
      </c>
    </row>
    <row r="399" spans="3:12" ht="18.75" x14ac:dyDescent="0.3">
      <c r="E399" s="322" t="s">
        <v>394</v>
      </c>
      <c r="F399" s="467">
        <f>0.85*F45*F212</f>
        <v>5.444920323048452E+16</v>
      </c>
      <c r="G399" s="470" t="s">
        <v>395</v>
      </c>
      <c r="I399" s="520" t="s">
        <v>396</v>
      </c>
      <c r="J399" s="520"/>
      <c r="K399" s="520"/>
      <c r="L399" s="520"/>
    </row>
    <row r="400" spans="3:12" ht="16.5" x14ac:dyDescent="0.3">
      <c r="C400" s="470" t="s">
        <v>397</v>
      </c>
    </row>
    <row r="401" spans="3:12" ht="18.75" x14ac:dyDescent="0.3">
      <c r="E401" s="322" t="s">
        <v>398</v>
      </c>
      <c r="F401" s="467">
        <f>0.65*F399</f>
        <v>3.539198209981494E+16</v>
      </c>
      <c r="G401" s="470" t="s">
        <v>395</v>
      </c>
    </row>
    <row r="402" spans="3:12" x14ac:dyDescent="0.25">
      <c r="D402" s="193" t="s">
        <v>399</v>
      </c>
    </row>
    <row r="403" spans="3:12" x14ac:dyDescent="0.25">
      <c r="E403" s="550" t="s">
        <v>400</v>
      </c>
      <c r="F403" s="467">
        <f>5/48*F142*10^6*F140^2*10^6/F401</f>
        <v>30.499900193965548</v>
      </c>
      <c r="G403" s="193" t="s">
        <v>186</v>
      </c>
      <c r="H403" s="520" t="s">
        <v>401</v>
      </c>
      <c r="I403" s="520"/>
    </row>
    <row r="404" spans="3:12" ht="18.75" x14ac:dyDescent="0.3">
      <c r="E404" s="322" t="s">
        <v>402</v>
      </c>
      <c r="F404" s="467">
        <f>F273*F276*F140^2*10^6/(8*F45*F212)</f>
        <v>9.9576610410885831</v>
      </c>
      <c r="G404" s="193" t="s">
        <v>186</v>
      </c>
    </row>
    <row r="405" spans="3:12" ht="16.5" x14ac:dyDescent="0.3">
      <c r="E405" s="496" t="s">
        <v>403</v>
      </c>
      <c r="F405" s="467">
        <f>F403-2*F404</f>
        <v>10.584578111788382</v>
      </c>
      <c r="G405" s="193" t="s">
        <v>186</v>
      </c>
    </row>
    <row r="406" spans="3:12" ht="16.5" x14ac:dyDescent="0.3">
      <c r="E406" s="322" t="s">
        <v>404</v>
      </c>
      <c r="F406" s="467">
        <f>F140*10^3/600</f>
        <v>48.916666666666657</v>
      </c>
      <c r="G406" s="193" t="s">
        <v>186</v>
      </c>
      <c r="H406" s="520" t="s">
        <v>405</v>
      </c>
      <c r="I406" s="520"/>
    </row>
    <row r="407" spans="3:12" x14ac:dyDescent="0.25">
      <c r="F407" s="544" t="str">
        <f>IF(F405&lt;F406,"挠度满足要求","挠度不满足要求")</f>
        <v>挠度满足要求</v>
      </c>
    </row>
    <row r="409" spans="3:12" s="448" customFormat="1" ht="15.75" x14ac:dyDescent="0.25">
      <c r="C409" s="468" t="s">
        <v>406</v>
      </c>
      <c r="F409" s="452"/>
    </row>
    <row r="410" spans="3:12" x14ac:dyDescent="0.25">
      <c r="E410" s="551" t="s">
        <v>407</v>
      </c>
      <c r="F410" s="467">
        <f>F242</f>
        <v>5838891.7214837223</v>
      </c>
      <c r="G410" s="193" t="s">
        <v>275</v>
      </c>
    </row>
    <row r="411" spans="3:12" ht="16.5" x14ac:dyDescent="0.3">
      <c r="E411" s="496" t="s">
        <v>408</v>
      </c>
      <c r="F411" s="467">
        <f>F410/F188+F410*F249*F200/F203</f>
        <v>6.979174612601577</v>
      </c>
      <c r="G411" s="193" t="s">
        <v>242</v>
      </c>
      <c r="K411" s="520" t="s">
        <v>301</v>
      </c>
    </row>
    <row r="412" spans="3:12" ht="16.5" x14ac:dyDescent="0.3">
      <c r="E412" s="496" t="s">
        <v>409</v>
      </c>
      <c r="F412" s="467">
        <f>F410/F188-F410*F249*F199/F203</f>
        <v>-2.7514187891184005</v>
      </c>
      <c r="G412" s="193" t="s">
        <v>242</v>
      </c>
      <c r="K412" s="520" t="s">
        <v>302</v>
      </c>
    </row>
    <row r="413" spans="3:12" x14ac:dyDescent="0.25">
      <c r="E413" s="548" t="s">
        <v>268</v>
      </c>
      <c r="F413" s="465" t="s">
        <v>410</v>
      </c>
    </row>
    <row r="414" spans="3:12" ht="16.5" x14ac:dyDescent="0.3">
      <c r="E414" s="496" t="s">
        <v>411</v>
      </c>
      <c r="F414" s="467">
        <f>F411</f>
        <v>6.979174612601577</v>
      </c>
      <c r="G414" s="193" t="s">
        <v>242</v>
      </c>
    </row>
    <row r="415" spans="3:12" ht="16.5" x14ac:dyDescent="0.3">
      <c r="E415" s="496" t="s">
        <v>412</v>
      </c>
      <c r="F415" s="467">
        <f>F412</f>
        <v>-2.7514187891184005</v>
      </c>
      <c r="G415" s="193" t="s">
        <v>242</v>
      </c>
    </row>
    <row r="416" spans="3:12" ht="18.75" x14ac:dyDescent="0.3">
      <c r="E416" s="549" t="s">
        <v>413</v>
      </c>
      <c r="F416" s="475">
        <f>2*F47</f>
        <v>4.0199999999999996</v>
      </c>
      <c r="G416" s="193" t="s">
        <v>242</v>
      </c>
      <c r="H416" s="520" t="s">
        <v>414</v>
      </c>
      <c r="J416" s="520" t="s">
        <v>415</v>
      </c>
      <c r="K416" s="520"/>
      <c r="L416" s="520"/>
    </row>
    <row r="417" spans="3:7" ht="18.75" x14ac:dyDescent="0.3">
      <c r="E417" s="549" t="s">
        <v>416</v>
      </c>
      <c r="F417" s="475">
        <f>0.8*F46</f>
        <v>16.080000000000002</v>
      </c>
      <c r="G417" s="193" t="s">
        <v>242</v>
      </c>
    </row>
    <row r="418" spans="3:7" x14ac:dyDescent="0.25">
      <c r="F418" s="544" t="str">
        <f>IF(ABS(F415)&lt;F416+(F414&lt;F417),"施工阶段满足要求","施工阶段不满足要求")</f>
        <v>施工阶段满足要求</v>
      </c>
      <c r="G418" s="529"/>
    </row>
    <row r="420" spans="3:7" x14ac:dyDescent="0.25">
      <c r="E420" s="548" t="s">
        <v>294</v>
      </c>
      <c r="F420" s="465" t="s">
        <v>417</v>
      </c>
      <c r="G420" s="552"/>
    </row>
    <row r="421" spans="3:7" ht="16.5" x14ac:dyDescent="0.3">
      <c r="E421" s="496" t="s">
        <v>418</v>
      </c>
      <c r="F421" s="542">
        <f>F88</f>
        <v>57.201545796514978</v>
      </c>
      <c r="G421" s="193" t="s">
        <v>108</v>
      </c>
    </row>
    <row r="422" spans="3:7" x14ac:dyDescent="0.25">
      <c r="E422" s="496" t="s">
        <v>419</v>
      </c>
      <c r="F422" s="475">
        <v>1.5</v>
      </c>
    </row>
    <row r="423" spans="3:7" ht="16.5" x14ac:dyDescent="0.3">
      <c r="E423" s="496" t="s">
        <v>420</v>
      </c>
      <c r="F423" s="467">
        <f>0.1*D15</f>
        <v>2.9950000000000001</v>
      </c>
      <c r="G423" s="193" t="s">
        <v>12</v>
      </c>
    </row>
    <row r="424" spans="3:7" ht="16.5" x14ac:dyDescent="0.3">
      <c r="E424" s="496" t="s">
        <v>421</v>
      </c>
      <c r="F424" s="467">
        <f>F422*1/2*F421*F423^2</f>
        <v>384.82447187503828</v>
      </c>
      <c r="G424" s="193" t="s">
        <v>156</v>
      </c>
    </row>
    <row r="425" spans="3:7" ht="16.5" x14ac:dyDescent="0.3">
      <c r="E425" s="496" t="s">
        <v>422</v>
      </c>
      <c r="F425" s="475">
        <v>0</v>
      </c>
      <c r="G425" s="193" t="s">
        <v>158</v>
      </c>
    </row>
    <row r="426" spans="3:7" ht="16.5" x14ac:dyDescent="0.3">
      <c r="E426" s="496" t="s">
        <v>411</v>
      </c>
      <c r="F426" s="467">
        <f>F411+F425*10^3/F204+F424*10^6/F213</f>
        <v>7.2253139622351981</v>
      </c>
      <c r="G426" s="193" t="s">
        <v>242</v>
      </c>
    </row>
    <row r="427" spans="3:7" ht="16.5" x14ac:dyDescent="0.3">
      <c r="E427" s="496" t="s">
        <v>412</v>
      </c>
      <c r="F427" s="467">
        <f>F415+F425*10^3/F204-F424*10^6/F214</f>
        <v>-3.0519572810967754</v>
      </c>
      <c r="G427" s="193" t="s">
        <v>242</v>
      </c>
    </row>
    <row r="428" spans="3:7" x14ac:dyDescent="0.25">
      <c r="F428" s="544" t="str">
        <f>IF(ABS(F427&lt;F416)+(F426&lt;F417),"施工阶段满足要求","施工阶段不满足要求")</f>
        <v>施工阶段满足要求</v>
      </c>
      <c r="G428" s="529"/>
    </row>
    <row r="430" spans="3:7" s="448" customFormat="1" ht="15.75" x14ac:dyDescent="0.25">
      <c r="C430" s="468" t="s">
        <v>423</v>
      </c>
      <c r="F430" s="452"/>
    </row>
    <row r="431" spans="3:7" x14ac:dyDescent="0.25">
      <c r="C431" s="553"/>
      <c r="E431" s="322" t="s">
        <v>424</v>
      </c>
      <c r="F431" s="475">
        <v>1.2</v>
      </c>
    </row>
    <row r="432" spans="3:7" x14ac:dyDescent="0.25">
      <c r="E432" s="478" t="s">
        <v>425</v>
      </c>
      <c r="F432" s="467">
        <f>1.2*F218*F156</f>
        <v>1171800</v>
      </c>
      <c r="G432" s="193" t="s">
        <v>275</v>
      </c>
    </row>
    <row r="433" spans="5:9" x14ac:dyDescent="0.25">
      <c r="E433" s="478" t="s">
        <v>426</v>
      </c>
    </row>
    <row r="434" spans="5:9" ht="16.5" x14ac:dyDescent="0.25">
      <c r="E434" s="322" t="s">
        <v>427</v>
      </c>
      <c r="F434" s="475">
        <v>0.13</v>
      </c>
      <c r="G434" s="193" t="s">
        <v>12</v>
      </c>
    </row>
    <row r="435" spans="5:9" ht="16.5" x14ac:dyDescent="0.25">
      <c r="E435" s="322" t="s">
        <v>428</v>
      </c>
      <c r="F435" s="475">
        <v>0.13</v>
      </c>
      <c r="G435" s="193" t="s">
        <v>12</v>
      </c>
    </row>
    <row r="436" spans="5:9" ht="18.75" x14ac:dyDescent="0.3">
      <c r="E436" s="322" t="s">
        <v>429</v>
      </c>
      <c r="F436" s="467">
        <f>F435*F434</f>
        <v>1.6900000000000002E-2</v>
      </c>
      <c r="G436" s="193" t="s">
        <v>125</v>
      </c>
    </row>
    <row r="437" spans="5:9" ht="18.75" x14ac:dyDescent="0.3">
      <c r="E437" s="322" t="s">
        <v>430</v>
      </c>
      <c r="F437" s="475">
        <f>(F434+2*F435)*3*F435</f>
        <v>0.15209999999999999</v>
      </c>
      <c r="G437" s="193" t="s">
        <v>125</v>
      </c>
      <c r="H437" s="520" t="s">
        <v>431</v>
      </c>
      <c r="I437" s="520"/>
    </row>
    <row r="438" spans="5:9" ht="18.75" x14ac:dyDescent="0.3">
      <c r="E438" s="322" t="s">
        <v>432</v>
      </c>
      <c r="F438" s="467">
        <f>(F437/F436)^0.5</f>
        <v>2.9999999999999996</v>
      </c>
    </row>
    <row r="439" spans="5:9" x14ac:dyDescent="0.25">
      <c r="E439" s="322" t="s">
        <v>433</v>
      </c>
      <c r="F439" s="475">
        <f>F41</f>
        <v>19.100000000000001</v>
      </c>
      <c r="G439" s="193" t="s">
        <v>242</v>
      </c>
    </row>
    <row r="440" spans="5:9" ht="16.5" x14ac:dyDescent="0.3">
      <c r="E440" s="322" t="s">
        <v>434</v>
      </c>
      <c r="F440" s="475">
        <v>210</v>
      </c>
      <c r="G440" s="193" t="s">
        <v>242</v>
      </c>
      <c r="H440" s="520" t="s">
        <v>435</v>
      </c>
      <c r="I440" s="520"/>
    </row>
    <row r="441" spans="5:9" x14ac:dyDescent="0.25">
      <c r="E441" s="322" t="s">
        <v>436</v>
      </c>
      <c r="F441" s="479">
        <v>1.4E-2</v>
      </c>
      <c r="G441" s="193" t="s">
        <v>12</v>
      </c>
    </row>
    <row r="442" spans="5:9" ht="18.75" x14ac:dyDescent="0.3">
      <c r="E442" s="322" t="s">
        <v>437</v>
      </c>
      <c r="F442" s="467">
        <f>1/4*PI()*F441^2</f>
        <v>1.5393804002589989E-4</v>
      </c>
      <c r="G442" s="193" t="s">
        <v>125</v>
      </c>
    </row>
    <row r="443" spans="5:9" ht="16.5" x14ac:dyDescent="0.3">
      <c r="E443" s="322" t="s">
        <v>438</v>
      </c>
      <c r="F443" s="475">
        <v>0.13500000000000001</v>
      </c>
      <c r="G443" s="193" t="s">
        <v>12</v>
      </c>
    </row>
    <row r="444" spans="5:9" ht="18.75" x14ac:dyDescent="0.3">
      <c r="E444" s="322" t="s">
        <v>439</v>
      </c>
      <c r="F444" s="467">
        <f>1/4*PI()*F443^2</f>
        <v>1.4313881527918496E-2</v>
      </c>
      <c r="G444" s="193" t="s">
        <v>125</v>
      </c>
    </row>
    <row r="445" spans="5:9" x14ac:dyDescent="0.25">
      <c r="E445" s="322" t="s">
        <v>440</v>
      </c>
      <c r="F445" s="475">
        <v>0.06</v>
      </c>
      <c r="G445" s="193" t="s">
        <v>12</v>
      </c>
    </row>
    <row r="446" spans="5:9" ht="16.5" x14ac:dyDescent="0.3">
      <c r="E446" s="322" t="s">
        <v>441</v>
      </c>
      <c r="F446" s="467">
        <f>4*F442/(F443*F445)</f>
        <v>7.6018785197975253E-2</v>
      </c>
    </row>
    <row r="447" spans="5:9" ht="16.5" x14ac:dyDescent="0.3">
      <c r="E447" s="322" t="s">
        <v>442</v>
      </c>
      <c r="F447" s="525"/>
    </row>
    <row r="448" spans="5:9" ht="18.75" x14ac:dyDescent="0.3">
      <c r="E448" s="322" t="s">
        <v>443</v>
      </c>
      <c r="F448" s="467">
        <f>(F444/F436)^0.5</f>
        <v>0.92031257643171016</v>
      </c>
      <c r="G448" s="193" t="s">
        <v>275</v>
      </c>
    </row>
    <row r="449" spans="5:8" ht="16.5" x14ac:dyDescent="0.3">
      <c r="E449" s="322" t="s">
        <v>444</v>
      </c>
      <c r="F449" s="467">
        <f>(F438*F439+2*F446*F448*F440)*F436*10^6</f>
        <v>1464953.4907574516</v>
      </c>
      <c r="G449" s="193" t="s">
        <v>275</v>
      </c>
    </row>
    <row r="450" spans="5:8" x14ac:dyDescent="0.25">
      <c r="E450" s="322" t="s">
        <v>445</v>
      </c>
      <c r="F450" s="467">
        <f>F431*F432</f>
        <v>1406160</v>
      </c>
      <c r="G450" s="193" t="s">
        <v>275</v>
      </c>
    </row>
    <row r="451" spans="5:8" x14ac:dyDescent="0.25">
      <c r="E451" s="322"/>
      <c r="F451" s="544" t="str">
        <f>IF(F450&lt;F449,"满足局部受压承载力要求","不满足局部受压承载力要求")</f>
        <v>满足局部受压承载力要求</v>
      </c>
      <c r="G451" s="529"/>
    </row>
    <row r="452" spans="5:8" x14ac:dyDescent="0.25">
      <c r="E452" s="322"/>
      <c r="F452" s="525"/>
      <c r="G452" s="246"/>
    </row>
    <row r="453" spans="5:8" ht="16.5" x14ac:dyDescent="0.3">
      <c r="E453" s="322" t="s">
        <v>446</v>
      </c>
      <c r="F453" s="467">
        <f>1.5*F438*F41*F436*10^6</f>
        <v>1452555</v>
      </c>
      <c r="G453" s="193" t="s">
        <v>275</v>
      </c>
    </row>
    <row r="454" spans="5:8" x14ac:dyDescent="0.25">
      <c r="E454" s="322"/>
      <c r="F454" s="544" t="str">
        <f>IF(F450&lt;F453,"局部受压区截面尺寸符合要求","局部受压区截面尺寸不符合要求")</f>
        <v>局部受压区截面尺寸符合要求</v>
      </c>
      <c r="G454" s="529"/>
      <c r="H454" s="529"/>
    </row>
    <row r="455" spans="5:8" x14ac:dyDescent="0.25">
      <c r="E455" s="322"/>
      <c r="F455" s="525"/>
    </row>
  </sheetData>
  <mergeCells count="11">
    <mergeCell ref="B26:E32"/>
    <mergeCell ref="D126:E126"/>
    <mergeCell ref="B217:I217"/>
    <mergeCell ref="K230:L230"/>
    <mergeCell ref="A278:G278"/>
    <mergeCell ref="H38:I45"/>
    <mergeCell ref="B14:C14"/>
    <mergeCell ref="B15:C15"/>
    <mergeCell ref="G16:I16"/>
    <mergeCell ref="E17:F17"/>
    <mergeCell ref="C25:F25"/>
  </mergeCells>
  <phoneticPr fontId="143" type="noConversion"/>
  <pageMargins left="0.69930555555555596" right="0.69930555555555596" top="0.75" bottom="0.75" header="0.3" footer="0.3"/>
  <pageSetup paperSize="9" orientation="portrait"/>
  <drawing r:id="rId1"/>
  <legacyDrawing r:id="rId2"/>
  <oleObjects>
    <mc:AlternateContent xmlns:mc="http://schemas.openxmlformats.org/markup-compatibility/2006">
      <mc:Choice Requires="x14">
        <oleObject progId="Equation.3" shapeId="1026" r:id="rId3">
          <objectPr defaultSize="0" altText="" r:id="rId4">
            <anchor moveWithCells="1" sizeWithCells="1">
              <from>
                <xdr:col>7</xdr:col>
                <xdr:colOff>47625</xdr:colOff>
                <xdr:row>78</xdr:row>
                <xdr:rowOff>85725</xdr:rowOff>
              </from>
              <to>
                <xdr:col>9</xdr:col>
                <xdr:colOff>400050</xdr:colOff>
                <xdr:row>79</xdr:row>
                <xdr:rowOff>142875</xdr:rowOff>
              </to>
            </anchor>
          </objectPr>
        </oleObject>
      </mc:Choice>
      <mc:Fallback>
        <oleObject progId="Equation.3" shapeId="1026" r:id="rId3"/>
      </mc:Fallback>
    </mc:AlternateContent>
    <mc:AlternateContent xmlns:mc="http://schemas.openxmlformats.org/markup-compatibility/2006">
      <mc:Choice Requires="x14">
        <oleObject progId="Equation.3" shapeId="1027" r:id="rId5">
          <objectPr defaultSize="0" altText="" r:id="rId6">
            <anchor moveWithCells="1" sizeWithCells="1">
              <from>
                <xdr:col>7</xdr:col>
                <xdr:colOff>66675</xdr:colOff>
                <xdr:row>80</xdr:row>
                <xdr:rowOff>28575</xdr:rowOff>
              </from>
              <to>
                <xdr:col>10</xdr:col>
                <xdr:colOff>476250</xdr:colOff>
                <xdr:row>82</xdr:row>
                <xdr:rowOff>142875</xdr:rowOff>
              </to>
            </anchor>
          </objectPr>
        </oleObject>
      </mc:Choice>
      <mc:Fallback>
        <oleObject progId="Equation.3" shapeId="1027" r:id="rId5"/>
      </mc:Fallback>
    </mc:AlternateContent>
    <mc:AlternateContent xmlns:mc="http://schemas.openxmlformats.org/markup-compatibility/2006">
      <mc:Choice Requires="x14">
        <oleObject progId="Equation.3" shapeId="1028" r:id="rId7">
          <objectPr defaultSize="0" altText="" r:id="rId8">
            <anchor moveWithCells="1" sizeWithCells="1">
              <from>
                <xdr:col>7</xdr:col>
                <xdr:colOff>47625</xdr:colOff>
                <xdr:row>196</xdr:row>
                <xdr:rowOff>57150</xdr:rowOff>
              </from>
              <to>
                <xdr:col>12</xdr:col>
                <xdr:colOff>476250</xdr:colOff>
                <xdr:row>198</xdr:row>
                <xdr:rowOff>200025</xdr:rowOff>
              </to>
            </anchor>
          </objectPr>
        </oleObject>
      </mc:Choice>
      <mc:Fallback>
        <oleObject progId="Equation.3" shapeId="1028" r:id="rId7"/>
      </mc:Fallback>
    </mc:AlternateContent>
    <mc:AlternateContent xmlns:mc="http://schemas.openxmlformats.org/markup-compatibility/2006">
      <mc:Choice Requires="x14">
        <oleObject progId="Equation.3" shapeId="1029" r:id="rId9">
          <objectPr defaultSize="0" altText="" r:id="rId10">
            <anchor moveWithCells="1" sizeWithCells="1">
              <from>
                <xdr:col>7</xdr:col>
                <xdr:colOff>47625</xdr:colOff>
                <xdr:row>201</xdr:row>
                <xdr:rowOff>114300</xdr:rowOff>
              </from>
              <to>
                <xdr:col>14</xdr:col>
                <xdr:colOff>247650</xdr:colOff>
                <xdr:row>202</xdr:row>
                <xdr:rowOff>190500</xdr:rowOff>
              </to>
            </anchor>
          </objectPr>
        </oleObject>
      </mc:Choice>
      <mc:Fallback>
        <oleObject progId="Equation.3" shapeId="1029" r:id="rId9"/>
      </mc:Fallback>
    </mc:AlternateContent>
    <mc:AlternateContent xmlns:mc="http://schemas.openxmlformats.org/markup-compatibility/2006">
      <mc:Choice Requires="x14">
        <oleObject progId="Equation.3" shapeId="1031" r:id="rId11">
          <objectPr defaultSize="0" altText="" r:id="rId12">
            <anchor moveWithCells="1" sizeWithCells="1">
              <from>
                <xdr:col>7</xdr:col>
                <xdr:colOff>9525</xdr:colOff>
                <xdr:row>210</xdr:row>
                <xdr:rowOff>114300</xdr:rowOff>
              </from>
              <to>
                <xdr:col>11</xdr:col>
                <xdr:colOff>495300</xdr:colOff>
                <xdr:row>211</xdr:row>
                <xdr:rowOff>190500</xdr:rowOff>
              </to>
            </anchor>
          </objectPr>
        </oleObject>
      </mc:Choice>
      <mc:Fallback>
        <oleObject progId="Equation.3" shapeId="1031" r:id="rId11"/>
      </mc:Fallback>
    </mc:AlternateContent>
    <mc:AlternateContent xmlns:mc="http://schemas.openxmlformats.org/markup-compatibility/2006">
      <mc:Choice Requires="x14">
        <oleObject progId="Equation.3" shapeId="1032" r:id="rId13">
          <objectPr defaultSize="0" altText="" r:id="rId14">
            <anchor moveWithCells="1">
              <from>
                <xdr:col>7</xdr:col>
                <xdr:colOff>161925</xdr:colOff>
                <xdr:row>224</xdr:row>
                <xdr:rowOff>104775</xdr:rowOff>
              </from>
              <to>
                <xdr:col>8</xdr:col>
                <xdr:colOff>133350</xdr:colOff>
                <xdr:row>226</xdr:row>
                <xdr:rowOff>28575</xdr:rowOff>
              </to>
            </anchor>
          </objectPr>
        </oleObject>
      </mc:Choice>
      <mc:Fallback>
        <oleObject progId="Equation.3" shapeId="1032" r:id="rId13"/>
      </mc:Fallback>
    </mc:AlternateContent>
    <mc:AlternateContent xmlns:mc="http://schemas.openxmlformats.org/markup-compatibility/2006">
      <mc:Choice Requires="x14">
        <oleObject progId="Equation.3" shapeId="1033" r:id="rId15">
          <objectPr defaultSize="0" altText="" r:id="rId16">
            <anchor moveWithCells="1">
              <from>
                <xdr:col>12</xdr:col>
                <xdr:colOff>57150</xdr:colOff>
                <xdr:row>229</xdr:row>
                <xdr:rowOff>19050</xdr:rowOff>
              </from>
              <to>
                <xdr:col>13</xdr:col>
                <xdr:colOff>466725</xdr:colOff>
                <xdr:row>230</xdr:row>
                <xdr:rowOff>19050</xdr:rowOff>
              </to>
            </anchor>
          </objectPr>
        </oleObject>
      </mc:Choice>
      <mc:Fallback>
        <oleObject progId="Equation.3" shapeId="1033" r:id="rId15"/>
      </mc:Fallback>
    </mc:AlternateContent>
    <mc:AlternateContent xmlns:mc="http://schemas.openxmlformats.org/markup-compatibility/2006">
      <mc:Choice Requires="x14">
        <oleObject progId="Equation.3" shapeId="1036" r:id="rId17">
          <objectPr defaultSize="0" altText="" r:id="rId18">
            <anchor moveWithCells="1">
              <from>
                <xdr:col>7</xdr:col>
                <xdr:colOff>209550</xdr:colOff>
                <xdr:row>235</xdr:row>
                <xdr:rowOff>57150</xdr:rowOff>
              </from>
              <to>
                <xdr:col>9</xdr:col>
                <xdr:colOff>295275</xdr:colOff>
                <xdr:row>236</xdr:row>
                <xdr:rowOff>114300</xdr:rowOff>
              </to>
            </anchor>
          </objectPr>
        </oleObject>
      </mc:Choice>
      <mc:Fallback>
        <oleObject progId="Equation.3" shapeId="1036" r:id="rId17"/>
      </mc:Fallback>
    </mc:AlternateContent>
    <mc:AlternateContent xmlns:mc="http://schemas.openxmlformats.org/markup-compatibility/2006">
      <mc:Choice Requires="x14">
        <oleObject progId="Equation.3" shapeId="1037" r:id="rId19">
          <objectPr defaultSize="0" altText="" r:id="rId20">
            <anchor moveWithCells="1" sizeWithCells="1">
              <from>
                <xdr:col>6</xdr:col>
                <xdr:colOff>638175</xdr:colOff>
                <xdr:row>240</xdr:row>
                <xdr:rowOff>133350</xdr:rowOff>
              </from>
              <to>
                <xdr:col>10</xdr:col>
                <xdr:colOff>219075</xdr:colOff>
                <xdr:row>242</xdr:row>
                <xdr:rowOff>85725</xdr:rowOff>
              </to>
            </anchor>
          </objectPr>
        </oleObject>
      </mc:Choice>
      <mc:Fallback>
        <oleObject progId="Equation.3" shapeId="1037" r:id="rId19"/>
      </mc:Fallback>
    </mc:AlternateContent>
    <mc:AlternateContent xmlns:mc="http://schemas.openxmlformats.org/markup-compatibility/2006">
      <mc:Choice Requires="x14">
        <oleObject progId="Equation.3" shapeId="1038" r:id="rId21">
          <objectPr defaultSize="0" altText="" r:id="rId22">
            <anchor moveWithCells="1" sizeWithCells="1">
              <from>
                <xdr:col>6</xdr:col>
                <xdr:colOff>542925</xdr:colOff>
                <xdr:row>245</xdr:row>
                <xdr:rowOff>171450</xdr:rowOff>
              </from>
              <to>
                <xdr:col>10</xdr:col>
                <xdr:colOff>476250</xdr:colOff>
                <xdr:row>249</xdr:row>
                <xdr:rowOff>57150</xdr:rowOff>
              </to>
            </anchor>
          </objectPr>
        </oleObject>
      </mc:Choice>
      <mc:Fallback>
        <oleObject progId="Equation.3" shapeId="1038" r:id="rId21"/>
      </mc:Fallback>
    </mc:AlternateContent>
    <mc:AlternateContent xmlns:mc="http://schemas.openxmlformats.org/markup-compatibility/2006">
      <mc:Choice Requires="x14">
        <oleObject progId="Equation.3" shapeId="1039" r:id="rId23">
          <objectPr defaultSize="0" altText="" r:id="rId24">
            <anchor moveWithCells="1" sizeWithCells="1">
              <from>
                <xdr:col>6</xdr:col>
                <xdr:colOff>609600</xdr:colOff>
                <xdr:row>250</xdr:row>
                <xdr:rowOff>104775</xdr:rowOff>
              </from>
              <to>
                <xdr:col>8</xdr:col>
                <xdr:colOff>561975</xdr:colOff>
                <xdr:row>254</xdr:row>
                <xdr:rowOff>9525</xdr:rowOff>
              </to>
            </anchor>
          </objectPr>
        </oleObject>
      </mc:Choice>
      <mc:Fallback>
        <oleObject progId="Equation.3" shapeId="1039" r:id="rId23"/>
      </mc:Fallback>
    </mc:AlternateContent>
    <mc:AlternateContent xmlns:mc="http://schemas.openxmlformats.org/markup-compatibility/2006">
      <mc:Choice Requires="x14">
        <oleObject progId="Equation.3" shapeId="1040" r:id="rId25">
          <objectPr defaultSize="0" altText="" r:id="rId26">
            <anchor moveWithCells="1" sizeWithCells="1">
              <from>
                <xdr:col>6</xdr:col>
                <xdr:colOff>600075</xdr:colOff>
                <xdr:row>254</xdr:row>
                <xdr:rowOff>66675</xdr:rowOff>
              </from>
              <to>
                <xdr:col>8</xdr:col>
                <xdr:colOff>590550</xdr:colOff>
                <xdr:row>258</xdr:row>
                <xdr:rowOff>85725</xdr:rowOff>
              </to>
            </anchor>
          </objectPr>
        </oleObject>
      </mc:Choice>
      <mc:Fallback>
        <oleObject progId="Equation.3" shapeId="1040" r:id="rId25"/>
      </mc:Fallback>
    </mc:AlternateContent>
    <mc:AlternateContent xmlns:mc="http://schemas.openxmlformats.org/markup-compatibility/2006">
      <mc:Choice Requires="x14">
        <oleObject progId="Equation.3" shapeId="1041" r:id="rId27">
          <objectPr defaultSize="0" altText="" r:id="rId28">
            <anchor moveWithCells="1" sizeWithCells="1">
              <from>
                <xdr:col>6</xdr:col>
                <xdr:colOff>638175</xdr:colOff>
                <xdr:row>259</xdr:row>
                <xdr:rowOff>104775</xdr:rowOff>
              </from>
              <to>
                <xdr:col>8</xdr:col>
                <xdr:colOff>76200</xdr:colOff>
                <xdr:row>262</xdr:row>
                <xdr:rowOff>38100</xdr:rowOff>
              </to>
            </anchor>
          </objectPr>
        </oleObject>
      </mc:Choice>
      <mc:Fallback>
        <oleObject progId="Equation.3" shapeId="1041" r:id="rId27"/>
      </mc:Fallback>
    </mc:AlternateContent>
    <mc:AlternateContent xmlns:mc="http://schemas.openxmlformats.org/markup-compatibility/2006">
      <mc:Choice Requires="x14">
        <oleObject progId="Equation.3" shapeId="1043" r:id="rId29">
          <objectPr defaultSize="0" altText="" r:id="rId30">
            <anchor moveWithCells="1" sizeWithCells="1">
              <from>
                <xdr:col>8</xdr:col>
                <xdr:colOff>476250</xdr:colOff>
                <xdr:row>259</xdr:row>
                <xdr:rowOff>142875</xdr:rowOff>
              </from>
              <to>
                <xdr:col>10</xdr:col>
                <xdr:colOff>66675</xdr:colOff>
                <xdr:row>262</xdr:row>
                <xdr:rowOff>133350</xdr:rowOff>
              </to>
            </anchor>
          </objectPr>
        </oleObject>
      </mc:Choice>
      <mc:Fallback>
        <oleObject progId="Equation.3" shapeId="1043" r:id="rId29"/>
      </mc:Fallback>
    </mc:AlternateContent>
    <mc:AlternateContent xmlns:mc="http://schemas.openxmlformats.org/markup-compatibility/2006">
      <mc:Choice Requires="x14">
        <oleObject progId="Equation.3" shapeId="1044" r:id="rId31">
          <objectPr defaultSize="0" altText="" r:id="rId32">
            <anchor moveWithCells="1" sizeWithCells="1">
              <from>
                <xdr:col>7</xdr:col>
                <xdr:colOff>19050</xdr:colOff>
                <xdr:row>263</xdr:row>
                <xdr:rowOff>19050</xdr:rowOff>
              </from>
              <to>
                <xdr:col>8</xdr:col>
                <xdr:colOff>361950</xdr:colOff>
                <xdr:row>266</xdr:row>
                <xdr:rowOff>123825</xdr:rowOff>
              </to>
            </anchor>
          </objectPr>
        </oleObject>
      </mc:Choice>
      <mc:Fallback>
        <oleObject progId="Equation.3" shapeId="1044" r:id="rId31"/>
      </mc:Fallback>
    </mc:AlternateContent>
    <mc:AlternateContent xmlns:mc="http://schemas.openxmlformats.org/markup-compatibility/2006">
      <mc:Choice Requires="x14">
        <oleObject progId="Equation.3" shapeId="1046" r:id="rId33">
          <objectPr defaultSize="0" altText="" r:id="rId34">
            <anchor moveWithCells="1" sizeWithCells="1">
              <from>
                <xdr:col>8</xdr:col>
                <xdr:colOff>542925</xdr:colOff>
                <xdr:row>263</xdr:row>
                <xdr:rowOff>85725</xdr:rowOff>
              </from>
              <to>
                <xdr:col>10</xdr:col>
                <xdr:colOff>400050</xdr:colOff>
                <xdr:row>266</xdr:row>
                <xdr:rowOff>104775</xdr:rowOff>
              </to>
            </anchor>
          </objectPr>
        </oleObject>
      </mc:Choice>
      <mc:Fallback>
        <oleObject progId="Equation.3" shapeId="1046" r:id="rId33"/>
      </mc:Fallback>
    </mc:AlternateContent>
    <mc:AlternateContent xmlns:mc="http://schemas.openxmlformats.org/markup-compatibility/2006">
      <mc:Choice Requires="x14">
        <oleObject progId="Equation.3" shapeId="1048" r:id="rId35">
          <objectPr defaultSize="0" altText="" r:id="rId36">
            <anchor moveWithCells="1" sizeWithCells="1">
              <from>
                <xdr:col>2</xdr:col>
                <xdr:colOff>647700</xdr:colOff>
                <xdr:row>266</xdr:row>
                <xdr:rowOff>66675</xdr:rowOff>
              </from>
              <to>
                <xdr:col>4</xdr:col>
                <xdr:colOff>647700</xdr:colOff>
                <xdr:row>267</xdr:row>
                <xdr:rowOff>142875</xdr:rowOff>
              </to>
            </anchor>
          </objectPr>
        </oleObject>
      </mc:Choice>
      <mc:Fallback>
        <oleObject progId="Equation.3" shapeId="1048" r:id="rId35"/>
      </mc:Fallback>
    </mc:AlternateContent>
    <mc:AlternateContent xmlns:mc="http://schemas.openxmlformats.org/markup-compatibility/2006">
      <mc:Choice Requires="x14">
        <oleObject progId="Equation.3" shapeId="1049" r:id="rId37">
          <objectPr defaultSize="0" altText="" r:id="rId38">
            <anchor moveWithCells="1" sizeWithCells="1">
              <from>
                <xdr:col>2</xdr:col>
                <xdr:colOff>0</xdr:colOff>
                <xdr:row>271</xdr:row>
                <xdr:rowOff>200025</xdr:rowOff>
              </from>
              <to>
                <xdr:col>4</xdr:col>
                <xdr:colOff>609600</xdr:colOff>
                <xdr:row>273</xdr:row>
                <xdr:rowOff>57150</xdr:rowOff>
              </to>
            </anchor>
          </objectPr>
        </oleObject>
      </mc:Choice>
      <mc:Fallback>
        <oleObject progId="Equation.3" shapeId="1049" r:id="rId37"/>
      </mc:Fallback>
    </mc:AlternateContent>
    <mc:AlternateContent xmlns:mc="http://schemas.openxmlformats.org/markup-compatibility/2006">
      <mc:Choice Requires="x14">
        <oleObject progId="Equation.3" shapeId="1050" r:id="rId39">
          <objectPr defaultSize="0" altText="" r:id="rId40">
            <anchor moveWithCells="1" sizeWithCells="1">
              <from>
                <xdr:col>1</xdr:col>
                <xdr:colOff>314325</xdr:colOff>
                <xdr:row>273</xdr:row>
                <xdr:rowOff>200025</xdr:rowOff>
              </from>
              <to>
                <xdr:col>4</xdr:col>
                <xdr:colOff>590550</xdr:colOff>
                <xdr:row>276</xdr:row>
                <xdr:rowOff>123825</xdr:rowOff>
              </to>
            </anchor>
          </objectPr>
        </oleObject>
      </mc:Choice>
      <mc:Fallback>
        <oleObject progId="Equation.3" shapeId="1050" r:id="rId39"/>
      </mc:Fallback>
    </mc:AlternateContent>
    <mc:AlternateContent xmlns:mc="http://schemas.openxmlformats.org/markup-compatibility/2006">
      <mc:Choice Requires="x14">
        <oleObject progId="Equation.3" shapeId="1051" r:id="rId41">
          <objectPr defaultSize="0" altText="" r:id="rId42">
            <anchor moveWithCells="1" sizeWithCells="1">
              <from>
                <xdr:col>3</xdr:col>
                <xdr:colOff>0</xdr:colOff>
                <xdr:row>278</xdr:row>
                <xdr:rowOff>38100</xdr:rowOff>
              </from>
              <to>
                <xdr:col>5</xdr:col>
                <xdr:colOff>0</xdr:colOff>
                <xdr:row>280</xdr:row>
                <xdr:rowOff>133350</xdr:rowOff>
              </to>
            </anchor>
          </objectPr>
        </oleObject>
      </mc:Choice>
      <mc:Fallback>
        <oleObject progId="Equation.3" shapeId="1051" r:id="rId41"/>
      </mc:Fallback>
    </mc:AlternateContent>
    <mc:AlternateContent xmlns:mc="http://schemas.openxmlformats.org/markup-compatibility/2006">
      <mc:Choice Requires="x14">
        <oleObject progId="Equation.3" shapeId="1054" r:id="rId43">
          <objectPr defaultSize="0" altText="" r:id="rId44">
            <anchor moveWithCells="1" sizeWithCells="1">
              <from>
                <xdr:col>2</xdr:col>
                <xdr:colOff>723900</xdr:colOff>
                <xdr:row>281</xdr:row>
                <xdr:rowOff>9525</xdr:rowOff>
              </from>
              <to>
                <xdr:col>4</xdr:col>
                <xdr:colOff>638175</xdr:colOff>
                <xdr:row>283</xdr:row>
                <xdr:rowOff>133350</xdr:rowOff>
              </to>
            </anchor>
          </objectPr>
        </oleObject>
      </mc:Choice>
      <mc:Fallback>
        <oleObject progId="Equation.3" shapeId="1054" r:id="rId43"/>
      </mc:Fallback>
    </mc:AlternateContent>
    <mc:AlternateContent xmlns:mc="http://schemas.openxmlformats.org/markup-compatibility/2006">
      <mc:Choice Requires="x14">
        <oleObject progId="Equation.3" shapeId="1055" r:id="rId45">
          <objectPr defaultSize="0" altText="" r:id="rId46">
            <anchor moveWithCells="1" sizeWithCells="1">
              <from>
                <xdr:col>1</xdr:col>
                <xdr:colOff>504825</xdr:colOff>
                <xdr:row>290</xdr:row>
                <xdr:rowOff>95250</xdr:rowOff>
              </from>
              <to>
                <xdr:col>3</xdr:col>
                <xdr:colOff>657225</xdr:colOff>
                <xdr:row>295</xdr:row>
                <xdr:rowOff>0</xdr:rowOff>
              </to>
            </anchor>
          </objectPr>
        </oleObject>
      </mc:Choice>
      <mc:Fallback>
        <oleObject progId="Equation.3" shapeId="1055" r:id="rId45"/>
      </mc:Fallback>
    </mc:AlternateContent>
    <mc:AlternateContent xmlns:mc="http://schemas.openxmlformats.org/markup-compatibility/2006">
      <mc:Choice Requires="x14">
        <oleObject progId="Equation.3" shapeId="1056" r:id="rId47">
          <objectPr defaultSize="0" altText="" r:id="rId48">
            <anchor moveWithCells="1" sizeWithCells="1">
              <from>
                <xdr:col>3</xdr:col>
                <xdr:colOff>200025</xdr:colOff>
                <xdr:row>302</xdr:row>
                <xdr:rowOff>19050</xdr:rowOff>
              </from>
              <to>
                <xdr:col>4</xdr:col>
                <xdr:colOff>657225</xdr:colOff>
                <xdr:row>303</xdr:row>
                <xdr:rowOff>28575</xdr:rowOff>
              </to>
            </anchor>
          </objectPr>
        </oleObject>
      </mc:Choice>
      <mc:Fallback>
        <oleObject progId="Equation.3" shapeId="1056" r:id="rId47"/>
      </mc:Fallback>
    </mc:AlternateContent>
    <mc:AlternateContent xmlns:mc="http://schemas.openxmlformats.org/markup-compatibility/2006">
      <mc:Choice Requires="x14">
        <oleObject progId="Equation.3" shapeId="1057" r:id="rId49">
          <objectPr defaultSize="0" altText="" r:id="rId50">
            <anchor moveWithCells="1" sizeWithCells="1">
              <from>
                <xdr:col>1</xdr:col>
                <xdr:colOff>676275</xdr:colOff>
                <xdr:row>303</xdr:row>
                <xdr:rowOff>57150</xdr:rowOff>
              </from>
              <to>
                <xdr:col>4</xdr:col>
                <xdr:colOff>619125</xdr:colOff>
                <xdr:row>304</xdr:row>
                <xdr:rowOff>142875</xdr:rowOff>
              </to>
            </anchor>
          </objectPr>
        </oleObject>
      </mc:Choice>
      <mc:Fallback>
        <oleObject progId="Equation.3" shapeId="1057" r:id="rId49"/>
      </mc:Fallback>
    </mc:AlternateContent>
    <mc:AlternateContent xmlns:mc="http://schemas.openxmlformats.org/markup-compatibility/2006">
      <mc:Choice Requires="x14">
        <oleObject progId="Equation.3" shapeId="1058" r:id="rId51">
          <objectPr defaultSize="0" altText="" r:id="rId52">
            <anchor moveWithCells="1">
              <from>
                <xdr:col>7</xdr:col>
                <xdr:colOff>9525</xdr:colOff>
                <xdr:row>206</xdr:row>
                <xdr:rowOff>95250</xdr:rowOff>
              </from>
              <to>
                <xdr:col>10</xdr:col>
                <xdr:colOff>219075</xdr:colOff>
                <xdr:row>208</xdr:row>
                <xdr:rowOff>38100</xdr:rowOff>
              </to>
            </anchor>
          </objectPr>
        </oleObject>
      </mc:Choice>
      <mc:Fallback>
        <oleObject progId="Equation.3" shapeId="1058" r:id="rId51"/>
      </mc:Fallback>
    </mc:AlternateContent>
    <mc:AlternateContent xmlns:mc="http://schemas.openxmlformats.org/markup-compatibility/2006">
      <mc:Choice Requires="x14">
        <oleObject progId="Equation.3" shapeId="1060" r:id="rId53">
          <objectPr defaultSize="0" altText="" r:id="rId54">
            <anchor moveWithCells="1" sizeWithCells="1">
              <from>
                <xdr:col>12</xdr:col>
                <xdr:colOff>0</xdr:colOff>
                <xdr:row>305</xdr:row>
                <xdr:rowOff>123825</xdr:rowOff>
              </from>
              <to>
                <xdr:col>15</xdr:col>
                <xdr:colOff>723900</xdr:colOff>
                <xdr:row>308</xdr:row>
                <xdr:rowOff>38100</xdr:rowOff>
              </to>
            </anchor>
          </objectPr>
        </oleObject>
      </mc:Choice>
      <mc:Fallback>
        <oleObject progId="Equation.3" shapeId="1060" r:id="rId53"/>
      </mc:Fallback>
    </mc:AlternateContent>
    <mc:AlternateContent xmlns:mc="http://schemas.openxmlformats.org/markup-compatibility/2006">
      <mc:Choice Requires="x14">
        <oleObject progId="Equation.3" shapeId="1061" r:id="rId55">
          <objectPr defaultSize="0" altText="" r:id="rId56">
            <anchor moveWithCells="1" sizeWithCells="1">
              <from>
                <xdr:col>13</xdr:col>
                <xdr:colOff>28575</xdr:colOff>
                <xdr:row>310</xdr:row>
                <xdr:rowOff>152400</xdr:rowOff>
              </from>
              <to>
                <xdr:col>19</xdr:col>
                <xdr:colOff>142875</xdr:colOff>
                <xdr:row>312</xdr:row>
                <xdr:rowOff>142875</xdr:rowOff>
              </to>
            </anchor>
          </objectPr>
        </oleObject>
      </mc:Choice>
      <mc:Fallback>
        <oleObject progId="Equation.3" shapeId="1061" r:id="rId55"/>
      </mc:Fallback>
    </mc:AlternateContent>
    <mc:AlternateContent xmlns:mc="http://schemas.openxmlformats.org/markup-compatibility/2006">
      <mc:Choice Requires="x14">
        <oleObject progId="Equation.3" shapeId="1063" r:id="rId57">
          <objectPr defaultSize="0" altText="" r:id="rId58">
            <anchor moveWithCells="1">
              <from>
                <xdr:col>8</xdr:col>
                <xdr:colOff>9525</xdr:colOff>
                <xdr:row>310</xdr:row>
                <xdr:rowOff>152400</xdr:rowOff>
              </from>
              <to>
                <xdr:col>12</xdr:col>
                <xdr:colOff>695325</xdr:colOff>
                <xdr:row>312</xdr:row>
                <xdr:rowOff>161925</xdr:rowOff>
              </to>
            </anchor>
          </objectPr>
        </oleObject>
      </mc:Choice>
      <mc:Fallback>
        <oleObject progId="Equation.3" shapeId="1063" r:id="rId57"/>
      </mc:Fallback>
    </mc:AlternateContent>
    <mc:AlternateContent xmlns:mc="http://schemas.openxmlformats.org/markup-compatibility/2006">
      <mc:Choice Requires="x14">
        <oleObject progId="Equation.3" shapeId="1064" r:id="rId59">
          <objectPr defaultSize="0" altText="" r:id="rId60">
            <anchor moveWithCells="1">
              <from>
                <xdr:col>11</xdr:col>
                <xdr:colOff>0</xdr:colOff>
                <xdr:row>251</xdr:row>
                <xdr:rowOff>0</xdr:rowOff>
              </from>
              <to>
                <xdr:col>13</xdr:col>
                <xdr:colOff>266700</xdr:colOff>
                <xdr:row>251</xdr:row>
                <xdr:rowOff>171450</xdr:rowOff>
              </to>
            </anchor>
          </objectPr>
        </oleObject>
      </mc:Choice>
      <mc:Fallback>
        <oleObject progId="Equation.3" shapeId="1064" r:id="rId59"/>
      </mc:Fallback>
    </mc:AlternateContent>
    <mc:AlternateContent xmlns:mc="http://schemas.openxmlformats.org/markup-compatibility/2006">
      <mc:Choice Requires="x14">
        <oleObject progId="Equation.3" shapeId="1066" r:id="rId61">
          <objectPr defaultSize="0" altText="" r:id="rId62">
            <anchor moveWithCells="1">
              <from>
                <xdr:col>11</xdr:col>
                <xdr:colOff>0</xdr:colOff>
                <xdr:row>251</xdr:row>
                <xdr:rowOff>0</xdr:rowOff>
              </from>
              <to>
                <xdr:col>13</xdr:col>
                <xdr:colOff>266700</xdr:colOff>
                <xdr:row>251</xdr:row>
                <xdr:rowOff>171450</xdr:rowOff>
              </to>
            </anchor>
          </objectPr>
        </oleObject>
      </mc:Choice>
      <mc:Fallback>
        <oleObject progId="Equation.3" shapeId="1066" r:id="rId61"/>
      </mc:Fallback>
    </mc:AlternateContent>
    <mc:AlternateContent xmlns:mc="http://schemas.openxmlformats.org/markup-compatibility/2006">
      <mc:Choice Requires="x14">
        <oleObject progId="Equation.3" shapeId="1067" r:id="rId63">
          <objectPr defaultSize="0" altText="" r:id="rId64">
            <anchor moveWithCells="1">
              <from>
                <xdr:col>11</xdr:col>
                <xdr:colOff>0</xdr:colOff>
                <xdr:row>251</xdr:row>
                <xdr:rowOff>0</xdr:rowOff>
              </from>
              <to>
                <xdr:col>13</xdr:col>
                <xdr:colOff>266700</xdr:colOff>
                <xdr:row>251</xdr:row>
                <xdr:rowOff>171450</xdr:rowOff>
              </to>
            </anchor>
          </objectPr>
        </oleObject>
      </mc:Choice>
      <mc:Fallback>
        <oleObject progId="Equation.3" shapeId="1067" r:id="rId63"/>
      </mc:Fallback>
    </mc:AlternateContent>
    <mc:AlternateContent xmlns:mc="http://schemas.openxmlformats.org/markup-compatibility/2006">
      <mc:Choice Requires="x14">
        <oleObject progId="Equation.3" shapeId="1068" r:id="rId65">
          <objectPr defaultSize="0" altText="" r:id="rId66">
            <anchor moveWithCells="1">
              <from>
                <xdr:col>11</xdr:col>
                <xdr:colOff>0</xdr:colOff>
                <xdr:row>251</xdr:row>
                <xdr:rowOff>0</xdr:rowOff>
              </from>
              <to>
                <xdr:col>13</xdr:col>
                <xdr:colOff>266700</xdr:colOff>
                <xdr:row>251</xdr:row>
                <xdr:rowOff>171450</xdr:rowOff>
              </to>
            </anchor>
          </objectPr>
        </oleObject>
      </mc:Choice>
      <mc:Fallback>
        <oleObject progId="Equation.3" shapeId="1068" r:id="rId65"/>
      </mc:Fallback>
    </mc:AlternateContent>
    <mc:AlternateContent xmlns:mc="http://schemas.openxmlformats.org/markup-compatibility/2006">
      <mc:Choice Requires="x14">
        <oleObject progId="Equation.3" shapeId="1069" r:id="rId67">
          <objectPr defaultSize="0" altText="" r:id="rId68">
            <anchor moveWithCells="1" sizeWithCells="1">
              <from>
                <xdr:col>2</xdr:col>
                <xdr:colOff>714375</xdr:colOff>
                <xdr:row>378</xdr:row>
                <xdr:rowOff>19050</xdr:rowOff>
              </from>
              <to>
                <xdr:col>4</xdr:col>
                <xdr:colOff>647700</xdr:colOff>
                <xdr:row>380</xdr:row>
                <xdr:rowOff>57150</xdr:rowOff>
              </to>
            </anchor>
          </objectPr>
        </oleObject>
      </mc:Choice>
      <mc:Fallback>
        <oleObject progId="Equation.3" shapeId="1069" r:id="rId67"/>
      </mc:Fallback>
    </mc:AlternateContent>
    <mc:AlternateContent xmlns:mc="http://schemas.openxmlformats.org/markup-compatibility/2006">
      <mc:Choice Requires="x14">
        <oleObject progId="Equation.3" shapeId="1070" r:id="rId69">
          <objectPr defaultSize="0" altText="" r:id="rId70">
            <anchor moveWithCells="1" sizeWithCells="1">
              <from>
                <xdr:col>2</xdr:col>
                <xdr:colOff>733425</xdr:colOff>
                <xdr:row>392</xdr:row>
                <xdr:rowOff>0</xdr:rowOff>
              </from>
              <to>
                <xdr:col>4</xdr:col>
                <xdr:colOff>666750</xdr:colOff>
                <xdr:row>394</xdr:row>
                <xdr:rowOff>38100</xdr:rowOff>
              </to>
            </anchor>
          </objectPr>
        </oleObject>
      </mc:Choice>
      <mc:Fallback>
        <oleObject progId="Equation.3" shapeId="1070" r:id="rId69"/>
      </mc:Fallback>
    </mc:AlternateContent>
    <mc:AlternateContent xmlns:mc="http://schemas.openxmlformats.org/markup-compatibility/2006">
      <mc:Choice Requires="x14">
        <oleObject progId="Equation.3" shapeId="1071" r:id="rId71">
          <objectPr defaultSize="0" altText="" r:id="rId72">
            <anchor moveWithCells="1">
              <from>
                <xdr:col>9</xdr:col>
                <xdr:colOff>28575</xdr:colOff>
                <xdr:row>402</xdr:row>
                <xdr:rowOff>38100</xdr:rowOff>
              </from>
              <to>
                <xdr:col>10</xdr:col>
                <xdr:colOff>95250</xdr:colOff>
                <xdr:row>403</xdr:row>
                <xdr:rowOff>171450</xdr:rowOff>
              </to>
            </anchor>
          </objectPr>
        </oleObject>
      </mc:Choice>
      <mc:Fallback>
        <oleObject progId="Equation.3" shapeId="1071" r:id="rId71"/>
      </mc:Fallback>
    </mc:AlternateContent>
    <mc:AlternateContent xmlns:mc="http://schemas.openxmlformats.org/markup-compatibility/2006">
      <mc:Choice Requires="x14">
        <oleObject progId="Equation.3" shapeId="1072" r:id="rId73">
          <objectPr defaultSize="0" altText="" r:id="rId74">
            <anchor moveWithCells="1">
              <from>
                <xdr:col>8</xdr:col>
                <xdr:colOff>0</xdr:colOff>
                <xdr:row>400</xdr:row>
                <xdr:rowOff>9525</xdr:rowOff>
              </from>
              <to>
                <xdr:col>8</xdr:col>
                <xdr:colOff>581025</xdr:colOff>
                <xdr:row>401</xdr:row>
                <xdr:rowOff>114300</xdr:rowOff>
              </to>
            </anchor>
          </objectPr>
        </oleObject>
      </mc:Choice>
      <mc:Fallback>
        <oleObject progId="Equation.3" shapeId="1072" r:id="rId73"/>
      </mc:Fallback>
    </mc:AlternateContent>
    <mc:AlternateContent xmlns:mc="http://schemas.openxmlformats.org/markup-compatibility/2006">
      <mc:Choice Requires="x14">
        <oleObject progId="Equation.3" shapeId="1073" r:id="rId75">
          <objectPr defaultSize="0" altText="" r:id="rId76">
            <anchor moveWithCells="1">
              <from>
                <xdr:col>12</xdr:col>
                <xdr:colOff>66675</xdr:colOff>
                <xdr:row>397</xdr:row>
                <xdr:rowOff>123825</xdr:rowOff>
              </from>
              <to>
                <xdr:col>13</xdr:col>
                <xdr:colOff>123825</xdr:colOff>
                <xdr:row>398</xdr:row>
                <xdr:rowOff>161925</xdr:rowOff>
              </to>
            </anchor>
          </objectPr>
        </oleObject>
      </mc:Choice>
      <mc:Fallback>
        <oleObject progId="Equation.3" shapeId="1073" r:id="rId75"/>
      </mc:Fallback>
    </mc:AlternateContent>
    <mc:AlternateContent xmlns:mc="http://schemas.openxmlformats.org/markup-compatibility/2006">
      <mc:Choice Requires="x14">
        <oleObject progId="Equation.3" shapeId="1074" r:id="rId77">
          <objectPr defaultSize="0" altText="" r:id="rId78">
            <anchor moveWithCells="1">
              <from>
                <xdr:col>10</xdr:col>
                <xdr:colOff>666750</xdr:colOff>
                <xdr:row>399</xdr:row>
                <xdr:rowOff>57150</xdr:rowOff>
              </from>
              <to>
                <xdr:col>11</xdr:col>
                <xdr:colOff>676275</xdr:colOff>
                <xdr:row>400</xdr:row>
                <xdr:rowOff>85725</xdr:rowOff>
              </to>
            </anchor>
          </objectPr>
        </oleObject>
      </mc:Choice>
      <mc:Fallback>
        <oleObject progId="Equation.3" shapeId="1074" r:id="rId77"/>
      </mc:Fallback>
    </mc:AlternateContent>
    <mc:AlternateContent xmlns:mc="http://schemas.openxmlformats.org/markup-compatibility/2006">
      <mc:Choice Requires="x14">
        <oleObject progId="Equation.3" shapeId="1075" r:id="rId79">
          <objectPr defaultSize="0" altText="" r:id="rId80">
            <anchor moveWithCells="1">
              <from>
                <xdr:col>7</xdr:col>
                <xdr:colOff>28575</xdr:colOff>
                <xdr:row>409</xdr:row>
                <xdr:rowOff>142875</xdr:rowOff>
              </from>
              <to>
                <xdr:col>9</xdr:col>
                <xdr:colOff>104775</xdr:colOff>
                <xdr:row>411</xdr:row>
                <xdr:rowOff>200025</xdr:rowOff>
              </to>
            </anchor>
          </objectPr>
        </oleObject>
      </mc:Choice>
      <mc:Fallback>
        <oleObject progId="Equation.3" shapeId="1075" r:id="rId79"/>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E6:F30"/>
  <sheetViews>
    <sheetView workbookViewId="0">
      <selection activeCell="E41" sqref="E41"/>
    </sheetView>
  </sheetViews>
  <sheetFormatPr defaultColWidth="8.875" defaultRowHeight="13.5" x14ac:dyDescent="0.15"/>
  <cols>
    <col min="5" max="5" width="50.625" customWidth="1"/>
    <col min="6" max="6" width="20.625" customWidth="1"/>
  </cols>
  <sheetData>
    <row r="6" spans="5:6" x14ac:dyDescent="0.15">
      <c r="E6" s="637" t="s">
        <v>1570</v>
      </c>
      <c r="F6" s="637"/>
    </row>
    <row r="7" spans="5:6" x14ac:dyDescent="0.15">
      <c r="E7" s="826" t="s">
        <v>1587</v>
      </c>
      <c r="F7" s="827" t="s">
        <v>1576</v>
      </c>
    </row>
    <row r="8" spans="5:6" x14ac:dyDescent="0.15">
      <c r="E8" s="828" t="s">
        <v>1571</v>
      </c>
      <c r="F8" s="829">
        <f>LOOKUP(F7,{"1级","2级","3级","4级","5级"},{1.3,1.2,1.2,1.15,1.15})</f>
        <v>1.3</v>
      </c>
    </row>
    <row r="9" spans="5:6" x14ac:dyDescent="0.15">
      <c r="E9" s="830" t="s">
        <v>1564</v>
      </c>
      <c r="F9" s="830" t="s">
        <v>1034</v>
      </c>
    </row>
    <row r="10" spans="5:6" x14ac:dyDescent="0.15">
      <c r="E10" s="830" t="s">
        <v>1565</v>
      </c>
      <c r="F10" s="830">
        <v>1860</v>
      </c>
    </row>
    <row r="11" spans="5:6" x14ac:dyDescent="0.15">
      <c r="E11" s="830" t="s">
        <v>1569</v>
      </c>
      <c r="F11" s="830">
        <f>840</f>
        <v>840</v>
      </c>
    </row>
    <row r="12" spans="5:6" x14ac:dyDescent="0.15">
      <c r="E12" s="830" t="s">
        <v>1586</v>
      </c>
      <c r="F12" s="830">
        <v>10</v>
      </c>
    </row>
    <row r="13" spans="5:6" x14ac:dyDescent="0.15">
      <c r="E13" s="830" t="s">
        <v>1567</v>
      </c>
      <c r="F13" s="830">
        <v>0.7</v>
      </c>
    </row>
    <row r="14" spans="5:6" x14ac:dyDescent="0.15">
      <c r="E14" s="831" t="s">
        <v>1584</v>
      </c>
      <c r="F14" s="832">
        <v>19.2</v>
      </c>
    </row>
    <row r="15" spans="5:6" ht="14.25" x14ac:dyDescent="0.15">
      <c r="E15" s="831" t="s">
        <v>1585</v>
      </c>
      <c r="F15" s="832">
        <v>210</v>
      </c>
    </row>
    <row r="16" spans="5:6" ht="14.25" x14ac:dyDescent="0.15">
      <c r="E16" s="833" t="s">
        <v>1572</v>
      </c>
      <c r="F16" s="830">
        <f>1.05*F13*F10*F11*F12/1000</f>
        <v>11483.64</v>
      </c>
    </row>
    <row r="17" spans="5:6" x14ac:dyDescent="0.15">
      <c r="E17" s="834" t="s">
        <v>1573</v>
      </c>
      <c r="F17" s="834" t="s">
        <v>1574</v>
      </c>
    </row>
    <row r="18" spans="5:6" x14ac:dyDescent="0.15">
      <c r="E18" s="831" t="s">
        <v>1577</v>
      </c>
      <c r="F18" s="835">
        <v>1.6</v>
      </c>
    </row>
    <row r="19" spans="5:6" x14ac:dyDescent="0.15">
      <c r="E19" s="831" t="s">
        <v>1575</v>
      </c>
      <c r="F19" s="835">
        <v>0.16500000000000001</v>
      </c>
    </row>
    <row r="20" spans="5:6" ht="14.25" x14ac:dyDescent="0.15">
      <c r="E20" s="828" t="s">
        <v>1263</v>
      </c>
      <c r="F20" s="835">
        <f>F18*F19</f>
        <v>0.26400000000000001</v>
      </c>
    </row>
    <row r="21" spans="5:6" ht="14.25" x14ac:dyDescent="0.15">
      <c r="E21" s="831" t="s">
        <v>1578</v>
      </c>
      <c r="F21" s="835">
        <f>F18*(3*F19)</f>
        <v>0.79200000000000004</v>
      </c>
    </row>
    <row r="22" spans="5:6" ht="15.75" x14ac:dyDescent="0.15">
      <c r="E22" s="828" t="s">
        <v>1265</v>
      </c>
      <c r="F22" s="835">
        <f>(F21/F20)^0.5</f>
        <v>1.7320508075688772</v>
      </c>
    </row>
    <row r="23" spans="5:6" x14ac:dyDescent="0.15">
      <c r="E23" s="836" t="s">
        <v>1580</v>
      </c>
      <c r="F23" s="836"/>
    </row>
    <row r="24" spans="5:6" ht="15" x14ac:dyDescent="0.15">
      <c r="E24" s="834" t="s">
        <v>1579</v>
      </c>
      <c r="F24" s="835">
        <f>2*0.785*0.012^2/(0.05^2)</f>
        <v>9.0431999999999985E-2</v>
      </c>
    </row>
    <row r="25" spans="5:6" x14ac:dyDescent="0.15">
      <c r="E25" s="834" t="s">
        <v>1581</v>
      </c>
      <c r="F25" s="835">
        <f>F20-0.785*0.06^2</f>
        <v>0.26117400000000002</v>
      </c>
    </row>
    <row r="26" spans="5:6" ht="15" x14ac:dyDescent="0.15">
      <c r="E26" s="834" t="s">
        <v>1582</v>
      </c>
      <c r="F26" s="835">
        <f>(F22*F14+2*F24*F22*F15)*F20*1000</f>
        <v>26146.86606310714</v>
      </c>
    </row>
    <row r="27" spans="5:6" x14ac:dyDescent="0.15">
      <c r="E27" s="837" t="str">
        <f>IF(F16*F8&lt;F26,"满足局部受压承载力要求","不满足局部受压承载力要求")</f>
        <v>满足局部受压承载力要求</v>
      </c>
      <c r="F27" s="837"/>
    </row>
    <row r="28" spans="5:6" ht="14.25" x14ac:dyDescent="0.15">
      <c r="E28" s="828" t="s">
        <v>1583</v>
      </c>
      <c r="F28" s="838">
        <f>1.5*F22*F14*F20*1000</f>
        <v>13169.128700107687</v>
      </c>
    </row>
    <row r="29" spans="5:6" x14ac:dyDescent="0.15">
      <c r="E29" s="839" t="str">
        <f>IF(F16&lt;F28,"局部受压区截面尺寸符合要求","局部受压区截面尺寸不符合要求")</f>
        <v>局部受压区截面尺寸符合要求</v>
      </c>
      <c r="F29" s="839"/>
    </row>
    <row r="30" spans="5:6" x14ac:dyDescent="0.15">
      <c r="E30" s="196"/>
      <c r="F30" s="196"/>
    </row>
  </sheetData>
  <mergeCells count="4">
    <mergeCell ref="E29:F29"/>
    <mergeCell ref="E23:F23"/>
    <mergeCell ref="E27:F27"/>
    <mergeCell ref="E6:F6"/>
  </mergeCells>
  <phoneticPr fontId="143" type="noConversion"/>
  <dataValidations disablePrompts="1" count="1">
    <dataValidation type="list" allowBlank="1" showInputMessage="1" showErrorMessage="1" prompt="下拉菜单选择" sqref="F7" xr:uid="{25C3C41C-F2D8-420B-BC72-2698A62DD757}">
      <formula1>"1级,2级,3级,4级,5级"</formula1>
    </dataValidation>
  </dataValidation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455"/>
  <sheetViews>
    <sheetView topLeftCell="A175" workbookViewId="0">
      <selection activeCell="B59" sqref="B59"/>
    </sheetView>
  </sheetViews>
  <sheetFormatPr defaultColWidth="9" defaultRowHeight="13.5" x14ac:dyDescent="0.15"/>
  <cols>
    <col min="1" max="1" width="9" customWidth="1"/>
    <col min="2" max="2" width="9.625" customWidth="1"/>
    <col min="3" max="3" width="10" customWidth="1"/>
    <col min="6" max="6" width="11.625" style="197" customWidth="1"/>
    <col min="8" max="8" width="16.625" customWidth="1"/>
    <col min="9" max="9" width="9.5" customWidth="1"/>
    <col min="12" max="12" width="10" customWidth="1"/>
    <col min="13" max="13" width="10.625" customWidth="1"/>
    <col min="14" max="14" width="10" customWidth="1"/>
    <col min="16" max="16" width="11.625" customWidth="1"/>
  </cols>
  <sheetData>
    <row r="1" spans="2:7" s="192" customFormat="1" ht="18.75" x14ac:dyDescent="0.15">
      <c r="B1" s="198" t="s">
        <v>447</v>
      </c>
      <c r="C1" s="348"/>
      <c r="D1" s="348"/>
      <c r="E1" s="349"/>
      <c r="F1" s="345"/>
    </row>
    <row r="2" spans="2:7" ht="14.25" x14ac:dyDescent="0.15">
      <c r="B2" s="350"/>
      <c r="C2" s="351"/>
      <c r="D2" s="352"/>
      <c r="E2" s="352"/>
    </row>
    <row r="3" spans="2:7" ht="14.25" x14ac:dyDescent="0.15">
      <c r="B3" s="247"/>
      <c r="C3" s="351" t="s">
        <v>448</v>
      </c>
      <c r="D3" s="352"/>
      <c r="E3" s="352"/>
    </row>
    <row r="4" spans="2:7" ht="14.25" x14ac:dyDescent="0.15">
      <c r="B4" s="352"/>
      <c r="C4" s="351" t="s">
        <v>449</v>
      </c>
      <c r="D4" s="352"/>
      <c r="E4" s="352"/>
    </row>
    <row r="5" spans="2:7" ht="14.25" x14ac:dyDescent="0.15">
      <c r="B5" s="352"/>
      <c r="C5" s="351" t="s">
        <v>450</v>
      </c>
      <c r="D5" s="352"/>
      <c r="E5" s="352"/>
    </row>
    <row r="6" spans="2:7" ht="14.25" x14ac:dyDescent="0.15">
      <c r="B6" s="352"/>
      <c r="C6" s="351" t="s">
        <v>451</v>
      </c>
      <c r="D6" s="352"/>
      <c r="E6" s="352"/>
    </row>
    <row r="7" spans="2:7" ht="14.25" x14ac:dyDescent="0.15">
      <c r="B7" s="352"/>
      <c r="C7" s="351" t="s">
        <v>452</v>
      </c>
      <c r="D7" s="352"/>
      <c r="E7" s="352"/>
    </row>
    <row r="8" spans="2:7" ht="14.25" x14ac:dyDescent="0.15">
      <c r="B8" s="352"/>
      <c r="C8" s="351" t="s">
        <v>453</v>
      </c>
      <c r="D8" s="352"/>
      <c r="E8" s="352"/>
    </row>
    <row r="9" spans="2:7" ht="14.25" x14ac:dyDescent="0.15">
      <c r="B9" s="352"/>
      <c r="C9" s="351" t="s">
        <v>454</v>
      </c>
      <c r="D9" s="352"/>
      <c r="E9" s="352"/>
    </row>
    <row r="10" spans="2:7" ht="14.25" x14ac:dyDescent="0.15">
      <c r="B10" s="352"/>
      <c r="C10" s="351" t="s">
        <v>455</v>
      </c>
      <c r="D10" s="352"/>
      <c r="E10" s="352"/>
    </row>
    <row r="11" spans="2:7" ht="14.25" x14ac:dyDescent="0.15">
      <c r="B11" s="352"/>
      <c r="C11" s="351" t="s">
        <v>456</v>
      </c>
      <c r="D11" s="352"/>
      <c r="E11" s="352"/>
    </row>
    <row r="13" spans="2:7" s="192" customFormat="1" ht="18.75" x14ac:dyDescent="0.25">
      <c r="B13" s="353">
        <v>2</v>
      </c>
      <c r="C13" s="354" t="s">
        <v>457</v>
      </c>
      <c r="D13" s="353"/>
      <c r="F13" s="345"/>
    </row>
    <row r="14" spans="2:7" x14ac:dyDescent="0.15">
      <c r="B14" t="s">
        <v>458</v>
      </c>
      <c r="D14" s="330">
        <v>0.75</v>
      </c>
      <c r="E14" t="s">
        <v>12</v>
      </c>
    </row>
    <row r="15" spans="2:7" x14ac:dyDescent="0.15">
      <c r="C15" t="s">
        <v>459</v>
      </c>
      <c r="D15" s="330">
        <v>19.95</v>
      </c>
      <c r="E15" t="s">
        <v>12</v>
      </c>
    </row>
    <row r="16" spans="2:7" x14ac:dyDescent="0.15">
      <c r="B16" t="s">
        <v>460</v>
      </c>
      <c r="C16" t="s">
        <v>15</v>
      </c>
      <c r="D16" s="355">
        <f>D15/(2*D14)</f>
        <v>13.299999999999999</v>
      </c>
      <c r="E16" t="str">
        <f>IF(D16&lt;4,"&lt;","&gt;")</f>
        <v>&gt;</v>
      </c>
      <c r="F16" s="197" t="s">
        <v>461</v>
      </c>
      <c r="G16" t="str">
        <f>IF(E16="&lt;","横向应力控制条件","底部加厚，便于纵向配筋")</f>
        <v>底部加厚，便于纵向配筋</v>
      </c>
    </row>
    <row r="17" spans="2:10" x14ac:dyDescent="0.15">
      <c r="B17" t="s">
        <v>17</v>
      </c>
      <c r="C17" s="330">
        <v>0.75</v>
      </c>
      <c r="D17" t="s">
        <v>12</v>
      </c>
      <c r="E17" s="586" t="s">
        <v>462</v>
      </c>
      <c r="F17" s="586"/>
      <c r="G17" t="s">
        <v>463</v>
      </c>
    </row>
    <row r="18" spans="2:10" x14ac:dyDescent="0.15">
      <c r="B18" t="s">
        <v>464</v>
      </c>
      <c r="C18" t="s">
        <v>465</v>
      </c>
      <c r="E18">
        <f>1/10*C17</f>
        <v>7.5000000000000011E-2</v>
      </c>
      <c r="F18" s="197">
        <f>1/15*C17</f>
        <v>0.05</v>
      </c>
      <c r="G18" s="330">
        <v>0.22</v>
      </c>
    </row>
    <row r="19" spans="2:10" x14ac:dyDescent="0.15">
      <c r="B19" t="s">
        <v>466</v>
      </c>
      <c r="C19" t="s">
        <v>467</v>
      </c>
      <c r="E19">
        <f>1.5*G18</f>
        <v>0.33</v>
      </c>
      <c r="F19" s="197">
        <f>2.5*G18</f>
        <v>0.55000000000000004</v>
      </c>
      <c r="G19" s="330">
        <v>0.33</v>
      </c>
    </row>
    <row r="20" spans="2:10" x14ac:dyDescent="0.15">
      <c r="B20" t="s">
        <v>468</v>
      </c>
      <c r="C20" t="s">
        <v>469</v>
      </c>
      <c r="E20">
        <f>1*G18</f>
        <v>0.22</v>
      </c>
      <c r="F20" s="197">
        <f>2*G18</f>
        <v>0.44</v>
      </c>
      <c r="G20" s="330">
        <v>0.22</v>
      </c>
    </row>
    <row r="21" spans="2:10" x14ac:dyDescent="0.15">
      <c r="B21" t="s">
        <v>470</v>
      </c>
      <c r="C21" t="s">
        <v>469</v>
      </c>
      <c r="E21">
        <f>1*G18</f>
        <v>0.22</v>
      </c>
      <c r="F21" s="197">
        <f>2*G18</f>
        <v>0.44</v>
      </c>
      <c r="G21" s="330">
        <v>0.22</v>
      </c>
    </row>
    <row r="22" spans="2:10" x14ac:dyDescent="0.15">
      <c r="B22" t="s">
        <v>471</v>
      </c>
      <c r="C22" t="s">
        <v>472</v>
      </c>
      <c r="E22">
        <f>0.5*C17</f>
        <v>0.375</v>
      </c>
      <c r="F22" s="197">
        <f>0.6*C17</f>
        <v>0.44999999999999996</v>
      </c>
      <c r="G22" s="330">
        <v>0.68700000000000006</v>
      </c>
    </row>
    <row r="23" spans="2:10" x14ac:dyDescent="0.15">
      <c r="B23" t="s">
        <v>473</v>
      </c>
      <c r="C23" t="s">
        <v>474</v>
      </c>
      <c r="E23">
        <f>1*G18</f>
        <v>0.22</v>
      </c>
      <c r="F23" s="197">
        <f>1.5*G18</f>
        <v>0.33</v>
      </c>
      <c r="G23" s="330">
        <v>0.23</v>
      </c>
    </row>
    <row r="24" spans="2:10" x14ac:dyDescent="0.15">
      <c r="B24" t="s">
        <v>475</v>
      </c>
      <c r="C24" t="s">
        <v>476</v>
      </c>
      <c r="E24">
        <f>0.4*C17</f>
        <v>0.30000000000000004</v>
      </c>
      <c r="F24" s="197">
        <f>0.6*C17</f>
        <v>0.44999999999999996</v>
      </c>
      <c r="G24" s="330">
        <v>0.51</v>
      </c>
    </row>
    <row r="25" spans="2:10" ht="18.75" x14ac:dyDescent="0.3">
      <c r="B25" t="s">
        <v>477</v>
      </c>
      <c r="G25" s="330">
        <v>0.45100000000000001</v>
      </c>
      <c r="H25" s="341" t="s">
        <v>478</v>
      </c>
      <c r="I25" s="341"/>
      <c r="J25" s="341"/>
    </row>
    <row r="26" spans="2:10" x14ac:dyDescent="0.15">
      <c r="B26" s="196"/>
      <c r="C26" s="196"/>
      <c r="D26" s="196"/>
      <c r="F26" s="197" t="s">
        <v>479</v>
      </c>
      <c r="G26" s="330">
        <v>0.12</v>
      </c>
      <c r="H26" s="356" t="s">
        <v>12</v>
      </c>
      <c r="I26" s="341"/>
      <c r="J26" s="341"/>
    </row>
    <row r="27" spans="2:10" x14ac:dyDescent="0.15">
      <c r="B27" s="196"/>
      <c r="C27" s="196"/>
      <c r="D27" s="196"/>
      <c r="F27" s="197" t="s">
        <v>480</v>
      </c>
      <c r="G27" s="330">
        <f>0.4*2</f>
        <v>0.8</v>
      </c>
      <c r="H27" s="356" t="s">
        <v>12</v>
      </c>
      <c r="I27" s="341"/>
      <c r="J27" s="341"/>
    </row>
    <row r="28" spans="2:10" x14ac:dyDescent="0.15">
      <c r="F28" s="197" t="s">
        <v>481</v>
      </c>
      <c r="G28" s="330">
        <v>0.15</v>
      </c>
      <c r="H28" s="356" t="s">
        <v>12</v>
      </c>
      <c r="I28" s="341"/>
      <c r="J28" s="341"/>
    </row>
    <row r="29" spans="2:10" x14ac:dyDescent="0.15">
      <c r="F29" s="197" t="s">
        <v>482</v>
      </c>
      <c r="G29" s="330">
        <v>0.12</v>
      </c>
      <c r="H29" s="356" t="s">
        <v>12</v>
      </c>
      <c r="I29" s="341"/>
      <c r="J29" s="341"/>
    </row>
    <row r="30" spans="2:10" x14ac:dyDescent="0.15">
      <c r="F30" s="197" t="s">
        <v>483</v>
      </c>
      <c r="G30" s="330">
        <f>2*C17-G27</f>
        <v>0.7</v>
      </c>
      <c r="H30" s="356" t="s">
        <v>12</v>
      </c>
      <c r="I30" s="341"/>
      <c r="J30" s="341"/>
    </row>
    <row r="31" spans="2:10" x14ac:dyDescent="0.15">
      <c r="F31" s="197" t="s">
        <v>484</v>
      </c>
      <c r="G31" s="330">
        <v>1.55</v>
      </c>
      <c r="H31" s="356" t="s">
        <v>12</v>
      </c>
      <c r="I31" s="341"/>
      <c r="J31" s="341"/>
    </row>
    <row r="32" spans="2:10" x14ac:dyDescent="0.15">
      <c r="F32" s="197" t="s">
        <v>485</v>
      </c>
      <c r="G32" s="330">
        <f>0.8</f>
        <v>0.8</v>
      </c>
      <c r="H32" s="356" t="s">
        <v>12</v>
      </c>
      <c r="I32" s="341"/>
      <c r="J32" s="341"/>
    </row>
    <row r="33" spans="2:13" ht="14.25" x14ac:dyDescent="0.15">
      <c r="B33" s="357" t="s">
        <v>486</v>
      </c>
      <c r="C33" s="330">
        <v>0.86</v>
      </c>
      <c r="D33" s="357" t="s">
        <v>12</v>
      </c>
      <c r="G33" s="196"/>
      <c r="H33" s="341"/>
      <c r="I33" s="341"/>
      <c r="J33" s="341"/>
    </row>
    <row r="34" spans="2:13" ht="14.25" x14ac:dyDescent="0.15">
      <c r="B34" s="357" t="s">
        <v>487</v>
      </c>
      <c r="C34" s="330">
        <v>0.99</v>
      </c>
      <c r="D34" s="357" t="s">
        <v>12</v>
      </c>
      <c r="G34" s="196"/>
      <c r="H34" s="341"/>
      <c r="I34" s="341"/>
      <c r="J34" s="341"/>
    </row>
    <row r="35" spans="2:13" ht="14.25" x14ac:dyDescent="0.15">
      <c r="B35" s="357" t="s">
        <v>488</v>
      </c>
      <c r="C35" s="330">
        <v>1.2</v>
      </c>
      <c r="D35" s="357" t="s">
        <v>12</v>
      </c>
      <c r="G35" s="196"/>
      <c r="H35" s="341"/>
      <c r="I35" s="341"/>
      <c r="J35" s="341"/>
    </row>
    <row r="36" spans="2:13" ht="14.25" x14ac:dyDescent="0.15">
      <c r="B36" t="s">
        <v>489</v>
      </c>
      <c r="C36" s="313">
        <f>C17+G24</f>
        <v>1.26</v>
      </c>
      <c r="D36" s="357" t="s">
        <v>12</v>
      </c>
      <c r="E36" t="s">
        <v>47</v>
      </c>
      <c r="F36" s="358">
        <f>C36/G18</f>
        <v>5.7272727272727275</v>
      </c>
      <c r="G36" t="str">
        <f>IF(F36&lt;20+F36&gt;15,"&lt;","&gt;")</f>
        <v>&lt;</v>
      </c>
      <c r="H36" t="s">
        <v>490</v>
      </c>
      <c r="I36" t="str">
        <f>IF(G36="&lt;","横向刚度满足要求","横向刚度不满足要求")</f>
        <v>横向刚度满足要求</v>
      </c>
    </row>
    <row r="37" spans="2:13" ht="14.25" x14ac:dyDescent="0.15">
      <c r="B37" s="357" t="s">
        <v>491</v>
      </c>
      <c r="C37" s="313">
        <f>C17+G24+G18+G23</f>
        <v>1.71</v>
      </c>
      <c r="D37" s="357" t="s">
        <v>12</v>
      </c>
    </row>
    <row r="38" spans="2:13" ht="14.25" x14ac:dyDescent="0.15">
      <c r="B38" s="357"/>
      <c r="C38" s="196"/>
      <c r="D38" s="357"/>
      <c r="H38" s="593" t="s">
        <v>492</v>
      </c>
      <c r="I38" s="593"/>
    </row>
    <row r="39" spans="2:13" s="192" customFormat="1" ht="18.75" x14ac:dyDescent="0.25">
      <c r="B39" s="353">
        <v>3</v>
      </c>
      <c r="C39" s="354" t="s">
        <v>493</v>
      </c>
      <c r="D39" s="353"/>
      <c r="F39" s="345"/>
      <c r="H39" s="593"/>
      <c r="I39" s="593"/>
    </row>
    <row r="40" spans="2:13" s="192" customFormat="1" ht="14.25" x14ac:dyDescent="0.15">
      <c r="C40" s="359" t="s">
        <v>494</v>
      </c>
      <c r="D40" s="360"/>
      <c r="F40" s="345"/>
      <c r="H40" s="593"/>
      <c r="I40" s="593"/>
    </row>
    <row r="41" spans="2:13" ht="17.25" x14ac:dyDescent="0.25">
      <c r="B41" s="277"/>
      <c r="C41" s="277"/>
      <c r="D41" s="277"/>
      <c r="E41" s="347" t="s">
        <v>495</v>
      </c>
      <c r="F41" s="361">
        <v>14.3</v>
      </c>
      <c r="G41" s="277" t="s">
        <v>496</v>
      </c>
      <c r="H41" s="593"/>
      <c r="I41" s="593"/>
    </row>
    <row r="42" spans="2:13" ht="15.75" x14ac:dyDescent="0.15">
      <c r="B42" s="362" t="s">
        <v>497</v>
      </c>
      <c r="C42" s="247"/>
      <c r="D42" s="247"/>
      <c r="E42" s="363" t="s">
        <v>498</v>
      </c>
      <c r="F42" s="361">
        <v>1.43</v>
      </c>
      <c r="G42" s="277" t="s">
        <v>496</v>
      </c>
      <c r="H42" s="593"/>
      <c r="I42" s="593"/>
      <c r="J42" s="245" t="s">
        <v>499</v>
      </c>
      <c r="K42" s="245"/>
    </row>
    <row r="43" spans="2:13" ht="15.75" x14ac:dyDescent="0.15">
      <c r="B43" s="277"/>
      <c r="C43" s="277"/>
      <c r="D43" s="277"/>
      <c r="E43" s="347" t="s">
        <v>500</v>
      </c>
      <c r="F43" s="361">
        <v>2.0099999999999998</v>
      </c>
      <c r="G43" s="277" t="s">
        <v>496</v>
      </c>
      <c r="H43" s="593"/>
      <c r="I43" s="593"/>
    </row>
    <row r="44" spans="2:13" ht="15.75" x14ac:dyDescent="0.15">
      <c r="B44" s="247"/>
      <c r="C44" s="247"/>
      <c r="D44" s="247"/>
      <c r="E44" s="363" t="s">
        <v>501</v>
      </c>
      <c r="F44" s="361">
        <v>20.100000000000001</v>
      </c>
      <c r="G44" s="277" t="s">
        <v>496</v>
      </c>
      <c r="H44" s="593"/>
      <c r="I44" s="593"/>
    </row>
    <row r="45" spans="2:13" ht="15.75" x14ac:dyDescent="0.15">
      <c r="B45" s="247"/>
      <c r="C45" s="247"/>
      <c r="D45" s="247"/>
      <c r="E45" s="363" t="s">
        <v>502</v>
      </c>
      <c r="F45" s="361">
        <v>30000</v>
      </c>
      <c r="G45" s="277" t="s">
        <v>496</v>
      </c>
      <c r="H45" s="593"/>
      <c r="I45" s="593"/>
    </row>
    <row r="46" spans="2:13" ht="18.75" customHeight="1" x14ac:dyDescent="0.3">
      <c r="E46" s="364" t="s">
        <v>503</v>
      </c>
      <c r="F46" s="365">
        <f>0.75*F44</f>
        <v>15.075000000000001</v>
      </c>
      <c r="G46" s="277" t="s">
        <v>496</v>
      </c>
      <c r="H46" s="277" t="s">
        <v>504</v>
      </c>
      <c r="L46" s="592" t="s">
        <v>505</v>
      </c>
      <c r="M46" s="593"/>
    </row>
    <row r="47" spans="2:13" ht="18.75" customHeight="1" x14ac:dyDescent="0.3">
      <c r="E47" s="364" t="s">
        <v>506</v>
      </c>
      <c r="F47" s="365">
        <v>1.66</v>
      </c>
      <c r="G47" s="277" t="s">
        <v>496</v>
      </c>
      <c r="H47" s="277"/>
      <c r="L47" s="593"/>
      <c r="M47" s="593"/>
    </row>
    <row r="48" spans="2:13" ht="18.75" x14ac:dyDescent="0.3">
      <c r="E48" s="364" t="s">
        <v>507</v>
      </c>
      <c r="F48" s="361">
        <v>22.5</v>
      </c>
      <c r="G48" s="277" t="s">
        <v>496</v>
      </c>
      <c r="H48" s="277"/>
      <c r="L48" s="593"/>
      <c r="M48" s="593"/>
    </row>
    <row r="49" spans="1:12" ht="17.25" x14ac:dyDescent="0.25">
      <c r="B49" s="247"/>
      <c r="C49" s="247"/>
      <c r="D49" s="247"/>
      <c r="E49" s="363" t="s">
        <v>508</v>
      </c>
      <c r="F49" s="361">
        <v>360</v>
      </c>
      <c r="G49" s="277" t="s">
        <v>496</v>
      </c>
      <c r="H49" s="277"/>
      <c r="J49" s="256"/>
      <c r="K49" s="256"/>
    </row>
    <row r="50" spans="1:12" ht="17.25" x14ac:dyDescent="0.25">
      <c r="B50" s="247"/>
      <c r="C50" s="247"/>
      <c r="D50" s="247"/>
      <c r="E50" s="363" t="s">
        <v>509</v>
      </c>
      <c r="F50" s="361">
        <v>360</v>
      </c>
      <c r="G50" s="277" t="s">
        <v>496</v>
      </c>
      <c r="H50" s="277"/>
    </row>
    <row r="51" spans="1:12" ht="17.25" x14ac:dyDescent="0.25">
      <c r="B51" s="247"/>
      <c r="C51" s="247"/>
      <c r="D51" s="247"/>
      <c r="E51" s="363" t="s">
        <v>510</v>
      </c>
      <c r="F51" s="361">
        <v>200000</v>
      </c>
      <c r="G51" s="277" t="s">
        <v>496</v>
      </c>
      <c r="H51" s="277"/>
    </row>
    <row r="52" spans="1:12" ht="17.25" x14ac:dyDescent="0.25">
      <c r="A52" s="366" t="s">
        <v>511</v>
      </c>
      <c r="C52" s="247"/>
      <c r="D52" s="247"/>
      <c r="E52" s="363" t="s">
        <v>512</v>
      </c>
      <c r="F52" s="361">
        <v>980</v>
      </c>
      <c r="G52" s="277" t="s">
        <v>513</v>
      </c>
      <c r="H52" s="367"/>
    </row>
    <row r="53" spans="1:12" ht="17.25" x14ac:dyDescent="0.25">
      <c r="A53" s="247"/>
      <c r="C53" s="247"/>
      <c r="D53" s="247"/>
      <c r="E53" s="363" t="s">
        <v>514</v>
      </c>
      <c r="F53" s="361">
        <v>300</v>
      </c>
      <c r="G53" s="277" t="s">
        <v>513</v>
      </c>
      <c r="H53" s="367"/>
    </row>
    <row r="54" spans="1:12" ht="17.25" x14ac:dyDescent="0.25">
      <c r="B54" s="248"/>
      <c r="C54" s="248"/>
      <c r="D54" s="248"/>
      <c r="E54" s="249" t="s">
        <v>515</v>
      </c>
      <c r="F54" s="368">
        <v>1860</v>
      </c>
      <c r="G54" s="251" t="s">
        <v>496</v>
      </c>
      <c r="H54" s="252"/>
    </row>
    <row r="55" spans="1:12" ht="17.25" x14ac:dyDescent="0.25">
      <c r="B55" s="248"/>
      <c r="C55" s="248"/>
      <c r="D55" s="248"/>
      <c r="E55" s="249" t="s">
        <v>516</v>
      </c>
      <c r="F55" s="368">
        <v>1320</v>
      </c>
      <c r="G55" s="251" t="s">
        <v>496</v>
      </c>
      <c r="H55" s="252"/>
      <c r="J55" t="s">
        <v>73</v>
      </c>
    </row>
    <row r="56" spans="1:12" ht="17.25" x14ac:dyDescent="0.25">
      <c r="B56" s="248"/>
      <c r="C56" s="369"/>
      <c r="D56" s="248"/>
      <c r="E56" s="249" t="s">
        <v>517</v>
      </c>
      <c r="F56" s="368">
        <v>390</v>
      </c>
      <c r="G56" s="251" t="s">
        <v>496</v>
      </c>
      <c r="H56" s="252"/>
    </row>
    <row r="57" spans="1:12" ht="17.25" x14ac:dyDescent="0.25">
      <c r="B57" s="248"/>
      <c r="C57" s="248"/>
      <c r="D57" s="248"/>
      <c r="E57" s="249" t="s">
        <v>518</v>
      </c>
      <c r="F57" s="368">
        <v>195000</v>
      </c>
      <c r="G57" s="251" t="s">
        <v>496</v>
      </c>
      <c r="H57" s="252"/>
    </row>
    <row r="58" spans="1:12" x14ac:dyDescent="0.15">
      <c r="B58" s="248"/>
      <c r="C58" s="248"/>
      <c r="D58" s="248"/>
      <c r="E58" s="249"/>
      <c r="F58" s="250"/>
      <c r="G58" s="251"/>
      <c r="H58" s="252"/>
    </row>
    <row r="59" spans="1:12" s="192" customFormat="1" ht="14.25" x14ac:dyDescent="0.15">
      <c r="B59" s="370"/>
      <c r="C59" s="359" t="s">
        <v>519</v>
      </c>
      <c r="D59" s="360"/>
      <c r="E59" s="371"/>
      <c r="F59" s="372"/>
      <c r="G59" s="370"/>
      <c r="H59" s="373"/>
    </row>
    <row r="60" spans="1:12" x14ac:dyDescent="0.15">
      <c r="C60" s="277" t="s">
        <v>520</v>
      </c>
      <c r="D60" s="277"/>
      <c r="E60" s="347"/>
      <c r="F60" s="374"/>
      <c r="G60" s="277"/>
      <c r="L60" t="s">
        <v>521</v>
      </c>
    </row>
    <row r="61" spans="1:12" ht="15.75" x14ac:dyDescent="0.15">
      <c r="C61" s="367" t="s">
        <v>522</v>
      </c>
      <c r="D61" s="367" t="s">
        <v>523</v>
      </c>
      <c r="E61" s="367" t="s">
        <v>81</v>
      </c>
      <c r="F61" s="374" t="s">
        <v>82</v>
      </c>
      <c r="G61" s="367" t="s">
        <v>83</v>
      </c>
      <c r="H61" s="367" t="s">
        <v>524</v>
      </c>
      <c r="I61" s="367" t="s">
        <v>85</v>
      </c>
    </row>
    <row r="62" spans="1:12" ht="15" x14ac:dyDescent="0.25">
      <c r="C62" s="375">
        <v>1</v>
      </c>
      <c r="D62" s="376">
        <f>2*G19*G20</f>
        <v>0.1452</v>
      </c>
      <c r="E62" s="377">
        <f>1/2*G20</f>
        <v>0.11</v>
      </c>
      <c r="F62" s="378">
        <f>D62*E62</f>
        <v>1.5972E-2</v>
      </c>
      <c r="G62" s="376">
        <f>ABS($F$72-E62)</f>
        <v>0.70459595719444756</v>
      </c>
      <c r="H62" s="313">
        <f>D62*G62^2</f>
        <v>7.2085333212319122E-2</v>
      </c>
      <c r="I62" s="313">
        <f>1/12*G19*G20^3*2</f>
        <v>5.8564000000000001E-4</v>
      </c>
    </row>
    <row r="63" spans="1:12" x14ac:dyDescent="0.15">
      <c r="C63" s="312">
        <v>2</v>
      </c>
      <c r="D63" s="376">
        <f>2*G19*G21*0.5</f>
        <v>7.2599999999999998E-2</v>
      </c>
      <c r="E63" s="377">
        <f>G20+1/3*G21</f>
        <v>0.29333333333333333</v>
      </c>
      <c r="F63" s="378">
        <f t="shared" ref="F63:F69" si="0">D63*E63</f>
        <v>2.1295999999999999E-2</v>
      </c>
      <c r="G63" s="376">
        <f t="shared" ref="G63:G69" si="1">ABS($F$72-E63)</f>
        <v>0.52126262386111422</v>
      </c>
      <c r="H63" s="313">
        <f t="shared" ref="H63:H69" si="2">D63*G63^2</f>
        <v>1.9726488892310032E-2</v>
      </c>
      <c r="I63" s="313">
        <f>1/36*G19*G21^3*2</f>
        <v>1.9521333333333334E-4</v>
      </c>
    </row>
    <row r="64" spans="1:12" x14ac:dyDescent="0.15">
      <c r="C64" s="312">
        <v>3</v>
      </c>
      <c r="D64" s="376">
        <f>2*G18*G24</f>
        <v>0.22440000000000002</v>
      </c>
      <c r="E64" s="377">
        <f>1/2*G24</f>
        <v>0.255</v>
      </c>
      <c r="F64" s="378">
        <f t="shared" si="0"/>
        <v>5.7222000000000002E-2</v>
      </c>
      <c r="G64" s="376">
        <f t="shared" si="1"/>
        <v>0.55959595719444755</v>
      </c>
      <c r="H64" s="313">
        <f t="shared" si="2"/>
        <v>7.0270329363198228E-2</v>
      </c>
      <c r="I64" s="313">
        <f>1/12*G18*G24^3*2</f>
        <v>4.8638699999999993E-3</v>
      </c>
    </row>
    <row r="65" spans="2:9" x14ac:dyDescent="0.15">
      <c r="C65" s="312">
        <v>4</v>
      </c>
      <c r="D65" s="376">
        <f>1/2*PI()*(C17+G18)^2</f>
        <v>1.4779622638813181</v>
      </c>
      <c r="E65" s="377">
        <f>G24+0.424*(C17+G18)</f>
        <v>0.92127999999999999</v>
      </c>
      <c r="F65" s="378">
        <f t="shared" si="0"/>
        <v>1.3616170744685807</v>
      </c>
      <c r="G65" s="376">
        <f t="shared" si="1"/>
        <v>0.10668404280555244</v>
      </c>
      <c r="H65" s="313">
        <f t="shared" si="2"/>
        <v>1.682140532117167E-2</v>
      </c>
      <c r="I65" s="313">
        <f>0.00687*(2*(C17+G18))^4</f>
        <v>9.7311385675199993E-2</v>
      </c>
    </row>
    <row r="66" spans="2:9" x14ac:dyDescent="0.15">
      <c r="C66" s="312">
        <v>5</v>
      </c>
      <c r="D66" s="376">
        <f>-1/2*PI()*C17^2</f>
        <v>-0.88357293382212931</v>
      </c>
      <c r="E66" s="377">
        <f>G24+0.424*C17</f>
        <v>0.82800000000000007</v>
      </c>
      <c r="F66" s="378">
        <f t="shared" si="0"/>
        <v>-0.73159838920472309</v>
      </c>
      <c r="G66" s="376">
        <f t="shared" si="1"/>
        <v>1.3404042805552518E-2</v>
      </c>
      <c r="H66" s="313">
        <f t="shared" si="2"/>
        <v>-1.5875010308194812E-4</v>
      </c>
      <c r="I66" s="313">
        <f>-0.00687*(2*C17)^4</f>
        <v>-3.4779375000000001E-2</v>
      </c>
    </row>
    <row r="67" spans="2:9" x14ac:dyDescent="0.15">
      <c r="C67" s="312">
        <v>6</v>
      </c>
      <c r="D67" s="376">
        <f>G22*G23</f>
        <v>0.15801000000000001</v>
      </c>
      <c r="E67" s="377">
        <f>C36+G18+1/2*G23</f>
        <v>1.595</v>
      </c>
      <c r="F67" s="378">
        <f t="shared" si="0"/>
        <v>0.25202595</v>
      </c>
      <c r="G67" s="376">
        <f t="shared" si="1"/>
        <v>0.78040404280555242</v>
      </c>
      <c r="H67" s="313">
        <f t="shared" si="2"/>
        <v>9.6232904569005864E-2</v>
      </c>
      <c r="I67" s="313">
        <f>1/12*G22*G23^3</f>
        <v>6.9656075000000008E-4</v>
      </c>
    </row>
    <row r="68" spans="2:9" x14ac:dyDescent="0.15">
      <c r="C68" s="312">
        <v>7</v>
      </c>
      <c r="D68" s="376">
        <f>2*G23*G25*0.5</f>
        <v>0.10373</v>
      </c>
      <c r="E68" s="377">
        <f>C36+G18</f>
        <v>1.48</v>
      </c>
      <c r="F68" s="378">
        <f t="shared" si="0"/>
        <v>0.1535204</v>
      </c>
      <c r="G68" s="376">
        <f t="shared" si="1"/>
        <v>0.66540404280555243</v>
      </c>
      <c r="H68" s="313">
        <f t="shared" si="2"/>
        <v>4.5927758293076111E-2</v>
      </c>
      <c r="I68" s="313">
        <f>1/36*G25*G23^3*2</f>
        <v>3.0485094444444443E-4</v>
      </c>
    </row>
    <row r="69" spans="2:9" x14ac:dyDescent="0.15">
      <c r="B69" t="s">
        <v>525</v>
      </c>
      <c r="C69" s="312"/>
      <c r="D69" s="376">
        <f>G26*G27</f>
        <v>9.6000000000000002E-2</v>
      </c>
      <c r="E69" s="377">
        <f>0.5*G26</f>
        <v>0.06</v>
      </c>
      <c r="F69" s="378">
        <f t="shared" si="0"/>
        <v>5.7599999999999995E-3</v>
      </c>
      <c r="G69" s="376">
        <f t="shared" si="1"/>
        <v>0.75459595719444761</v>
      </c>
      <c r="H69" s="313">
        <f t="shared" si="2"/>
        <v>5.4663845626963643E-2</v>
      </c>
      <c r="I69" s="313">
        <f>1/12*G24*G26^3*2</f>
        <v>1.4687999999999998E-4</v>
      </c>
    </row>
    <row r="70" spans="2:9" x14ac:dyDescent="0.15">
      <c r="C70" s="312" t="s">
        <v>526</v>
      </c>
      <c r="D70" s="376">
        <f>SUM(D62:D69)</f>
        <v>1.3943293300591888</v>
      </c>
      <c r="E70" s="377"/>
      <c r="F70" s="378">
        <f>SUM(F62:F69)</f>
        <v>1.1358150352638576</v>
      </c>
      <c r="G70" s="376"/>
      <c r="H70" s="313">
        <f>SUM(H62:H69)</f>
        <v>0.37556931517496273</v>
      </c>
      <c r="I70" s="313">
        <f>SUM(I62:I69)</f>
        <v>6.9325025702977786E-2</v>
      </c>
    </row>
    <row r="71" spans="2:9" ht="17.25" x14ac:dyDescent="0.25">
      <c r="D71" s="277"/>
      <c r="E71" s="347" t="s">
        <v>527</v>
      </c>
      <c r="F71" s="378">
        <f>D70</f>
        <v>1.3943293300591888</v>
      </c>
      <c r="G71" s="277" t="s">
        <v>528</v>
      </c>
    </row>
    <row r="72" spans="2:9" ht="16.5" x14ac:dyDescent="0.25">
      <c r="B72" s="277"/>
      <c r="C72" s="277"/>
      <c r="D72" s="277"/>
      <c r="E72" s="347" t="s">
        <v>529</v>
      </c>
      <c r="F72" s="378">
        <f>F70/D70</f>
        <v>0.81459595719444755</v>
      </c>
      <c r="G72" s="277" t="s">
        <v>12</v>
      </c>
    </row>
    <row r="73" spans="2:9" ht="16.5" x14ac:dyDescent="0.25">
      <c r="C73" s="277"/>
      <c r="D73" s="277"/>
      <c r="E73" s="347" t="s">
        <v>530</v>
      </c>
      <c r="F73" s="378">
        <f>C37-F72</f>
        <v>0.89540404280555241</v>
      </c>
      <c r="G73" s="277" t="s">
        <v>12</v>
      </c>
    </row>
    <row r="74" spans="2:9" ht="17.25" x14ac:dyDescent="0.25">
      <c r="B74" s="277"/>
      <c r="C74" s="277"/>
      <c r="D74" s="277"/>
      <c r="E74" s="347" t="s">
        <v>531</v>
      </c>
      <c r="F74" s="379">
        <f>H70+I70</f>
        <v>0.4448943408779405</v>
      </c>
      <c r="G74" s="277" t="s">
        <v>532</v>
      </c>
    </row>
    <row r="75" spans="2:9" x14ac:dyDescent="0.15">
      <c r="B75" s="277"/>
      <c r="E75" s="380" t="s">
        <v>533</v>
      </c>
      <c r="F75" s="379">
        <f>1/2*(C17+C17+G18)</f>
        <v>0.86</v>
      </c>
      <c r="G75" s="277"/>
    </row>
    <row r="76" spans="2:9" x14ac:dyDescent="0.15">
      <c r="B76" s="277"/>
      <c r="C76" s="277"/>
      <c r="D76" s="277"/>
      <c r="E76" s="380" t="s">
        <v>534</v>
      </c>
      <c r="F76" s="379">
        <f>F72-G24</f>
        <v>0.30459595719444754</v>
      </c>
      <c r="G76" s="277"/>
    </row>
    <row r="77" spans="2:9" x14ac:dyDescent="0.15">
      <c r="B77" s="277"/>
      <c r="C77" s="277"/>
      <c r="D77" t="s">
        <v>96</v>
      </c>
      <c r="E77" s="347" t="s">
        <v>97</v>
      </c>
      <c r="F77" s="379">
        <f>F76/F75</f>
        <v>0.35418134557493902</v>
      </c>
      <c r="G77" s="277"/>
    </row>
    <row r="78" spans="2:9" x14ac:dyDescent="0.15">
      <c r="B78" s="277"/>
      <c r="C78" s="277"/>
      <c r="D78" s="277"/>
      <c r="E78" s="347" t="s">
        <v>98</v>
      </c>
      <c r="F78" s="379">
        <f>ACOS(F77)</f>
        <v>1.2087578055363357</v>
      </c>
      <c r="G78" s="277"/>
    </row>
    <row r="79" spans="2:9" x14ac:dyDescent="0.15">
      <c r="B79" s="277"/>
      <c r="C79" s="277"/>
      <c r="D79" s="277"/>
      <c r="E79" s="347"/>
      <c r="F79" s="379"/>
      <c r="G79" s="277"/>
    </row>
    <row r="80" spans="2:9" ht="15.75" x14ac:dyDescent="0.15">
      <c r="B80" s="277"/>
      <c r="C80" s="277"/>
      <c r="D80" s="277"/>
      <c r="E80" s="380" t="s">
        <v>535</v>
      </c>
      <c r="F80" s="379">
        <f>2*G18*F75^2*(SIN(F78)-F78*F77)</f>
        <v>0.16500861317838028</v>
      </c>
      <c r="G80" s="277" t="s">
        <v>536</v>
      </c>
    </row>
    <row r="81" spans="2:16" x14ac:dyDescent="0.15">
      <c r="B81" s="277"/>
      <c r="C81" s="277"/>
      <c r="D81" s="277"/>
      <c r="E81" s="347"/>
      <c r="F81" s="379"/>
      <c r="G81" s="277"/>
    </row>
    <row r="82" spans="2:16" ht="15.75" x14ac:dyDescent="0.15">
      <c r="B82" s="277"/>
      <c r="C82" s="277"/>
      <c r="D82" s="277"/>
      <c r="E82" s="380" t="s">
        <v>537</v>
      </c>
      <c r="F82" s="379">
        <f>G23*G22*(F73-1/2*G23)+2*G23*G25*(F73-G23)/2</f>
        <v>0.19233400416392532</v>
      </c>
      <c r="G82" s="277" t="s">
        <v>536</v>
      </c>
    </row>
    <row r="83" spans="2:16" ht="15.75" x14ac:dyDescent="0.15">
      <c r="B83" s="277"/>
      <c r="C83" s="277"/>
      <c r="D83" s="277"/>
      <c r="E83" s="347" t="s">
        <v>102</v>
      </c>
      <c r="F83" s="379">
        <f>F80+F82</f>
        <v>0.3573426173423056</v>
      </c>
      <c r="G83" s="277" t="s">
        <v>536</v>
      </c>
    </row>
    <row r="84" spans="2:16" x14ac:dyDescent="0.15">
      <c r="B84" s="248"/>
      <c r="C84" s="248"/>
      <c r="D84" s="248"/>
      <c r="E84" s="249"/>
      <c r="F84" s="250"/>
      <c r="G84" s="251"/>
      <c r="H84" s="252"/>
    </row>
    <row r="85" spans="2:16" ht="17.25" x14ac:dyDescent="0.15">
      <c r="B85" s="248"/>
      <c r="C85" s="381" t="s">
        <v>538</v>
      </c>
      <c r="D85" s="382"/>
      <c r="E85" s="249"/>
      <c r="F85" s="250"/>
      <c r="G85" s="251"/>
      <c r="H85" s="252"/>
    </row>
    <row r="86" spans="2:16" x14ac:dyDescent="0.15">
      <c r="B86" s="248"/>
      <c r="C86" s="248"/>
      <c r="D86" s="248"/>
      <c r="E86" s="249" t="s">
        <v>539</v>
      </c>
      <c r="F86" s="361">
        <v>1.05</v>
      </c>
      <c r="G86" s="251"/>
      <c r="H86" s="252"/>
    </row>
    <row r="87" spans="2:16" ht="17.25" x14ac:dyDescent="0.25">
      <c r="B87" s="248"/>
      <c r="C87" s="248"/>
      <c r="D87" s="248"/>
      <c r="E87" s="347" t="s">
        <v>540</v>
      </c>
      <c r="F87" s="361">
        <v>25</v>
      </c>
      <c r="G87" s="277" t="s">
        <v>541</v>
      </c>
      <c r="H87" s="252"/>
    </row>
    <row r="88" spans="2:16" ht="16.5" x14ac:dyDescent="0.25">
      <c r="B88" s="248"/>
      <c r="C88" s="248"/>
      <c r="D88" s="248"/>
      <c r="E88" s="347" t="s">
        <v>542</v>
      </c>
      <c r="F88" s="383">
        <f>F87*D70</f>
        <v>34.858233251479717</v>
      </c>
      <c r="G88" s="277" t="s">
        <v>108</v>
      </c>
      <c r="H88" s="252"/>
    </row>
    <row r="89" spans="2:16" ht="17.25" x14ac:dyDescent="0.25">
      <c r="B89" s="248"/>
      <c r="C89" s="248"/>
      <c r="D89" s="248"/>
      <c r="E89" s="347" t="s">
        <v>543</v>
      </c>
      <c r="F89" s="383">
        <f>F86*F88</f>
        <v>36.601144914053705</v>
      </c>
      <c r="G89" s="277" t="s">
        <v>108</v>
      </c>
      <c r="H89" s="252"/>
      <c r="J89" s="381" t="s">
        <v>544</v>
      </c>
      <c r="K89" s="381"/>
      <c r="L89" s="277"/>
      <c r="M89" s="277" t="s">
        <v>545</v>
      </c>
      <c r="N89" s="277">
        <f>C37/C17/2</f>
        <v>1.1399999999999999</v>
      </c>
      <c r="O89" s="277"/>
      <c r="P89" s="277"/>
    </row>
    <row r="90" spans="2:16" x14ac:dyDescent="0.15">
      <c r="B90" s="248"/>
      <c r="C90" s="248"/>
      <c r="D90" s="248"/>
      <c r="E90" s="249"/>
      <c r="F90" s="250"/>
      <c r="G90" s="251"/>
      <c r="H90" s="252"/>
      <c r="J90" s="277"/>
      <c r="K90" s="277"/>
      <c r="L90" s="277"/>
      <c r="M90" s="347"/>
      <c r="O90" s="277"/>
      <c r="P90" s="277"/>
    </row>
    <row r="91" spans="2:16" ht="17.25" x14ac:dyDescent="0.15">
      <c r="B91" s="248"/>
      <c r="C91" s="381" t="s">
        <v>546</v>
      </c>
      <c r="D91" s="248"/>
      <c r="E91" s="249"/>
      <c r="F91" s="250"/>
      <c r="G91" s="251"/>
      <c r="H91" s="252"/>
      <c r="J91" s="389"/>
      <c r="K91" s="312" t="s">
        <v>547</v>
      </c>
      <c r="L91" s="389"/>
      <c r="M91" s="389"/>
      <c r="N91" s="247"/>
      <c r="O91" s="389"/>
      <c r="P91" s="389"/>
    </row>
    <row r="92" spans="2:16" ht="16.5" x14ac:dyDescent="0.25">
      <c r="B92" s="248"/>
      <c r="C92" s="248"/>
      <c r="D92" s="248"/>
      <c r="E92" s="249" t="s">
        <v>539</v>
      </c>
      <c r="F92" s="361">
        <v>1.05</v>
      </c>
      <c r="G92" s="251"/>
      <c r="H92" s="252"/>
      <c r="J92" s="389"/>
      <c r="K92" s="390"/>
      <c r="L92" s="277"/>
      <c r="M92" s="249" t="s">
        <v>548</v>
      </c>
      <c r="N92" s="374"/>
      <c r="O92" s="390"/>
      <c r="P92" s="390"/>
    </row>
    <row r="93" spans="2:16" ht="17.25" x14ac:dyDescent="0.25">
      <c r="B93" s="248"/>
      <c r="C93" s="248"/>
      <c r="D93" s="248"/>
      <c r="E93" s="347" t="s">
        <v>549</v>
      </c>
      <c r="F93" s="361">
        <v>25</v>
      </c>
      <c r="G93" s="277" t="s">
        <v>541</v>
      </c>
      <c r="H93" s="252"/>
      <c r="J93" s="389"/>
      <c r="K93" s="391"/>
      <c r="L93" s="250"/>
      <c r="M93" s="249" t="s">
        <v>550</v>
      </c>
      <c r="N93" s="392">
        <v>1.48</v>
      </c>
      <c r="O93" s="390"/>
      <c r="P93" s="390"/>
    </row>
    <row r="94" spans="2:16" ht="16.5" x14ac:dyDescent="0.25">
      <c r="B94" s="248"/>
      <c r="C94" s="248"/>
      <c r="D94" s="248"/>
      <c r="E94" s="347" t="s">
        <v>551</v>
      </c>
      <c r="F94" s="383">
        <f>F93*G28*G29*G30/G31</f>
        <v>0.20322580645161287</v>
      </c>
      <c r="G94" s="277" t="s">
        <v>108</v>
      </c>
      <c r="H94" s="252"/>
      <c r="J94" s="389"/>
      <c r="K94" s="390"/>
      <c r="L94" s="250"/>
      <c r="M94" s="249" t="s">
        <v>552</v>
      </c>
      <c r="N94" s="361">
        <v>1.05</v>
      </c>
      <c r="O94" s="390"/>
      <c r="P94" s="390"/>
    </row>
    <row r="95" spans="2:16" ht="16.5" x14ac:dyDescent="0.25">
      <c r="B95" s="248"/>
      <c r="C95" s="248"/>
      <c r="D95" s="248"/>
      <c r="E95" s="347" t="s">
        <v>553</v>
      </c>
      <c r="F95" s="383">
        <f>F92*F94</f>
        <v>0.21338709677419351</v>
      </c>
      <c r="G95" s="277" t="s">
        <v>108</v>
      </c>
      <c r="H95" s="252"/>
      <c r="J95" s="389"/>
      <c r="K95" s="390"/>
      <c r="L95" s="250"/>
      <c r="M95" s="249" t="s">
        <v>554</v>
      </c>
      <c r="N95" s="361">
        <v>1.42</v>
      </c>
      <c r="O95" s="390"/>
      <c r="P95" s="390"/>
    </row>
    <row r="96" spans="2:16" ht="17.25" x14ac:dyDescent="0.25">
      <c r="B96" s="248"/>
      <c r="C96" s="381" t="s">
        <v>555</v>
      </c>
      <c r="D96" s="248"/>
      <c r="E96" s="249"/>
      <c r="F96" s="250"/>
      <c r="G96" s="251"/>
      <c r="H96" s="252"/>
      <c r="J96" s="389"/>
      <c r="K96" s="390"/>
      <c r="L96" s="250"/>
      <c r="M96" s="249" t="s">
        <v>556</v>
      </c>
      <c r="N96" s="387">
        <v>1.2</v>
      </c>
      <c r="O96" s="390"/>
      <c r="P96" s="390"/>
    </row>
    <row r="97" spans="2:16" ht="14.25" x14ac:dyDescent="0.2">
      <c r="B97" s="248"/>
      <c r="C97" s="248"/>
      <c r="D97" s="248"/>
      <c r="E97" s="249" t="s">
        <v>539</v>
      </c>
      <c r="F97" s="361">
        <v>1.2</v>
      </c>
      <c r="G97" s="251"/>
      <c r="H97" s="252"/>
      <c r="J97" s="389"/>
      <c r="K97" s="391"/>
      <c r="L97" s="250"/>
      <c r="M97" s="393" t="s">
        <v>557</v>
      </c>
      <c r="N97" s="394">
        <v>22</v>
      </c>
      <c r="O97" s="277" t="s">
        <v>558</v>
      </c>
      <c r="P97" s="390"/>
    </row>
    <row r="98" spans="2:16" ht="17.25" x14ac:dyDescent="0.25">
      <c r="B98" s="248"/>
      <c r="C98" s="248"/>
      <c r="D98" s="248"/>
      <c r="E98" s="347" t="s">
        <v>559</v>
      </c>
      <c r="F98" s="384">
        <f>3</f>
        <v>3</v>
      </c>
      <c r="G98" s="277" t="s">
        <v>560</v>
      </c>
      <c r="H98" s="252"/>
      <c r="J98" s="389"/>
      <c r="K98" s="390"/>
      <c r="L98" s="250"/>
      <c r="M98" s="395" t="s">
        <v>561</v>
      </c>
      <c r="N98" s="392">
        <f>N97^2/1600</f>
        <v>0.30249999999999999</v>
      </c>
      <c r="O98" s="277" t="s">
        <v>562</v>
      </c>
      <c r="P98" s="390"/>
    </row>
    <row r="99" spans="2:16" ht="16.5" x14ac:dyDescent="0.25">
      <c r="B99" s="248"/>
      <c r="C99" s="248"/>
      <c r="D99" s="248"/>
      <c r="E99" s="347" t="s">
        <v>563</v>
      </c>
      <c r="F99" s="385">
        <f>F98*G32*2</f>
        <v>4.8000000000000007</v>
      </c>
      <c r="G99" s="277"/>
      <c r="H99" s="252"/>
      <c r="J99" s="389"/>
      <c r="K99" s="390"/>
      <c r="L99" s="250"/>
      <c r="M99" s="249" t="s">
        <v>564</v>
      </c>
      <c r="N99" s="396">
        <f>ROUND(N93*N94*N95*N96*N98,3)</f>
        <v>0.80100000000000005</v>
      </c>
      <c r="O99" s="277" t="s">
        <v>562</v>
      </c>
      <c r="P99" s="390">
        <f>N99*30*C37</f>
        <v>41.091300000000004</v>
      </c>
    </row>
    <row r="100" spans="2:16" ht="16.5" x14ac:dyDescent="0.25">
      <c r="B100" s="248"/>
      <c r="C100" s="248"/>
      <c r="D100" s="248"/>
      <c r="E100" s="347" t="s">
        <v>565</v>
      </c>
      <c r="F100" s="385">
        <f>F97*F99</f>
        <v>5.7600000000000007</v>
      </c>
      <c r="G100" s="277" t="s">
        <v>108</v>
      </c>
      <c r="H100" s="252"/>
      <c r="J100" s="389"/>
      <c r="K100" s="390"/>
      <c r="L100" s="250"/>
      <c r="M100" s="249" t="s">
        <v>566</v>
      </c>
      <c r="N100" s="361">
        <v>1.3</v>
      </c>
      <c r="O100" s="277"/>
      <c r="P100" s="390"/>
    </row>
    <row r="101" spans="2:16" ht="17.25" x14ac:dyDescent="0.15">
      <c r="B101" s="248"/>
      <c r="C101" s="381" t="s">
        <v>567</v>
      </c>
      <c r="D101" s="248"/>
      <c r="E101" s="249"/>
      <c r="F101" s="250"/>
      <c r="G101" s="251"/>
      <c r="H101" s="252"/>
      <c r="J101" s="277"/>
      <c r="K101" s="390"/>
      <c r="L101" s="250"/>
      <c r="M101" s="249" t="s">
        <v>568</v>
      </c>
      <c r="N101" s="397">
        <f>N100*N99</f>
        <v>1.0413000000000001</v>
      </c>
      <c r="O101" s="277" t="s">
        <v>562</v>
      </c>
      <c r="P101" s="390"/>
    </row>
    <row r="102" spans="2:16" x14ac:dyDescent="0.15">
      <c r="B102" s="248"/>
      <c r="D102" s="347"/>
      <c r="E102" s="277" t="s">
        <v>569</v>
      </c>
      <c r="F102" s="312"/>
      <c r="G102" s="251"/>
      <c r="H102" s="252"/>
    </row>
    <row r="103" spans="2:16" x14ac:dyDescent="0.15">
      <c r="B103" s="248"/>
      <c r="C103" s="277"/>
      <c r="D103" s="347"/>
      <c r="E103" s="249" t="s">
        <v>539</v>
      </c>
      <c r="F103" s="361">
        <v>1.2</v>
      </c>
    </row>
    <row r="104" spans="2:16" ht="17.25" x14ac:dyDescent="0.25">
      <c r="B104" s="248"/>
      <c r="C104" s="277"/>
      <c r="D104" s="347"/>
      <c r="E104" s="347" t="s">
        <v>570</v>
      </c>
      <c r="F104" s="361">
        <v>10</v>
      </c>
      <c r="G104" s="277" t="s">
        <v>541</v>
      </c>
    </row>
    <row r="105" spans="2:16" x14ac:dyDescent="0.15">
      <c r="B105" s="248"/>
      <c r="C105" s="248"/>
      <c r="D105" s="248"/>
      <c r="E105" s="347" t="s">
        <v>571</v>
      </c>
      <c r="F105" s="358">
        <f>C33</f>
        <v>0.86</v>
      </c>
      <c r="G105" t="s">
        <v>12</v>
      </c>
    </row>
    <row r="106" spans="2:16" x14ac:dyDescent="0.15">
      <c r="B106" s="248"/>
      <c r="C106" s="248"/>
      <c r="D106" s="248"/>
      <c r="E106" s="380" t="s">
        <v>572</v>
      </c>
      <c r="F106" s="358">
        <f>F105-D14</f>
        <v>0.10999999999999999</v>
      </c>
      <c r="G106" t="s">
        <v>12</v>
      </c>
    </row>
    <row r="107" spans="2:16" ht="17.25" x14ac:dyDescent="0.25">
      <c r="B107" s="248"/>
      <c r="C107" s="248"/>
      <c r="D107" s="248"/>
      <c r="E107" s="347" t="s">
        <v>573</v>
      </c>
      <c r="F107" s="383">
        <f>IF(F106&gt;0,(1/2*PI()*D14^2+2*D14*F106),(ACOS(ABS(F106)/D14)*D14^2-(D14^2-F106^2)^0.5*ABS(F106)))</f>
        <v>1.0485729338221292</v>
      </c>
      <c r="G107" t="s">
        <v>574</v>
      </c>
      <c r="H107" s="252"/>
    </row>
    <row r="108" spans="2:16" ht="16.5" x14ac:dyDescent="0.25">
      <c r="B108" s="248"/>
      <c r="C108" s="248"/>
      <c r="D108" s="248"/>
      <c r="E108" s="347" t="s">
        <v>575</v>
      </c>
      <c r="F108" s="383">
        <f>F104*F107</f>
        <v>10.485729338221292</v>
      </c>
      <c r="G108" s="277" t="s">
        <v>108</v>
      </c>
      <c r="H108" s="252"/>
    </row>
    <row r="109" spans="2:16" ht="16.5" x14ac:dyDescent="0.25">
      <c r="B109" s="248"/>
      <c r="C109" s="248"/>
      <c r="D109" s="248"/>
      <c r="E109" s="347" t="s">
        <v>565</v>
      </c>
      <c r="F109" s="383">
        <f>F103*F108</f>
        <v>12.58287520586555</v>
      </c>
      <c r="G109" s="277" t="s">
        <v>108</v>
      </c>
      <c r="H109" s="252"/>
    </row>
    <row r="110" spans="2:16" x14ac:dyDescent="0.15">
      <c r="B110" s="248"/>
      <c r="C110" s="248"/>
      <c r="D110" s="248"/>
      <c r="E110" s="249"/>
      <c r="F110" s="250"/>
      <c r="G110" s="251"/>
      <c r="H110" s="252"/>
    </row>
    <row r="111" spans="2:16" x14ac:dyDescent="0.15">
      <c r="B111" s="248"/>
      <c r="C111" s="248"/>
      <c r="D111" s="248"/>
      <c r="E111" s="277" t="s">
        <v>576</v>
      </c>
      <c r="F111" s="312"/>
      <c r="G111" s="251"/>
      <c r="H111" s="252"/>
    </row>
    <row r="112" spans="2:16" x14ac:dyDescent="0.15">
      <c r="B112" s="248"/>
      <c r="C112" s="248"/>
      <c r="D112" s="248"/>
      <c r="E112" s="249" t="s">
        <v>539</v>
      </c>
      <c r="F112" s="386">
        <v>1</v>
      </c>
      <c r="G112" s="251"/>
      <c r="H112" s="252"/>
    </row>
    <row r="113" spans="2:8" x14ac:dyDescent="0.15">
      <c r="B113" s="248"/>
      <c r="C113" s="248"/>
      <c r="D113" s="248"/>
      <c r="E113" s="347" t="s">
        <v>577</v>
      </c>
      <c r="F113" s="385">
        <f>C35</f>
        <v>1.2</v>
      </c>
      <c r="G113" t="s">
        <v>12</v>
      </c>
      <c r="H113" s="252"/>
    </row>
    <row r="114" spans="2:8" x14ac:dyDescent="0.15">
      <c r="B114" s="248"/>
      <c r="C114" s="248"/>
      <c r="D114" s="248"/>
      <c r="E114" s="380" t="s">
        <v>572</v>
      </c>
      <c r="F114" s="385">
        <f>F113-D14</f>
        <v>0.44999999999999996</v>
      </c>
      <c r="G114" t="s">
        <v>12</v>
      </c>
      <c r="H114" s="252"/>
    </row>
    <row r="115" spans="2:8" ht="17.25" x14ac:dyDescent="0.25">
      <c r="B115" s="248"/>
      <c r="C115" s="248"/>
      <c r="D115" s="248"/>
      <c r="E115" s="347" t="s">
        <v>578</v>
      </c>
      <c r="F115" s="385">
        <f>IF(F114&gt;0,(1/2*PI()*D14^2+2*D14*F114),(ACOS(ABS(F114)/D14)*D14^2-(D14^2-F114^2)^0.5*ABS(F114)))</f>
        <v>1.5585729338221292</v>
      </c>
      <c r="G115" t="s">
        <v>574</v>
      </c>
      <c r="H115" s="252"/>
    </row>
    <row r="116" spans="2:8" ht="16.5" x14ac:dyDescent="0.25">
      <c r="B116" s="248"/>
      <c r="C116" s="248"/>
      <c r="D116" s="248"/>
      <c r="E116" s="347" t="s">
        <v>579</v>
      </c>
      <c r="F116" s="383">
        <f>F104*F115</f>
        <v>15.585729338221292</v>
      </c>
      <c r="G116" s="277" t="s">
        <v>108</v>
      </c>
      <c r="H116" s="252"/>
    </row>
    <row r="117" spans="2:8" ht="16.5" x14ac:dyDescent="0.25">
      <c r="B117" s="248"/>
      <c r="C117" s="248"/>
      <c r="D117" s="248"/>
      <c r="E117" s="347" t="s">
        <v>580</v>
      </c>
      <c r="F117" s="383">
        <f>F112*F116</f>
        <v>15.585729338221292</v>
      </c>
      <c r="G117" s="277" t="s">
        <v>108</v>
      </c>
      <c r="H117" s="252"/>
    </row>
    <row r="118" spans="2:8" ht="17.25" x14ac:dyDescent="0.15">
      <c r="B118" s="369" t="s">
        <v>511</v>
      </c>
      <c r="C118" s="381" t="s">
        <v>581</v>
      </c>
      <c r="D118" s="248"/>
      <c r="E118" s="249"/>
      <c r="F118" s="250"/>
      <c r="G118" s="251"/>
      <c r="H118" s="252"/>
    </row>
    <row r="119" spans="2:8" x14ac:dyDescent="0.15">
      <c r="B119" s="248"/>
      <c r="C119" s="248"/>
      <c r="D119" s="277"/>
      <c r="E119" s="249" t="s">
        <v>539</v>
      </c>
      <c r="F119" s="361">
        <v>1.05</v>
      </c>
      <c r="G119" s="277"/>
      <c r="H119" s="252"/>
    </row>
    <row r="120" spans="2:8" ht="16.5" x14ac:dyDescent="0.25">
      <c r="B120" s="248"/>
      <c r="C120" s="248"/>
      <c r="D120" s="347"/>
      <c r="E120" s="347" t="s">
        <v>582</v>
      </c>
      <c r="F120" s="387">
        <v>0</v>
      </c>
      <c r="G120" s="277" t="s">
        <v>108</v>
      </c>
      <c r="H120" s="252"/>
    </row>
    <row r="121" spans="2:8" ht="16.5" x14ac:dyDescent="0.25">
      <c r="B121" s="248"/>
      <c r="C121" s="248"/>
      <c r="D121" s="277"/>
      <c r="E121" s="347" t="s">
        <v>583</v>
      </c>
      <c r="F121" s="378">
        <f>F119*F120</f>
        <v>0</v>
      </c>
      <c r="G121" s="277" t="s">
        <v>108</v>
      </c>
      <c r="H121" s="252"/>
    </row>
    <row r="122" spans="2:8" ht="17.25" x14ac:dyDescent="0.15">
      <c r="B122" s="369" t="s">
        <v>511</v>
      </c>
      <c r="C122" s="381" t="s">
        <v>584</v>
      </c>
      <c r="D122" s="248"/>
      <c r="E122" s="249"/>
      <c r="F122" s="250"/>
      <c r="G122" s="251"/>
      <c r="H122" s="252"/>
    </row>
    <row r="123" spans="2:8" x14ac:dyDescent="0.15">
      <c r="B123" s="248"/>
      <c r="C123" s="248"/>
      <c r="D123" s="248"/>
      <c r="E123" s="249"/>
      <c r="F123" s="250"/>
      <c r="G123" s="251"/>
      <c r="H123" s="252"/>
    </row>
    <row r="124" spans="2:8" x14ac:dyDescent="0.15">
      <c r="B124" s="248"/>
      <c r="C124" s="248"/>
      <c r="D124" s="277"/>
      <c r="E124" s="249" t="s">
        <v>539</v>
      </c>
      <c r="F124" s="361">
        <v>1.05</v>
      </c>
      <c r="G124" s="277"/>
      <c r="H124" s="252"/>
    </row>
    <row r="125" spans="2:8" ht="17.25" x14ac:dyDescent="0.25">
      <c r="B125" s="248"/>
      <c r="C125" s="248"/>
      <c r="D125" s="277"/>
      <c r="E125" s="347" t="s">
        <v>585</v>
      </c>
      <c r="F125" s="361">
        <v>25</v>
      </c>
      <c r="G125" s="277" t="s">
        <v>541</v>
      </c>
      <c r="H125" s="252"/>
    </row>
    <row r="126" spans="2:8" ht="16.5" x14ac:dyDescent="0.25">
      <c r="B126" s="248"/>
      <c r="C126" s="248"/>
      <c r="D126" s="587" t="s">
        <v>586</v>
      </c>
      <c r="E126" s="587"/>
      <c r="F126" s="361">
        <v>0.84</v>
      </c>
      <c r="G126" s="277" t="s">
        <v>12</v>
      </c>
      <c r="H126" s="252"/>
    </row>
    <row r="127" spans="2:8" x14ac:dyDescent="0.15">
      <c r="B127" s="248"/>
      <c r="C127" s="248"/>
      <c r="D127" s="347"/>
      <c r="E127" s="347" t="s">
        <v>587</v>
      </c>
      <c r="F127" s="361">
        <v>0</v>
      </c>
      <c r="G127" s="277" t="s">
        <v>12</v>
      </c>
      <c r="H127" s="252"/>
    </row>
    <row r="128" spans="2:8" ht="16.5" x14ac:dyDescent="0.25">
      <c r="B128" s="248"/>
      <c r="C128" s="248"/>
      <c r="D128" s="347"/>
      <c r="E128" s="347" t="s">
        <v>588</v>
      </c>
      <c r="F128" s="388">
        <f>F125*(F126*F127)</f>
        <v>0</v>
      </c>
      <c r="G128" s="277" t="s">
        <v>108</v>
      </c>
      <c r="H128" s="252"/>
    </row>
    <row r="129" spans="2:12" ht="16.5" x14ac:dyDescent="0.25">
      <c r="B129" s="248"/>
      <c r="C129" s="248"/>
      <c r="D129" s="277"/>
      <c r="E129" s="347" t="s">
        <v>589</v>
      </c>
      <c r="F129" s="388">
        <f>F124*F128</f>
        <v>0</v>
      </c>
      <c r="G129" s="277" t="s">
        <v>108</v>
      </c>
      <c r="H129" s="252"/>
    </row>
    <row r="130" spans="2:12" x14ac:dyDescent="0.15">
      <c r="B130" s="248"/>
      <c r="C130" s="248"/>
      <c r="D130" s="277"/>
      <c r="E130" s="347"/>
      <c r="F130" s="398"/>
      <c r="G130" s="277"/>
      <c r="H130" s="252"/>
    </row>
    <row r="131" spans="2:12" ht="16.5" x14ac:dyDescent="0.25">
      <c r="B131" s="248"/>
      <c r="C131" s="277" t="s">
        <v>590</v>
      </c>
      <c r="D131" s="347"/>
      <c r="E131" s="347" t="s">
        <v>591</v>
      </c>
      <c r="F131" s="392">
        <v>1.2</v>
      </c>
      <c r="H131" s="273"/>
    </row>
    <row r="132" spans="2:12" ht="16.5" x14ac:dyDescent="0.25">
      <c r="B132" s="248"/>
      <c r="C132" s="277" t="s">
        <v>592</v>
      </c>
      <c r="D132" s="347"/>
      <c r="E132" s="347" t="s">
        <v>593</v>
      </c>
      <c r="F132" s="392">
        <v>1</v>
      </c>
      <c r="H132" s="273"/>
    </row>
    <row r="133" spans="2:12" ht="16.5" x14ac:dyDescent="0.25">
      <c r="E133" s="347" t="s">
        <v>594</v>
      </c>
      <c r="F133" s="399">
        <f>F88+F94+F99+F108+F120+F128</f>
        <v>50.347188396152617</v>
      </c>
      <c r="G133" s="277" t="s">
        <v>108</v>
      </c>
      <c r="H133" s="400" t="s">
        <v>595</v>
      </c>
      <c r="I133" s="297"/>
      <c r="J133" s="297"/>
      <c r="K133" s="297"/>
      <c r="L133" s="297"/>
    </row>
    <row r="134" spans="2:12" x14ac:dyDescent="0.15">
      <c r="B134" s="248"/>
      <c r="C134" s="277"/>
      <c r="D134" s="277"/>
      <c r="E134" s="347" t="s">
        <v>596</v>
      </c>
      <c r="F134" s="399">
        <f>F89+F95+F100+F109+F121+F129</f>
        <v>55.157407216693443</v>
      </c>
      <c r="G134" s="277" t="s">
        <v>108</v>
      </c>
      <c r="H134" s="273"/>
    </row>
    <row r="135" spans="2:12" ht="16.5" x14ac:dyDescent="0.25">
      <c r="B135" s="248"/>
      <c r="C135" s="277"/>
      <c r="D135" s="277"/>
      <c r="E135" s="347" t="s">
        <v>597</v>
      </c>
      <c r="F135" s="399">
        <f>F88+F94+F99+F116+F120+F128</f>
        <v>55.447188396152619</v>
      </c>
      <c r="G135" s="277" t="s">
        <v>108</v>
      </c>
      <c r="H135" s="273"/>
    </row>
    <row r="136" spans="2:12" x14ac:dyDescent="0.15">
      <c r="B136" s="248"/>
      <c r="C136" s="277"/>
      <c r="D136" s="277"/>
      <c r="E136" s="347" t="s">
        <v>598</v>
      </c>
      <c r="F136" s="399">
        <f>F89+F95+F100+F117+F121+F129</f>
        <v>58.160261349049186</v>
      </c>
      <c r="G136" s="277" t="s">
        <v>108</v>
      </c>
      <c r="H136" s="273"/>
    </row>
    <row r="137" spans="2:12" ht="16.5" x14ac:dyDescent="0.25">
      <c r="B137" s="248"/>
      <c r="C137" s="277"/>
      <c r="D137" s="277"/>
      <c r="E137" s="347" t="s">
        <v>599</v>
      </c>
      <c r="F137" s="399">
        <f>F131*F134</f>
        <v>66.188888660032134</v>
      </c>
      <c r="G137" s="277" t="s">
        <v>108</v>
      </c>
      <c r="H137" s="273"/>
    </row>
    <row r="138" spans="2:12" ht="16.5" x14ac:dyDescent="0.25">
      <c r="B138" s="248"/>
      <c r="C138" s="277"/>
      <c r="D138" s="277"/>
      <c r="E138" s="347" t="s">
        <v>600</v>
      </c>
      <c r="F138" s="399">
        <f>F132*F136</f>
        <v>58.160261349049186</v>
      </c>
      <c r="G138" s="277" t="s">
        <v>108</v>
      </c>
      <c r="H138" s="273"/>
    </row>
    <row r="139" spans="2:12" x14ac:dyDescent="0.15">
      <c r="B139" s="248"/>
      <c r="C139" s="277"/>
      <c r="D139" s="277"/>
      <c r="E139" s="347"/>
      <c r="F139" s="401" t="str">
        <f>IF(F137&gt;F138,"由设计工况控制纵向配筋","由满槽工况控制纵向配筋")</f>
        <v>由设计工况控制纵向配筋</v>
      </c>
      <c r="G139" s="402"/>
      <c r="H139" s="273"/>
    </row>
    <row r="140" spans="2:12" ht="16.5" x14ac:dyDescent="0.25">
      <c r="B140" s="248"/>
      <c r="C140" s="277"/>
      <c r="D140" s="277"/>
      <c r="E140" s="347" t="s">
        <v>601</v>
      </c>
      <c r="F140" s="403">
        <f>D15-0.6</f>
        <v>19.349999999999998</v>
      </c>
      <c r="G140" s="247" t="s">
        <v>12</v>
      </c>
      <c r="H140" s="404" t="s">
        <v>602</v>
      </c>
      <c r="I140" s="297"/>
    </row>
    <row r="141" spans="2:12" ht="16.5" x14ac:dyDescent="0.25">
      <c r="B141" s="248"/>
      <c r="C141" s="277"/>
      <c r="D141" s="277"/>
      <c r="E141" s="347" t="s">
        <v>603</v>
      </c>
      <c r="F141" s="403">
        <f>D15-0.6*2</f>
        <v>18.75</v>
      </c>
      <c r="G141" s="247" t="s">
        <v>12</v>
      </c>
      <c r="H141" s="273"/>
    </row>
    <row r="142" spans="2:12" ht="17.25" x14ac:dyDescent="0.25">
      <c r="B142" s="248"/>
      <c r="C142" s="277"/>
      <c r="D142" s="277"/>
      <c r="E142" s="347" t="s">
        <v>604</v>
      </c>
      <c r="F142" s="399">
        <f>1/8*F133*F140^2</f>
        <v>2356.3900184073059</v>
      </c>
      <c r="G142" s="277" t="s">
        <v>156</v>
      </c>
      <c r="H142" s="273"/>
    </row>
    <row r="143" spans="2:12" ht="16.5" x14ac:dyDescent="0.25">
      <c r="B143" s="248"/>
      <c r="C143" s="277"/>
      <c r="D143" s="277"/>
      <c r="E143" s="347" t="s">
        <v>605</v>
      </c>
      <c r="F143" s="399">
        <f>1/2*F133*F141</f>
        <v>472.00489121393076</v>
      </c>
      <c r="G143" s="277" t="s">
        <v>158</v>
      </c>
      <c r="H143" s="273"/>
    </row>
    <row r="144" spans="2:12" ht="17.25" x14ac:dyDescent="0.25">
      <c r="B144" s="248"/>
      <c r="C144" s="277"/>
      <c r="D144" s="277"/>
      <c r="E144" s="347" t="s">
        <v>606</v>
      </c>
      <c r="F144" s="399">
        <f>1/8*F134*F140^2</f>
        <v>2581.5217879490492</v>
      </c>
      <c r="G144" s="277" t="s">
        <v>156</v>
      </c>
      <c r="H144" s="273"/>
    </row>
    <row r="145" spans="2:10" ht="16.5" x14ac:dyDescent="0.25">
      <c r="B145" s="248"/>
      <c r="C145" s="277"/>
      <c r="D145" s="277"/>
      <c r="E145" s="347" t="s">
        <v>607</v>
      </c>
      <c r="F145" s="399">
        <f>1/2*F134*F141</f>
        <v>517.100692656501</v>
      </c>
      <c r="G145" s="277" t="s">
        <v>158</v>
      </c>
      <c r="H145" s="273"/>
    </row>
    <row r="146" spans="2:10" x14ac:dyDescent="0.15">
      <c r="B146" s="248"/>
      <c r="C146" s="277"/>
      <c r="D146" s="277"/>
      <c r="E146" s="347"/>
      <c r="F146" s="405"/>
      <c r="G146" s="277"/>
      <c r="H146" s="273"/>
    </row>
    <row r="147" spans="2:10" s="192" customFormat="1" ht="14.25" x14ac:dyDescent="0.15">
      <c r="C147" s="359" t="s">
        <v>608</v>
      </c>
      <c r="D147" s="359"/>
      <c r="E147" s="359"/>
      <c r="F147" s="345"/>
    </row>
    <row r="148" spans="2:10" ht="14.25" x14ac:dyDescent="0.15">
      <c r="C148" s="267"/>
      <c r="D148" s="267"/>
      <c r="E148" s="267"/>
    </row>
    <row r="149" spans="2:10" ht="14.25" x14ac:dyDescent="0.15">
      <c r="C149" s="267"/>
      <c r="D149" s="406" t="s">
        <v>609</v>
      </c>
      <c r="E149" s="406"/>
      <c r="F149" s="407"/>
    </row>
    <row r="150" spans="2:10" ht="14.25" x14ac:dyDescent="0.15">
      <c r="C150" s="267"/>
      <c r="D150" s="267"/>
      <c r="E150" s="267"/>
    </row>
    <row r="151" spans="2:10" x14ac:dyDescent="0.15">
      <c r="C151" s="408" t="s">
        <v>610</v>
      </c>
      <c r="D151" s="408"/>
      <c r="E151" s="409"/>
      <c r="F151" s="410"/>
      <c r="G151" s="409"/>
    </row>
    <row r="152" spans="2:10" x14ac:dyDescent="0.15">
      <c r="C152" s="277" t="s">
        <v>611</v>
      </c>
      <c r="D152" s="277"/>
      <c r="E152" s="277"/>
      <c r="F152" s="312"/>
      <c r="G152" s="277"/>
    </row>
    <row r="153" spans="2:10" x14ac:dyDescent="0.15">
      <c r="C153" s="277" t="s">
        <v>612</v>
      </c>
      <c r="D153" s="277"/>
      <c r="E153" s="277"/>
      <c r="F153" s="312"/>
      <c r="G153" s="277"/>
    </row>
    <row r="154" spans="2:10" ht="18" x14ac:dyDescent="0.25">
      <c r="C154" s="277"/>
      <c r="D154" s="277"/>
      <c r="E154" s="347" t="s">
        <v>613</v>
      </c>
      <c r="F154" s="361">
        <v>140</v>
      </c>
      <c r="G154" s="277" t="s">
        <v>614</v>
      </c>
      <c r="I154" s="357" t="s">
        <v>615</v>
      </c>
      <c r="J154" t="s">
        <v>616</v>
      </c>
    </row>
    <row r="155" spans="2:10" x14ac:dyDescent="0.15">
      <c r="C155" s="277"/>
      <c r="D155" s="277"/>
      <c r="E155" s="347" t="s">
        <v>617</v>
      </c>
      <c r="F155" s="361">
        <v>7</v>
      </c>
      <c r="G155" s="277" t="s">
        <v>618</v>
      </c>
    </row>
    <row r="156" spans="2:10" ht="17.25" x14ac:dyDescent="0.25">
      <c r="C156" s="277"/>
      <c r="D156" s="277"/>
      <c r="E156" s="347" t="s">
        <v>619</v>
      </c>
      <c r="F156" s="396">
        <f>F154*F155</f>
        <v>980</v>
      </c>
      <c r="G156" s="277" t="s">
        <v>614</v>
      </c>
    </row>
    <row r="157" spans="2:10" x14ac:dyDescent="0.15">
      <c r="C157" s="277"/>
      <c r="D157" s="277"/>
      <c r="E157" s="347" t="s">
        <v>173</v>
      </c>
      <c r="F157" s="361">
        <v>2</v>
      </c>
      <c r="G157" s="312" t="s">
        <v>620</v>
      </c>
    </row>
    <row r="158" spans="2:10" ht="17.25" x14ac:dyDescent="0.25">
      <c r="C158" s="277"/>
      <c r="D158" s="277"/>
      <c r="E158" s="347" t="s">
        <v>621</v>
      </c>
      <c r="F158" s="396">
        <f>F156*F157</f>
        <v>1960</v>
      </c>
      <c r="G158" s="277" t="s">
        <v>614</v>
      </c>
    </row>
    <row r="159" spans="2:10" x14ac:dyDescent="0.15">
      <c r="B159" s="297" t="s">
        <v>511</v>
      </c>
      <c r="C159" s="408" t="s">
        <v>622</v>
      </c>
      <c r="D159" s="408"/>
      <c r="E159" s="299"/>
      <c r="F159" s="411"/>
      <c r="G159" s="409"/>
    </row>
    <row r="160" spans="2:10" ht="17.25" x14ac:dyDescent="0.25">
      <c r="C160" s="277"/>
      <c r="D160" s="277"/>
      <c r="E160" s="347" t="s">
        <v>623</v>
      </c>
      <c r="F160" s="361">
        <v>140</v>
      </c>
      <c r="G160" s="277" t="s">
        <v>614</v>
      </c>
    </row>
    <row r="161" spans="2:10" ht="15" x14ac:dyDescent="0.25">
      <c r="C161" s="277"/>
      <c r="D161" s="277"/>
      <c r="E161" s="347" t="s">
        <v>624</v>
      </c>
      <c r="F161" s="361">
        <v>0</v>
      </c>
      <c r="G161" s="277" t="s">
        <v>618</v>
      </c>
    </row>
    <row r="162" spans="2:10" ht="17.25" x14ac:dyDescent="0.25">
      <c r="C162" s="277"/>
      <c r="D162" s="277"/>
      <c r="E162" s="347" t="s">
        <v>625</v>
      </c>
      <c r="F162" s="396">
        <f>F160*F161</f>
        <v>0</v>
      </c>
      <c r="G162" s="277" t="s">
        <v>614</v>
      </c>
    </row>
    <row r="163" spans="2:10" ht="15" x14ac:dyDescent="0.25">
      <c r="C163" s="277"/>
      <c r="D163" s="277"/>
      <c r="E163" s="347" t="s">
        <v>626</v>
      </c>
      <c r="F163" s="361">
        <v>0</v>
      </c>
      <c r="G163" s="312" t="s">
        <v>620</v>
      </c>
    </row>
    <row r="164" spans="2:10" ht="17.25" x14ac:dyDescent="0.25">
      <c r="C164" s="277"/>
      <c r="D164" s="277"/>
      <c r="E164" s="347" t="s">
        <v>627</v>
      </c>
      <c r="F164" s="396">
        <f>F162*F163</f>
        <v>0</v>
      </c>
      <c r="G164" s="277" t="s">
        <v>614</v>
      </c>
    </row>
    <row r="165" spans="2:10" x14ac:dyDescent="0.15">
      <c r="C165" s="408" t="s">
        <v>628</v>
      </c>
      <c r="D165" s="408"/>
      <c r="E165" s="409"/>
      <c r="F165" s="410"/>
      <c r="G165" s="409"/>
    </row>
    <row r="166" spans="2:10" ht="17.25" x14ac:dyDescent="0.25">
      <c r="C166" s="277"/>
      <c r="D166" s="277"/>
      <c r="E166" s="347" t="s">
        <v>629</v>
      </c>
      <c r="F166" s="361">
        <f>1/4*PI()*20^2</f>
        <v>314.15926535897933</v>
      </c>
      <c r="G166" s="277" t="s">
        <v>614</v>
      </c>
      <c r="I166" s="357" t="s">
        <v>630</v>
      </c>
      <c r="J166" t="s">
        <v>186</v>
      </c>
    </row>
    <row r="167" spans="2:10" ht="16.5" x14ac:dyDescent="0.25">
      <c r="C167" s="277"/>
      <c r="D167" s="277"/>
      <c r="E167" s="347" t="s">
        <v>631</v>
      </c>
      <c r="F167" s="361">
        <v>10</v>
      </c>
      <c r="G167" s="277" t="s">
        <v>618</v>
      </c>
      <c r="I167" t="s">
        <v>188</v>
      </c>
    </row>
    <row r="168" spans="2:10" ht="17.25" x14ac:dyDescent="0.25">
      <c r="C168" s="277"/>
      <c r="D168" s="277"/>
      <c r="E168" s="347" t="s">
        <v>632</v>
      </c>
      <c r="F168" s="361">
        <f>F166*F167</f>
        <v>3141.5926535897934</v>
      </c>
      <c r="G168" s="277" t="s">
        <v>614</v>
      </c>
    </row>
    <row r="169" spans="2:10" x14ac:dyDescent="0.15">
      <c r="B169" s="297" t="s">
        <v>511</v>
      </c>
      <c r="C169" s="408" t="s">
        <v>633</v>
      </c>
      <c r="D169" s="408"/>
      <c r="E169" s="409"/>
      <c r="F169" s="410"/>
      <c r="G169" s="409"/>
    </row>
    <row r="170" spans="2:10" ht="17.25" x14ac:dyDescent="0.25">
      <c r="C170" s="277"/>
      <c r="D170" s="277"/>
      <c r="E170" s="347" t="s">
        <v>634</v>
      </c>
      <c r="F170" s="361">
        <v>201.1</v>
      </c>
      <c r="G170" s="277" t="s">
        <v>614</v>
      </c>
      <c r="I170" t="s">
        <v>635</v>
      </c>
    </row>
    <row r="171" spans="2:10" ht="16.5" x14ac:dyDescent="0.25">
      <c r="C171" s="277"/>
      <c r="D171" s="277"/>
      <c r="E171" s="347" t="s">
        <v>636</v>
      </c>
      <c r="F171" s="361">
        <v>4</v>
      </c>
      <c r="G171" s="277" t="s">
        <v>618</v>
      </c>
    </row>
    <row r="172" spans="2:10" ht="17.25" x14ac:dyDescent="0.25">
      <c r="C172" s="277"/>
      <c r="D172" s="277"/>
      <c r="E172" s="347" t="s">
        <v>637</v>
      </c>
      <c r="F172" s="361">
        <f>F170*F171</f>
        <v>804.4</v>
      </c>
      <c r="G172" s="277" t="s">
        <v>614</v>
      </c>
    </row>
    <row r="173" spans="2:10" x14ac:dyDescent="0.15">
      <c r="C173" s="277"/>
    </row>
    <row r="174" spans="2:10" ht="15.75" x14ac:dyDescent="0.15">
      <c r="C174" s="277"/>
      <c r="E174" s="347" t="s">
        <v>638</v>
      </c>
      <c r="F174" s="358">
        <f>2*(G18+G19)*1000</f>
        <v>1100</v>
      </c>
      <c r="G174" s="277" t="s">
        <v>186</v>
      </c>
    </row>
    <row r="175" spans="2:10" ht="15.75" x14ac:dyDescent="0.15">
      <c r="C175" s="277"/>
      <c r="D175" s="277"/>
      <c r="E175" s="347" t="s">
        <v>639</v>
      </c>
      <c r="F175" s="378">
        <f>1/2*(G20+G20+G21)*1000</f>
        <v>330</v>
      </c>
      <c r="G175" s="277" t="s">
        <v>186</v>
      </c>
    </row>
    <row r="176" spans="2:10" x14ac:dyDescent="0.15">
      <c r="C176" s="277"/>
      <c r="D176" s="277"/>
      <c r="E176" s="347" t="s">
        <v>640</v>
      </c>
      <c r="F176" s="378">
        <f>2*G18*1000</f>
        <v>440</v>
      </c>
      <c r="G176" s="277" t="s">
        <v>186</v>
      </c>
    </row>
    <row r="177" spans="1:20" x14ac:dyDescent="0.15">
      <c r="C177" s="277"/>
      <c r="D177" s="347"/>
      <c r="E177" s="347" t="s">
        <v>641</v>
      </c>
      <c r="F177" s="365">
        <v>15.2</v>
      </c>
      <c r="G177" s="277" t="s">
        <v>186</v>
      </c>
    </row>
    <row r="178" spans="1:20" ht="16.5" x14ac:dyDescent="0.25">
      <c r="C178" s="277"/>
      <c r="D178" s="347"/>
      <c r="E178" s="347" t="s">
        <v>642</v>
      </c>
      <c r="F178" s="358">
        <f>(4*F154*F155/PI())^0.5</f>
        <v>35.323855308282241</v>
      </c>
      <c r="G178" s="277" t="s">
        <v>186</v>
      </c>
    </row>
    <row r="179" spans="1:20" ht="16.5" x14ac:dyDescent="0.25">
      <c r="C179" s="277"/>
      <c r="D179" s="277"/>
      <c r="E179" s="347" t="s">
        <v>643</v>
      </c>
      <c r="F179" s="412">
        <v>60</v>
      </c>
      <c r="G179" s="277" t="s">
        <v>186</v>
      </c>
      <c r="H179" s="289" t="s">
        <v>644</v>
      </c>
      <c r="I179" s="256" t="s">
        <v>645</v>
      </c>
      <c r="J179" s="256"/>
      <c r="K179" s="256"/>
      <c r="L179" s="256"/>
      <c r="N179" s="296" t="s">
        <v>646</v>
      </c>
      <c r="O179" s="296"/>
      <c r="P179" s="296"/>
      <c r="Q179" s="296"/>
      <c r="R179" s="296" t="s">
        <v>647</v>
      </c>
      <c r="S179" s="296"/>
      <c r="T179" s="296"/>
    </row>
    <row r="180" spans="1:20" ht="17.25" x14ac:dyDescent="0.25">
      <c r="C180" s="277"/>
      <c r="D180" s="277"/>
      <c r="E180" s="347" t="s">
        <v>648</v>
      </c>
      <c r="F180" s="378">
        <f>F157*1/4*PI()*F179^2</f>
        <v>5654.8667764616275</v>
      </c>
      <c r="G180" s="277" t="s">
        <v>614</v>
      </c>
      <c r="I180" t="s">
        <v>649</v>
      </c>
    </row>
    <row r="181" spans="1:20" ht="16.5" x14ac:dyDescent="0.25">
      <c r="B181" s="366" t="s">
        <v>511</v>
      </c>
      <c r="D181" s="277"/>
      <c r="E181" s="347" t="s">
        <v>650</v>
      </c>
      <c r="F181" s="378">
        <f>(4*F161*F160/PI())^0.5</f>
        <v>0</v>
      </c>
      <c r="G181" s="277" t="s">
        <v>186</v>
      </c>
    </row>
    <row r="182" spans="1:20" ht="16.5" x14ac:dyDescent="0.25">
      <c r="B182" s="366" t="s">
        <v>511</v>
      </c>
      <c r="D182" s="277"/>
      <c r="E182" s="347" t="s">
        <v>651</v>
      </c>
      <c r="F182" s="412">
        <v>0</v>
      </c>
      <c r="G182" s="277" t="s">
        <v>186</v>
      </c>
      <c r="H182" s="289" t="s">
        <v>652</v>
      </c>
    </row>
    <row r="183" spans="1:20" ht="17.25" x14ac:dyDescent="0.25">
      <c r="C183" s="366" t="s">
        <v>511</v>
      </c>
      <c r="D183" s="277"/>
      <c r="E183" s="347" t="s">
        <v>653</v>
      </c>
      <c r="F183" s="378">
        <f>F163*1/4*PI()*F182^2</f>
        <v>0</v>
      </c>
      <c r="G183" s="277" t="s">
        <v>614</v>
      </c>
    </row>
    <row r="184" spans="1:20" ht="17.25" x14ac:dyDescent="0.25">
      <c r="C184" s="277"/>
      <c r="D184" s="277"/>
      <c r="E184" s="347" t="s">
        <v>654</v>
      </c>
      <c r="F184" s="378">
        <f>F180+F183</f>
        <v>5654.8667764616275</v>
      </c>
      <c r="G184" s="277" t="s">
        <v>614</v>
      </c>
    </row>
    <row r="185" spans="1:20" ht="16.5" x14ac:dyDescent="0.25">
      <c r="C185" s="277"/>
      <c r="D185" s="277"/>
      <c r="E185" s="347" t="s">
        <v>655</v>
      </c>
      <c r="F185" s="378">
        <f>F57/F45</f>
        <v>6.5</v>
      </c>
      <c r="G185" s="277"/>
    </row>
    <row r="186" spans="1:20" ht="16.5" x14ac:dyDescent="0.25">
      <c r="C186" s="277"/>
      <c r="D186" s="277"/>
      <c r="E186" s="347" t="s">
        <v>656</v>
      </c>
      <c r="F186" s="378">
        <f>F51/F45</f>
        <v>6.666666666666667</v>
      </c>
    </row>
    <row r="187" spans="1:20" ht="17.25" x14ac:dyDescent="0.25">
      <c r="C187" s="277"/>
      <c r="D187" s="277"/>
      <c r="E187" s="347" t="s">
        <v>657</v>
      </c>
      <c r="F187" s="378">
        <f>F186*(F168+F172)</f>
        <v>26306.617690598625</v>
      </c>
      <c r="G187" s="277" t="s">
        <v>614</v>
      </c>
    </row>
    <row r="188" spans="1:20" ht="17.25" x14ac:dyDescent="0.25">
      <c r="C188" s="277"/>
      <c r="D188" s="277"/>
      <c r="E188" s="363" t="s">
        <v>658</v>
      </c>
      <c r="F188" s="378">
        <f>F71*10^6-F184+F187</f>
        <v>1414981.0809733258</v>
      </c>
      <c r="G188" s="277" t="s">
        <v>614</v>
      </c>
    </row>
    <row r="189" spans="1:20" x14ac:dyDescent="0.15">
      <c r="C189" s="277"/>
      <c r="D189" s="277"/>
      <c r="E189" s="347" t="s">
        <v>659</v>
      </c>
      <c r="F189" s="413">
        <v>35</v>
      </c>
      <c r="G189" s="277" t="s">
        <v>186</v>
      </c>
    </row>
    <row r="190" spans="1:20" ht="16.5" x14ac:dyDescent="0.25">
      <c r="C190" s="277"/>
      <c r="D190" s="277"/>
      <c r="E190" s="347" t="s">
        <v>660</v>
      </c>
      <c r="F190" s="378">
        <f>F189+15</f>
        <v>50</v>
      </c>
      <c r="G190" s="277" t="s">
        <v>186</v>
      </c>
      <c r="H190" t="s">
        <v>661</v>
      </c>
    </row>
    <row r="191" spans="1:20" ht="16.5" x14ac:dyDescent="0.25">
      <c r="A191" s="196"/>
      <c r="C191" s="277"/>
      <c r="D191" s="277"/>
      <c r="E191" s="347" t="s">
        <v>662</v>
      </c>
      <c r="F191" s="378">
        <f>F189+15</f>
        <v>50</v>
      </c>
      <c r="G191" s="277" t="s">
        <v>186</v>
      </c>
    </row>
    <row r="192" spans="1:20" ht="15" x14ac:dyDescent="0.25">
      <c r="A192" s="196"/>
      <c r="C192" s="277"/>
      <c r="D192" s="277"/>
      <c r="E192" s="347" t="s">
        <v>663</v>
      </c>
      <c r="F192" s="413">
        <f>(F164*F193+F191*F172)/(F164+F172)</f>
        <v>50</v>
      </c>
      <c r="G192" s="277" t="s">
        <v>186</v>
      </c>
    </row>
    <row r="193" spans="2:20" ht="16.5" x14ac:dyDescent="0.25">
      <c r="C193" s="277"/>
      <c r="D193" s="277"/>
      <c r="E193" s="347" t="s">
        <v>664</v>
      </c>
      <c r="F193" s="413">
        <v>0</v>
      </c>
      <c r="G193" s="277" t="s">
        <v>186</v>
      </c>
      <c r="I193">
        <f>(0.2*6+0.4602*2)/8</f>
        <v>0.26505000000000001</v>
      </c>
    </row>
    <row r="194" spans="2:20" ht="16.5" x14ac:dyDescent="0.25">
      <c r="C194" s="277"/>
      <c r="D194" s="277"/>
      <c r="E194" s="347" t="s">
        <v>665</v>
      </c>
      <c r="F194" s="413">
        <v>125</v>
      </c>
      <c r="G194" s="277" t="s">
        <v>186</v>
      </c>
    </row>
    <row r="195" spans="2:20" x14ac:dyDescent="0.15">
      <c r="C195" s="277"/>
      <c r="D195" s="277"/>
      <c r="E195" s="347" t="s">
        <v>666</v>
      </c>
      <c r="F195" s="413">
        <f>F194</f>
        <v>125</v>
      </c>
      <c r="G195" s="277" t="s">
        <v>186</v>
      </c>
    </row>
    <row r="196" spans="2:20" ht="16.5" x14ac:dyDescent="0.25">
      <c r="C196" s="277"/>
      <c r="D196" s="277"/>
      <c r="E196" s="347" t="s">
        <v>667</v>
      </c>
      <c r="F196" s="378">
        <f>C37*1000-F195</f>
        <v>1585</v>
      </c>
      <c r="G196" s="277" t="s">
        <v>186</v>
      </c>
    </row>
    <row r="197" spans="2:20" x14ac:dyDescent="0.15">
      <c r="C197" s="277"/>
      <c r="D197" s="277"/>
      <c r="E197" s="347"/>
      <c r="F197" s="374"/>
      <c r="G197" s="277"/>
    </row>
    <row r="198" spans="2:20" x14ac:dyDescent="0.15">
      <c r="C198" s="277"/>
      <c r="D198" s="277"/>
      <c r="E198" s="347"/>
      <c r="F198" s="374"/>
      <c r="G198" s="277"/>
    </row>
    <row r="199" spans="2:20" ht="16.5" x14ac:dyDescent="0.15">
      <c r="C199" s="277"/>
      <c r="D199" s="277"/>
      <c r="E199" s="298" t="s">
        <v>668</v>
      </c>
      <c r="F199" s="378">
        <f>(F71*10^6*F72*10^3+F186*F168*(C37*10^3-F190)+F186*F172*F191-F180*(C37*10^3-F194)-F183*F194)/F188</f>
        <v>821.13264910722125</v>
      </c>
      <c r="G199" s="277" t="s">
        <v>186</v>
      </c>
      <c r="H199" s="196"/>
      <c r="I199" s="196"/>
      <c r="J199" s="196"/>
      <c r="K199" s="196"/>
      <c r="L199" s="196"/>
    </row>
    <row r="200" spans="2:20" ht="16.5" x14ac:dyDescent="0.25">
      <c r="C200" s="277"/>
      <c r="D200" s="277"/>
      <c r="E200" s="347" t="s">
        <v>669</v>
      </c>
      <c r="F200" s="378">
        <f>C37*10^3-F199</f>
        <v>888.86735089277875</v>
      </c>
      <c r="G200" s="277" t="s">
        <v>186</v>
      </c>
    </row>
    <row r="201" spans="2:20" x14ac:dyDescent="0.15">
      <c r="C201" s="277"/>
      <c r="D201" s="277"/>
      <c r="E201" s="347"/>
      <c r="F201" s="378"/>
      <c r="G201" s="277"/>
    </row>
    <row r="202" spans="2:20" ht="17.25" x14ac:dyDescent="0.25">
      <c r="C202" s="277"/>
      <c r="D202" s="277"/>
      <c r="E202" s="298" t="s">
        <v>670</v>
      </c>
      <c r="F202" s="374"/>
      <c r="G202" s="277"/>
      <c r="P202" s="297" t="s">
        <v>671</v>
      </c>
      <c r="Q202" s="297"/>
      <c r="R202" s="297"/>
      <c r="S202" s="297"/>
      <c r="T202" s="297"/>
    </row>
    <row r="203" spans="2:20" ht="17.25" x14ac:dyDescent="0.25">
      <c r="B203" s="294"/>
      <c r="C203" s="294"/>
      <c r="D203" s="294"/>
      <c r="E203" s="347" t="s">
        <v>672</v>
      </c>
      <c r="F203" s="358">
        <f>F74*10^12+F71*10^6*(F72*10^3-F199)^2+F186*F168*(C37*10^3-F190-F199)^2+F186*F164*(F191-F199)^2-F180*(C37*10^3-F194-F199)^2-F183*(F193-F199)^2</f>
        <v>456392566716.17651</v>
      </c>
      <c r="G203" t="s">
        <v>673</v>
      </c>
      <c r="P203" s="297" t="s">
        <v>674</v>
      </c>
      <c r="Q203" s="297"/>
      <c r="R203" s="297"/>
      <c r="S203" s="297"/>
      <c r="T203" s="297"/>
    </row>
    <row r="204" spans="2:20" ht="18" x14ac:dyDescent="0.25">
      <c r="E204" s="347" t="s">
        <v>675</v>
      </c>
      <c r="F204" s="358">
        <f>IF(B159="！",F188+F185*F158,F188+F185*(F158+F164))</f>
        <v>1427721.0809733258</v>
      </c>
      <c r="G204" t="s">
        <v>676</v>
      </c>
      <c r="P204" s="196"/>
      <c r="Q204" s="196"/>
      <c r="R204" s="196"/>
      <c r="S204" s="196"/>
      <c r="T204" s="196"/>
    </row>
    <row r="205" spans="2:20" x14ac:dyDescent="0.15">
      <c r="E205" s="347"/>
      <c r="F205" s="304"/>
      <c r="P205" s="196"/>
      <c r="Q205" s="196"/>
      <c r="R205" s="196"/>
      <c r="S205" s="196"/>
      <c r="T205" s="196"/>
    </row>
    <row r="206" spans="2:20" x14ac:dyDescent="0.15">
      <c r="E206" s="347"/>
      <c r="F206" s="304"/>
      <c r="Q206" s="196"/>
      <c r="R206" s="196"/>
      <c r="S206" s="196"/>
      <c r="T206" s="196"/>
    </row>
    <row r="207" spans="2:20" ht="16.5" x14ac:dyDescent="0.25">
      <c r="E207" s="347" t="s">
        <v>677</v>
      </c>
    </row>
    <row r="208" spans="2:20" ht="16.5" x14ac:dyDescent="0.25">
      <c r="E208" s="347" t="s">
        <v>678</v>
      </c>
      <c r="F208" s="358">
        <f>(F188*F199+F185*F158*(C37*10^3-F194)+F185*F164*F193)/F204</f>
        <v>827.94887545567553</v>
      </c>
      <c r="G208" t="s">
        <v>186</v>
      </c>
      <c r="L208" s="196"/>
      <c r="M208" s="196"/>
      <c r="N208" s="196"/>
      <c r="O208" s="196"/>
      <c r="P208" s="196"/>
    </row>
    <row r="209" spans="1:16" ht="16.5" x14ac:dyDescent="0.25">
      <c r="E209" s="347" t="s">
        <v>679</v>
      </c>
      <c r="F209" s="358">
        <f>C37*10^3-F208</f>
        <v>882.05112454432447</v>
      </c>
      <c r="G209" t="s">
        <v>186</v>
      </c>
    </row>
    <row r="211" spans="1:16" ht="16.5" x14ac:dyDescent="0.15">
      <c r="D211" s="298"/>
      <c r="E211" s="298" t="s">
        <v>680</v>
      </c>
    </row>
    <row r="212" spans="1:16" ht="17.25" x14ac:dyDescent="0.25">
      <c r="E212" s="347" t="s">
        <v>681</v>
      </c>
      <c r="F212" s="358">
        <f>F203+F188*(F208-F199)^2+F185*F158*(F209-F194)^2+F185*F164*(F193-F208)^2</f>
        <v>463759938471.50647</v>
      </c>
      <c r="G212" t="s">
        <v>673</v>
      </c>
      <c r="L212" s="196"/>
      <c r="M212" s="419" t="s">
        <v>682</v>
      </c>
      <c r="N212" s="196"/>
      <c r="O212" s="196"/>
      <c r="P212" s="196"/>
    </row>
    <row r="213" spans="1:16" ht="17.25" x14ac:dyDescent="0.25">
      <c r="E213" s="347" t="s">
        <v>683</v>
      </c>
      <c r="F213" s="358">
        <f>F212/F209</f>
        <v>525774442.73549223</v>
      </c>
      <c r="G213" t="s">
        <v>684</v>
      </c>
    </row>
    <row r="214" spans="1:16" ht="17.25" x14ac:dyDescent="0.25">
      <c r="E214" s="347" t="s">
        <v>685</v>
      </c>
      <c r="F214" s="358">
        <f>F212/F208</f>
        <v>560131129.13073099</v>
      </c>
      <c r="G214" t="s">
        <v>684</v>
      </c>
    </row>
    <row r="216" spans="1:16" x14ac:dyDescent="0.15">
      <c r="A216" s="298"/>
      <c r="B216" s="298"/>
      <c r="C216" s="298"/>
      <c r="D216" s="298"/>
      <c r="E216" s="298" t="s">
        <v>686</v>
      </c>
      <c r="F216" s="299"/>
      <c r="G216" s="299"/>
      <c r="H216" s="299"/>
      <c r="I216" s="299"/>
    </row>
    <row r="217" spans="1:16" x14ac:dyDescent="0.15">
      <c r="B217" s="588" t="s">
        <v>687</v>
      </c>
      <c r="C217" s="589"/>
      <c r="D217" s="589"/>
      <c r="E217" s="589"/>
      <c r="F217" s="589"/>
      <c r="G217" s="589"/>
      <c r="H217" s="589"/>
      <c r="I217" s="589"/>
    </row>
    <row r="218" spans="1:16" ht="16.5" x14ac:dyDescent="0.25">
      <c r="E218" s="347" t="s">
        <v>688</v>
      </c>
      <c r="F218" s="365">
        <f>0.7*F54</f>
        <v>1302</v>
      </c>
      <c r="G218" t="s">
        <v>242</v>
      </c>
      <c r="H218">
        <f>1302*139/1000</f>
        <v>180.97800000000001</v>
      </c>
    </row>
    <row r="219" spans="1:16" x14ac:dyDescent="0.15">
      <c r="C219" s="312" t="s">
        <v>689</v>
      </c>
      <c r="D219" s="277"/>
      <c r="E219" s="347"/>
      <c r="F219" s="300"/>
    </row>
    <row r="220" spans="1:16" x14ac:dyDescent="0.15">
      <c r="C220" s="277"/>
      <c r="D220" s="312" t="s">
        <v>690</v>
      </c>
      <c r="E220" s="347"/>
      <c r="F220" s="300"/>
    </row>
    <row r="221" spans="1:16" x14ac:dyDescent="0.15">
      <c r="C221" s="277"/>
      <c r="D221" s="312" t="s">
        <v>691</v>
      </c>
      <c r="E221" s="347"/>
      <c r="F221" s="300"/>
    </row>
    <row r="222" spans="1:16" x14ac:dyDescent="0.15">
      <c r="C222" s="277"/>
      <c r="D222" s="312" t="s">
        <v>692</v>
      </c>
      <c r="E222" s="347"/>
      <c r="F222" s="300"/>
    </row>
    <row r="223" spans="1:16" x14ac:dyDescent="0.15">
      <c r="C223" s="277"/>
      <c r="D223" s="312" t="s">
        <v>693</v>
      </c>
      <c r="E223" s="347"/>
      <c r="F223" s="300"/>
    </row>
    <row r="224" spans="1:16" ht="14.25" x14ac:dyDescent="0.15">
      <c r="C224" s="277"/>
      <c r="D224" s="312"/>
      <c r="E224" s="364" t="s">
        <v>694</v>
      </c>
      <c r="F224" s="365">
        <v>5</v>
      </c>
      <c r="G224" s="357" t="s">
        <v>695</v>
      </c>
    </row>
    <row r="225" spans="2:18" ht="14.25" x14ac:dyDescent="0.15">
      <c r="C225" s="277"/>
      <c r="D225" s="312"/>
      <c r="E225" s="364" t="s">
        <v>696</v>
      </c>
      <c r="F225" s="414">
        <f>D15*1000</f>
        <v>19950</v>
      </c>
      <c r="G225" s="357" t="s">
        <v>695</v>
      </c>
    </row>
    <row r="226" spans="2:18" ht="18.75" x14ac:dyDescent="0.3">
      <c r="E226" s="364" t="s">
        <v>697</v>
      </c>
      <c r="F226" s="358">
        <f>F224/F225*F57</f>
        <v>48.872180451127818</v>
      </c>
      <c r="G226" t="s">
        <v>242</v>
      </c>
    </row>
    <row r="227" spans="2:18" x14ac:dyDescent="0.15">
      <c r="E227" s="380" t="s">
        <v>698</v>
      </c>
      <c r="F227" s="365">
        <v>0.2</v>
      </c>
    </row>
    <row r="228" spans="2:18" x14ac:dyDescent="0.15">
      <c r="E228" s="380" t="s">
        <v>699</v>
      </c>
      <c r="F228" s="365">
        <v>0</v>
      </c>
      <c r="G228" t="s">
        <v>253</v>
      </c>
    </row>
    <row r="229" spans="2:18" x14ac:dyDescent="0.15">
      <c r="E229" s="380" t="s">
        <v>700</v>
      </c>
      <c r="F229" s="365">
        <v>1.5E-3</v>
      </c>
    </row>
    <row r="230" spans="2:18" ht="17.25" x14ac:dyDescent="0.25">
      <c r="E230" s="380" t="s">
        <v>701</v>
      </c>
      <c r="F230" s="365">
        <f>F225/2/1000</f>
        <v>9.9749999999999996</v>
      </c>
      <c r="G230" t="s">
        <v>12</v>
      </c>
      <c r="K230" s="590" t="s">
        <v>702</v>
      </c>
      <c r="L230" s="590"/>
      <c r="M230" s="322"/>
      <c r="O230" s="323"/>
    </row>
    <row r="231" spans="2:18" x14ac:dyDescent="0.15">
      <c r="E231" t="s">
        <v>257</v>
      </c>
      <c r="F231" s="358">
        <f>F227*F228+F229*F230</f>
        <v>1.49625E-2</v>
      </c>
    </row>
    <row r="232" spans="2:18" ht="16.5" x14ac:dyDescent="0.25">
      <c r="E232" s="380" t="s">
        <v>703</v>
      </c>
      <c r="F232" s="358">
        <f>IF(F231&lt;0.2,F231*F218,F218*(1-EXP(-F231)))</f>
        <v>19.481175</v>
      </c>
      <c r="G232" t="s">
        <v>242</v>
      </c>
    </row>
    <row r="233" spans="2:18" x14ac:dyDescent="0.15">
      <c r="E233" s="380" t="s">
        <v>704</v>
      </c>
      <c r="F233" s="365">
        <f>0.00001</f>
        <v>1.0000000000000001E-5</v>
      </c>
      <c r="G233" t="s">
        <v>705</v>
      </c>
    </row>
    <row r="234" spans="2:18" x14ac:dyDescent="0.15">
      <c r="E234" s="380" t="s">
        <v>706</v>
      </c>
      <c r="F234" s="365">
        <v>0</v>
      </c>
      <c r="G234" t="s">
        <v>707</v>
      </c>
    </row>
    <row r="235" spans="2:18" ht="16.5" x14ac:dyDescent="0.25">
      <c r="E235" s="380" t="s">
        <v>708</v>
      </c>
      <c r="F235" s="358">
        <f>F233*F234*F57</f>
        <v>0</v>
      </c>
      <c r="G235" t="s">
        <v>242</v>
      </c>
      <c r="N235" s="196"/>
      <c r="O235" s="196"/>
      <c r="P235" s="196"/>
      <c r="Q235" s="196"/>
      <c r="R235" s="196"/>
    </row>
    <row r="236" spans="2:18" ht="18.75" x14ac:dyDescent="0.3">
      <c r="E236" s="364" t="s">
        <v>709</v>
      </c>
      <c r="F236" s="415">
        <f>0.4*(F218/F54-0.5)*F218</f>
        <v>104.15999999999998</v>
      </c>
      <c r="G236" t="s">
        <v>242</v>
      </c>
      <c r="K236" s="297" t="s">
        <v>710</v>
      </c>
      <c r="L236" s="297"/>
      <c r="M236" s="297"/>
      <c r="N236" s="196"/>
      <c r="O236" s="196"/>
      <c r="P236" s="196"/>
      <c r="Q236" s="196"/>
      <c r="R236" s="196"/>
    </row>
    <row r="237" spans="2:18" ht="16.5" x14ac:dyDescent="0.25">
      <c r="B237" s="335"/>
      <c r="C237" s="335"/>
      <c r="D237" s="335"/>
      <c r="E237" s="416" t="s">
        <v>711</v>
      </c>
      <c r="K237" s="297" t="s">
        <v>712</v>
      </c>
      <c r="L237" s="297"/>
      <c r="M237" s="297"/>
    </row>
    <row r="238" spans="2:18" ht="18" x14ac:dyDescent="0.25">
      <c r="C238" s="417" t="s">
        <v>713</v>
      </c>
      <c r="E238" s="347" t="s">
        <v>714</v>
      </c>
      <c r="F238" s="365">
        <v>0</v>
      </c>
      <c r="G238" t="s">
        <v>242</v>
      </c>
      <c r="H238" s="335" t="s">
        <v>715</v>
      </c>
      <c r="I238" s="335"/>
      <c r="J238" s="297"/>
      <c r="K238" s="297"/>
    </row>
    <row r="239" spans="2:18" ht="16.5" x14ac:dyDescent="0.25">
      <c r="E239" s="347" t="s">
        <v>716</v>
      </c>
      <c r="F239" s="358">
        <f>F218-F226-F232</f>
        <v>1233.6466445488722</v>
      </c>
      <c r="G239" t="s">
        <v>242</v>
      </c>
      <c r="H239" s="297" t="s">
        <v>717</v>
      </c>
      <c r="I239" s="297"/>
      <c r="J239" s="297"/>
    </row>
    <row r="241" spans="1:16" ht="16.5" x14ac:dyDescent="0.25">
      <c r="E241" s="347" t="s">
        <v>718</v>
      </c>
    </row>
    <row r="242" spans="1:16" ht="16.5" x14ac:dyDescent="0.25">
      <c r="E242" s="380" t="s">
        <v>719</v>
      </c>
      <c r="F242" s="358">
        <f>F239*F158+F239*F164-F238*F168-F238*F172</f>
        <v>2417947.4233157896</v>
      </c>
      <c r="G242" t="s">
        <v>275</v>
      </c>
      <c r="L242" s="196"/>
      <c r="M242" s="196"/>
      <c r="N242" s="196"/>
      <c r="O242" s="196"/>
      <c r="P242" s="196"/>
    </row>
    <row r="243" spans="1:16" ht="14.25" x14ac:dyDescent="0.2">
      <c r="E243" s="418" t="s">
        <v>720</v>
      </c>
      <c r="F243" s="358">
        <f>F200-F194</f>
        <v>763.86735089277875</v>
      </c>
      <c r="G243" t="s">
        <v>186</v>
      </c>
    </row>
    <row r="244" spans="1:16" ht="14.25" x14ac:dyDescent="0.2">
      <c r="E244" s="418" t="s">
        <v>721</v>
      </c>
      <c r="F244" s="358">
        <f>F199-F193</f>
        <v>821.13264910722125</v>
      </c>
      <c r="G244" t="s">
        <v>186</v>
      </c>
    </row>
    <row r="245" spans="1:16" ht="14.25" x14ac:dyDescent="0.2">
      <c r="E245" s="418" t="s">
        <v>722</v>
      </c>
      <c r="F245" s="358">
        <f>F200-F190</f>
        <v>838.86735089277875</v>
      </c>
      <c r="G245" t="s">
        <v>186</v>
      </c>
    </row>
    <row r="246" spans="1:16" ht="15" x14ac:dyDescent="0.25">
      <c r="E246" s="418" t="s">
        <v>723</v>
      </c>
      <c r="F246" s="358">
        <f>F199-F191</f>
        <v>771.13264910722125</v>
      </c>
      <c r="G246" t="s">
        <v>186</v>
      </c>
    </row>
    <row r="248" spans="1:16" ht="16.5" x14ac:dyDescent="0.25">
      <c r="E248" s="347" t="s">
        <v>724</v>
      </c>
    </row>
    <row r="249" spans="1:16" ht="16.5" x14ac:dyDescent="0.25">
      <c r="E249" s="380" t="s">
        <v>725</v>
      </c>
      <c r="F249" s="358">
        <f>(F239*F158*F243-F239*F164*F244-F238*F168*F245+F238*F172*F246)/F242</f>
        <v>763.86735089277875</v>
      </c>
      <c r="G249" t="s">
        <v>186</v>
      </c>
      <c r="L249" s="196"/>
      <c r="M249" s="196"/>
      <c r="N249" s="196"/>
      <c r="O249" s="196"/>
      <c r="P249" s="196"/>
    </row>
    <row r="251" spans="1:16" ht="16.5" x14ac:dyDescent="0.25">
      <c r="E251" s="347" t="s">
        <v>726</v>
      </c>
    </row>
    <row r="253" spans="1:16" ht="16.5" x14ac:dyDescent="0.25">
      <c r="E253" s="347" t="s">
        <v>727</v>
      </c>
      <c r="F253" s="358">
        <f>F243</f>
        <v>763.86735089277875</v>
      </c>
      <c r="G253" t="s">
        <v>186</v>
      </c>
    </row>
    <row r="254" spans="1:16" ht="16.5" x14ac:dyDescent="0.25">
      <c r="E254" s="380" t="s">
        <v>728</v>
      </c>
      <c r="F254" s="358">
        <f>F242/F188+F242*F249*F253/F203</f>
        <v>4.8001411991655631</v>
      </c>
      <c r="G254" t="s">
        <v>242</v>
      </c>
    </row>
    <row r="255" spans="1:16" ht="16.5" x14ac:dyDescent="0.25">
      <c r="A255" s="196"/>
      <c r="E255" s="347" t="s">
        <v>729</v>
      </c>
    </row>
    <row r="256" spans="1:16" ht="16.5" x14ac:dyDescent="0.25">
      <c r="A256" s="196"/>
      <c r="E256" s="347" t="s">
        <v>730</v>
      </c>
      <c r="F256" s="358">
        <f>F244</f>
        <v>821.13264910722125</v>
      </c>
      <c r="G256" t="s">
        <v>186</v>
      </c>
      <c r="J256">
        <f>0.5*30</f>
        <v>15</v>
      </c>
    </row>
    <row r="257" spans="2:18" ht="16.5" x14ac:dyDescent="0.25">
      <c r="E257" s="380" t="s">
        <v>731</v>
      </c>
      <c r="F257" s="358">
        <f>F242/F188-F242*F249*F256/F203</f>
        <v>-1.6142509177460715</v>
      </c>
      <c r="G257" t="s">
        <v>242</v>
      </c>
    </row>
    <row r="258" spans="2:18" ht="16.5" x14ac:dyDescent="0.25">
      <c r="E258" s="380" t="s">
        <v>732</v>
      </c>
      <c r="F258" s="420">
        <f>IF(F257&lt;0,0,F257)</f>
        <v>0</v>
      </c>
      <c r="G258" t="s">
        <v>242</v>
      </c>
      <c r="J258" s="297" t="s">
        <v>733</v>
      </c>
      <c r="K258" s="297"/>
      <c r="L258" s="297"/>
      <c r="M258" s="297"/>
      <c r="N258" s="297"/>
    </row>
    <row r="259" spans="2:18" ht="16.5" x14ac:dyDescent="0.25">
      <c r="B259" s="421" t="s">
        <v>734</v>
      </c>
      <c r="C259" s="297"/>
      <c r="D259" s="297"/>
      <c r="E259" s="297"/>
      <c r="F259" s="422"/>
      <c r="G259" s="297"/>
      <c r="J259" s="297" t="s">
        <v>735</v>
      </c>
      <c r="K259" s="297"/>
      <c r="L259" s="297"/>
      <c r="M259" s="297"/>
    </row>
    <row r="261" spans="2:18" ht="14.25" x14ac:dyDescent="0.15">
      <c r="E261" s="364" t="s">
        <v>736</v>
      </c>
      <c r="F261" s="358">
        <f>(F168)/F188</f>
        <v>2.2202365076349853E-3</v>
      </c>
      <c r="G261" t="s">
        <v>737</v>
      </c>
    </row>
    <row r="262" spans="2:18" ht="14.25" x14ac:dyDescent="0.15">
      <c r="E262" s="364" t="s">
        <v>738</v>
      </c>
      <c r="F262" s="358">
        <f>(F172+F164)/F188</f>
        <v>5.6848816624931534E-4</v>
      </c>
      <c r="K262" s="196"/>
      <c r="L262" s="196"/>
      <c r="M262" s="196"/>
      <c r="N262" s="196"/>
      <c r="O262" s="196"/>
    </row>
    <row r="265" spans="2:18" ht="16.5" x14ac:dyDescent="0.25">
      <c r="D265" s="417" t="s">
        <v>739</v>
      </c>
      <c r="E265" s="423" t="s">
        <v>740</v>
      </c>
      <c r="F265" s="358">
        <f>(35+280*F254/F48)/(1+15*F261)*1.3</f>
        <v>119.18629129491734</v>
      </c>
      <c r="G265" t="s">
        <v>242</v>
      </c>
      <c r="L265" s="196" t="s">
        <v>741</v>
      </c>
      <c r="M265" s="432"/>
      <c r="N265" s="196"/>
      <c r="O265" s="196"/>
      <c r="P265" s="196"/>
      <c r="Q265" s="196"/>
      <c r="R265" s="196"/>
    </row>
    <row r="266" spans="2:18" ht="16.5" x14ac:dyDescent="0.25">
      <c r="E266" s="347" t="s">
        <v>742</v>
      </c>
      <c r="F266" s="358">
        <f>IF(F262&gt;0,(35+280*F258/F48)/(1+15*F262),0)*1.3</f>
        <v>45.115287394985216</v>
      </c>
      <c r="G266" t="s">
        <v>242</v>
      </c>
    </row>
    <row r="268" spans="2:18" ht="16.5" x14ac:dyDescent="0.25">
      <c r="F268" s="358">
        <f>F226+F232+F235+F236+F265</f>
        <v>291.69964674604512</v>
      </c>
      <c r="G268" t="s">
        <v>242</v>
      </c>
      <c r="I268" s="296" t="s">
        <v>743</v>
      </c>
      <c r="J268" s="296"/>
      <c r="K268" s="296"/>
      <c r="L268" s="296"/>
    </row>
    <row r="269" spans="2:18" x14ac:dyDescent="0.15">
      <c r="I269">
        <f>0.28*F218</f>
        <v>364.56000000000006</v>
      </c>
    </row>
    <row r="270" spans="2:18" ht="16.5" x14ac:dyDescent="0.15">
      <c r="C270" s="424" t="s">
        <v>744</v>
      </c>
      <c r="D270" s="294"/>
      <c r="E270" s="294"/>
      <c r="F270" s="425"/>
    </row>
    <row r="271" spans="2:18" ht="18" x14ac:dyDescent="0.25">
      <c r="E271" s="347" t="s">
        <v>745</v>
      </c>
      <c r="F271" s="358">
        <f>F218-F268</f>
        <v>1010.3003532539549</v>
      </c>
      <c r="G271" t="s">
        <v>242</v>
      </c>
      <c r="I271">
        <f>F271/(F57*0.000012)</f>
        <v>431.75228771536536</v>
      </c>
    </row>
    <row r="272" spans="2:18" ht="16.5" x14ac:dyDescent="0.25">
      <c r="E272" s="347" t="s">
        <v>718</v>
      </c>
    </row>
    <row r="273" spans="1:12" x14ac:dyDescent="0.15">
      <c r="F273" s="358">
        <f>F271*F158+F271*F164-F265*F168-F266*F172</f>
        <v>1569463.1780564999</v>
      </c>
      <c r="G273" t="s">
        <v>275</v>
      </c>
      <c r="H273" s="196"/>
      <c r="I273" s="196"/>
      <c r="J273" s="196"/>
      <c r="K273" s="196"/>
      <c r="L273" s="196"/>
    </row>
    <row r="274" spans="1:12" ht="16.5" x14ac:dyDescent="0.25">
      <c r="E274" s="347" t="s">
        <v>724</v>
      </c>
    </row>
    <row r="276" spans="1:12" x14ac:dyDescent="0.15">
      <c r="F276" s="358">
        <f>(F271*F158*F243-F271*F164*F244-F265*F168*F245+F266*F172*F246)/F273</f>
        <v>781.46806537450391</v>
      </c>
      <c r="G276" t="s">
        <v>186</v>
      </c>
      <c r="H276" s="196"/>
      <c r="I276" s="196"/>
      <c r="J276" s="196"/>
      <c r="K276" s="196"/>
      <c r="L276" s="196"/>
    </row>
    <row r="278" spans="1:12" ht="16.5" x14ac:dyDescent="0.25">
      <c r="A278" s="591" t="s">
        <v>746</v>
      </c>
      <c r="B278" s="591"/>
      <c r="C278" s="591"/>
      <c r="D278" s="591"/>
      <c r="E278" s="591"/>
      <c r="F278" s="591"/>
      <c r="G278" s="591"/>
    </row>
    <row r="280" spans="1:12" x14ac:dyDescent="0.15">
      <c r="F280" s="358">
        <f>F273/F188+F273*F276*F200/F203</f>
        <v>3.4978714040417391</v>
      </c>
      <c r="G280" t="s">
        <v>242</v>
      </c>
      <c r="H280" s="297" t="s">
        <v>747</v>
      </c>
    </row>
    <row r="283" spans="1:12" x14ac:dyDescent="0.15">
      <c r="F283" s="358">
        <f>F273/F188-F273*F276*F199/F203</f>
        <v>-1.0974925596171219</v>
      </c>
      <c r="G283" t="s">
        <v>242</v>
      </c>
      <c r="H283" s="297" t="s">
        <v>747</v>
      </c>
    </row>
    <row r="285" spans="1:12" x14ac:dyDescent="0.15">
      <c r="B285" s="424" t="s">
        <v>748</v>
      </c>
    </row>
    <row r="286" spans="1:12" ht="16.5" x14ac:dyDescent="0.25">
      <c r="E286" s="418" t="s">
        <v>749</v>
      </c>
      <c r="F286" s="358">
        <f>F218-F268+F185*F280</f>
        <v>1033.0365173802261</v>
      </c>
      <c r="G286" t="s">
        <v>242</v>
      </c>
    </row>
    <row r="287" spans="1:12" ht="16.5" x14ac:dyDescent="0.25">
      <c r="E287" s="418" t="s">
        <v>750</v>
      </c>
      <c r="F287" s="358">
        <f>F218-F268+F185*F283</f>
        <v>1003.1666516164436</v>
      </c>
      <c r="G287" t="s">
        <v>242</v>
      </c>
    </row>
    <row r="288" spans="1:12" x14ac:dyDescent="0.15">
      <c r="E288" s="418"/>
      <c r="F288" s="304"/>
    </row>
    <row r="289" spans="2:8" x14ac:dyDescent="0.15">
      <c r="B289" s="424" t="s">
        <v>751</v>
      </c>
      <c r="C289" s="409"/>
      <c r="D289" s="299"/>
      <c r="E289" s="426"/>
      <c r="F289" s="409"/>
      <c r="G289" s="409"/>
      <c r="H289" s="409"/>
    </row>
    <row r="290" spans="2:8" ht="16.5" x14ac:dyDescent="0.15">
      <c r="B290" s="410" t="s">
        <v>752</v>
      </c>
      <c r="C290" s="277"/>
      <c r="D290" s="277"/>
      <c r="E290" s="398"/>
      <c r="F290" s="277"/>
      <c r="G290" s="277"/>
      <c r="H290" s="277"/>
    </row>
    <row r="291" spans="2:8" x14ac:dyDescent="0.15">
      <c r="B291" s="277"/>
      <c r="C291" s="277"/>
      <c r="D291" s="299"/>
      <c r="E291" s="398"/>
      <c r="F291" s="277"/>
      <c r="G291" s="277"/>
      <c r="H291" s="277"/>
    </row>
    <row r="292" spans="2:8" x14ac:dyDescent="0.15">
      <c r="B292" s="277"/>
      <c r="C292" s="277"/>
      <c r="D292" s="299"/>
      <c r="E292" s="398"/>
      <c r="F292" s="277"/>
      <c r="G292" s="277"/>
      <c r="H292" s="277"/>
    </row>
    <row r="293" spans="2:8" x14ac:dyDescent="0.15">
      <c r="B293" s="277"/>
      <c r="C293" s="277"/>
      <c r="D293" s="277"/>
      <c r="E293" s="398"/>
      <c r="F293" s="277"/>
      <c r="G293" s="277"/>
      <c r="H293" s="277"/>
    </row>
    <row r="294" spans="2:8" x14ac:dyDescent="0.15">
      <c r="B294" s="277"/>
      <c r="C294" s="277"/>
      <c r="D294" s="299"/>
      <c r="E294" s="398"/>
      <c r="F294" s="277"/>
      <c r="G294" s="277"/>
      <c r="H294" s="277"/>
    </row>
    <row r="295" spans="2:8" x14ac:dyDescent="0.15">
      <c r="B295" s="277"/>
      <c r="C295" s="277"/>
      <c r="D295" s="299"/>
      <c r="E295" s="398"/>
      <c r="F295" s="277"/>
      <c r="G295" s="277"/>
      <c r="H295" s="277"/>
    </row>
    <row r="296" spans="2:8" ht="16.5" x14ac:dyDescent="0.15">
      <c r="B296" s="410" t="s">
        <v>753</v>
      </c>
      <c r="C296" s="277"/>
      <c r="D296" s="299"/>
      <c r="E296" s="398"/>
      <c r="F296" s="277"/>
      <c r="G296" s="277"/>
      <c r="H296" s="277"/>
    </row>
    <row r="297" spans="2:8" ht="16.5" x14ac:dyDescent="0.15">
      <c r="B297" s="410" t="s">
        <v>754</v>
      </c>
      <c r="C297" s="277"/>
      <c r="D297" s="299"/>
      <c r="E297" s="398"/>
      <c r="F297" s="277"/>
      <c r="G297" s="277"/>
      <c r="H297" s="277"/>
    </row>
    <row r="298" spans="2:8" ht="16.5" x14ac:dyDescent="0.15">
      <c r="B298" s="410" t="s">
        <v>755</v>
      </c>
      <c r="C298" s="277"/>
      <c r="D298" s="299"/>
      <c r="E298" s="398"/>
      <c r="F298" s="277"/>
      <c r="G298" s="277"/>
      <c r="H298" s="277"/>
    </row>
    <row r="299" spans="2:8" ht="16.5" x14ac:dyDescent="0.15">
      <c r="E299" s="299" t="s">
        <v>756</v>
      </c>
      <c r="F299" s="427">
        <f>0.8/(1.6+(F55-F286)/(0.0033*F57))</f>
        <v>0.39101798492513351</v>
      </c>
    </row>
    <row r="300" spans="2:8" ht="16.5" x14ac:dyDescent="0.25">
      <c r="E300" s="428" t="s">
        <v>757</v>
      </c>
      <c r="F300" s="365">
        <v>0.52</v>
      </c>
    </row>
    <row r="301" spans="2:8" ht="16.5" x14ac:dyDescent="0.15">
      <c r="E301" s="299" t="s">
        <v>758</v>
      </c>
      <c r="F301" s="427">
        <f>MIN(F299:F300)</f>
        <v>0.39101798492513351</v>
      </c>
    </row>
    <row r="302" spans="2:8" ht="14.25" x14ac:dyDescent="0.15">
      <c r="E302" s="364" t="s">
        <v>759</v>
      </c>
    </row>
    <row r="303" spans="2:8" x14ac:dyDescent="0.15">
      <c r="F303" s="358">
        <f>F49*F168+F55*F158</f>
        <v>3718173.3552923258</v>
      </c>
      <c r="G303" t="s">
        <v>275</v>
      </c>
    </row>
    <row r="305" spans="1:9" x14ac:dyDescent="0.15">
      <c r="F305" s="358">
        <f>F41*F174*F175+F50*F172-(F287-F56)*F164</f>
        <v>5480484</v>
      </c>
      <c r="G305" t="s">
        <v>275</v>
      </c>
    </row>
    <row r="307" spans="1:9" x14ac:dyDescent="0.15">
      <c r="F307" s="358" t="str">
        <f>IF(F303&gt;F305,"第二类T形截面","第一类T行截面")</f>
        <v>第一类T行截面</v>
      </c>
      <c r="G307" s="313"/>
      <c r="H307" s="313" t="str">
        <f>IF(F307="第一类T行截面","x&lt;h'f","x&gt;h'f")</f>
        <v>x&lt;h'f</v>
      </c>
    </row>
    <row r="308" spans="1:9" ht="14.25" x14ac:dyDescent="0.15">
      <c r="C308">
        <f>F308/F196</f>
        <v>0.13751734635909707</v>
      </c>
      <c r="E308" s="364" t="s">
        <v>760</v>
      </c>
      <c r="F308" s="358">
        <f>IF(F307="第一类T行截面",((F49*F168-F50*F172+F55*F158+(F287-F56)*F164)/(F41*F174)),((F49*F168-F50*F172+F55*F158+(F287-F56)*F164-F41*(F174-F176)*F175)/(F41*F176)))</f>
        <v>217.96499397916884</v>
      </c>
      <c r="G308" t="s">
        <v>186</v>
      </c>
    </row>
    <row r="309" spans="1:9" ht="16.5" x14ac:dyDescent="0.25">
      <c r="E309" s="347" t="s">
        <v>761</v>
      </c>
      <c r="F309" s="358">
        <f>0.85*F301*F196</f>
        <v>526.79898019038615</v>
      </c>
      <c r="G309" t="s">
        <v>186</v>
      </c>
    </row>
    <row r="310" spans="1:9" x14ac:dyDescent="0.15">
      <c r="F310" s="358" t="str">
        <f>IF(F308&lt;F309,"x≤0.85ζbh0，满足条件","x&gt;0.85ζbh0，不满足条件")</f>
        <v>x≤0.85ζbh0，满足条件</v>
      </c>
      <c r="G310" s="313"/>
      <c r="H310" s="313"/>
    </row>
    <row r="311" spans="1:9" ht="18" x14ac:dyDescent="0.25">
      <c r="E311" s="347" t="s">
        <v>762</v>
      </c>
      <c r="F311" s="358">
        <f>2*F191</f>
        <v>100</v>
      </c>
      <c r="G311" t="s">
        <v>186</v>
      </c>
    </row>
    <row r="312" spans="1:9" x14ac:dyDescent="0.15">
      <c r="A312" s="429" t="s">
        <v>763</v>
      </c>
      <c r="B312" s="429"/>
      <c r="C312" s="429"/>
      <c r="D312" s="429"/>
      <c r="F312" s="358" t="str">
        <f>IF(F308&gt;=F311,"x≥2a′，满足条件","不满足条件")</f>
        <v>x≥2a′，满足条件</v>
      </c>
      <c r="G312" s="313"/>
    </row>
    <row r="313" spans="1:9" x14ac:dyDescent="0.15">
      <c r="A313" s="429"/>
      <c r="B313" s="429" t="s">
        <v>764</v>
      </c>
      <c r="C313" s="429" t="s">
        <v>765</v>
      </c>
      <c r="D313" s="429"/>
      <c r="E313" s="430" t="s">
        <v>318</v>
      </c>
      <c r="F313" s="431">
        <f>IF(F307="第一类T行截面",(F41*F174*F308*(F196-1/2*F308)+F50*F172*(F196-F191)-(F287-F56)*F164*(F196-F193)),(F41*F176*F308*(F196-1/2*F308)+F41*(F174-F176)*F175*(F196-1/2*F175)+F50*F172*(F196-F191)-(F287-F56)*F164*(F196-F193)))</f>
        <v>5505169339.046669</v>
      </c>
      <c r="G313" t="s">
        <v>319</v>
      </c>
    </row>
    <row r="314" spans="1:9" x14ac:dyDescent="0.15">
      <c r="E314" s="430" t="s">
        <v>766</v>
      </c>
      <c r="F314" s="365">
        <v>1.2</v>
      </c>
    </row>
    <row r="315" spans="1:9" x14ac:dyDescent="0.15">
      <c r="E315" s="430" t="s">
        <v>767</v>
      </c>
      <c r="F315" s="431">
        <f>F144*10^6</f>
        <v>2581521787.949049</v>
      </c>
      <c r="G315" t="s">
        <v>319</v>
      </c>
    </row>
    <row r="316" spans="1:9" x14ac:dyDescent="0.15">
      <c r="E316" s="430" t="s">
        <v>322</v>
      </c>
      <c r="F316" s="431">
        <f>F314*F315</f>
        <v>3097826145.5388589</v>
      </c>
      <c r="G316" t="s">
        <v>319</v>
      </c>
    </row>
    <row r="317" spans="1:9" x14ac:dyDescent="0.15">
      <c r="E317" s="430" t="s">
        <v>323</v>
      </c>
      <c r="F317" s="431" t="str">
        <f>IF(F316&lt;F313,"≤","&gt;")</f>
        <v>≤</v>
      </c>
      <c r="G317" s="411" t="s">
        <v>324</v>
      </c>
      <c r="H317" s="335" t="str">
        <f>IF(F317="≤","满足承载力设计要求","不满足承载力设计要求")</f>
        <v>满足承载力设计要求</v>
      </c>
      <c r="I317" s="335"/>
    </row>
    <row r="319" spans="1:9" s="192" customFormat="1" ht="14.25" x14ac:dyDescent="0.15">
      <c r="C319" s="359" t="s">
        <v>768</v>
      </c>
      <c r="F319" s="345"/>
    </row>
    <row r="320" spans="1:9" x14ac:dyDescent="0.15">
      <c r="E320" s="363" t="s">
        <v>766</v>
      </c>
      <c r="F320" s="365">
        <v>1.2</v>
      </c>
    </row>
    <row r="321" spans="2:8" x14ac:dyDescent="0.15">
      <c r="E321" s="363" t="s">
        <v>769</v>
      </c>
      <c r="F321" s="433">
        <f>F145*10^3</f>
        <v>517100.69265650102</v>
      </c>
      <c r="G321" t="s">
        <v>275</v>
      </c>
    </row>
    <row r="322" spans="2:8" x14ac:dyDescent="0.15">
      <c r="E322" s="363" t="s">
        <v>327</v>
      </c>
      <c r="F322" s="433">
        <f>F320*F321</f>
        <v>620520.8311878012</v>
      </c>
      <c r="G322" t="s">
        <v>275</v>
      </c>
    </row>
    <row r="323" spans="2:8" ht="16.5" x14ac:dyDescent="0.25">
      <c r="E323" s="363" t="s">
        <v>770</v>
      </c>
      <c r="F323" s="358">
        <f>F196-F175</f>
        <v>1255</v>
      </c>
      <c r="G323" t="s">
        <v>186</v>
      </c>
    </row>
    <row r="324" spans="2:8" x14ac:dyDescent="0.15">
      <c r="E324" s="363" t="s">
        <v>771</v>
      </c>
      <c r="F324" s="358">
        <f>F176</f>
        <v>440</v>
      </c>
      <c r="G324" t="s">
        <v>186</v>
      </c>
    </row>
    <row r="325" spans="2:8" ht="16.5" x14ac:dyDescent="0.25">
      <c r="E325" s="363" t="s">
        <v>772</v>
      </c>
      <c r="F325" s="358">
        <f>F323/F324</f>
        <v>2.8522727272727271</v>
      </c>
    </row>
    <row r="326" spans="2:8" ht="18" x14ac:dyDescent="0.15">
      <c r="D326" s="313">
        <f>IF(F325&lt;4,0.25,IF(F325&lt;6,((0.25-0.2)/(4-6)*(F325-4)+0.25),0.2))</f>
        <v>0.25</v>
      </c>
      <c r="E326" s="434" t="s">
        <v>773</v>
      </c>
      <c r="F326" s="358">
        <f>D326*F41*F176*F196</f>
        <v>2493205</v>
      </c>
      <c r="G326" t="s">
        <v>275</v>
      </c>
    </row>
    <row r="327" spans="2:8" x14ac:dyDescent="0.15">
      <c r="F327" s="435" t="str">
        <f>IF(F322&lt;F326,"截面尺寸满足要求","截面尺寸不满足要求")</f>
        <v>截面尺寸满足要求</v>
      </c>
      <c r="G327" s="335"/>
      <c r="H327" s="196"/>
    </row>
    <row r="328" spans="2:8" s="196" customFormat="1" x14ac:dyDescent="0.15">
      <c r="C328" s="436" t="s">
        <v>774</v>
      </c>
      <c r="D328" s="436"/>
      <c r="E328" s="436"/>
      <c r="F328" s="304"/>
    </row>
    <row r="329" spans="2:8" ht="16.5" x14ac:dyDescent="0.25">
      <c r="B329" s="294"/>
      <c r="C329" s="294"/>
      <c r="D329" s="294"/>
      <c r="E329" s="437" t="s">
        <v>775</v>
      </c>
      <c r="F329" s="358">
        <f>0.7*F42*F176*F196</f>
        <v>698097.39999999991</v>
      </c>
      <c r="G329" t="s">
        <v>275</v>
      </c>
    </row>
    <row r="330" spans="2:8" ht="14.25" x14ac:dyDescent="0.2">
      <c r="B330" s="289"/>
      <c r="C330" s="289"/>
      <c r="D330" s="289"/>
      <c r="E330" s="418" t="s">
        <v>776</v>
      </c>
      <c r="F330" s="358">
        <f>F286*F158+F287*F164-F265*F168-F266*F172</f>
        <v>1614026.0597439916</v>
      </c>
      <c r="G330" t="s">
        <v>275</v>
      </c>
    </row>
    <row r="331" spans="2:8" ht="16.5" x14ac:dyDescent="0.25">
      <c r="E331" t="s">
        <v>777</v>
      </c>
      <c r="F331" s="358">
        <f>0.3*F41*F204</f>
        <v>6124923.4373755679</v>
      </c>
      <c r="G331" t="s">
        <v>275</v>
      </c>
    </row>
    <row r="332" spans="2:8" ht="16.5" x14ac:dyDescent="0.25">
      <c r="E332" s="380" t="s">
        <v>778</v>
      </c>
      <c r="F332" s="358">
        <f>IF(F330&gt;F331,F331,F330)</f>
        <v>1614026.0597439916</v>
      </c>
      <c r="G332" t="s">
        <v>275</v>
      </c>
      <c r="H332" s="297" t="s">
        <v>779</v>
      </c>
    </row>
    <row r="333" spans="2:8" ht="16.5" x14ac:dyDescent="0.25">
      <c r="B333" s="294"/>
      <c r="C333" s="294"/>
      <c r="D333" s="294"/>
      <c r="E333" s="437" t="s">
        <v>780</v>
      </c>
      <c r="F333" s="358">
        <f>0.05*F332</f>
        <v>80701.302987199582</v>
      </c>
      <c r="G333" t="s">
        <v>275</v>
      </c>
      <c r="H333" s="196"/>
    </row>
    <row r="334" spans="2:8" ht="14.25" x14ac:dyDescent="0.15">
      <c r="E334" s="364" t="s">
        <v>339</v>
      </c>
      <c r="F334" s="358">
        <f>F329+F333</f>
        <v>778798.70298719953</v>
      </c>
      <c r="G334" t="s">
        <v>275</v>
      </c>
    </row>
    <row r="335" spans="2:8" x14ac:dyDescent="0.15">
      <c r="F335" s="435" t="str">
        <f>IF(F334&lt;F322,"需按计算配置箍筋","不需按计算配置箍筋")</f>
        <v>不需按计算配置箍筋</v>
      </c>
      <c r="G335" s="335"/>
    </row>
    <row r="336" spans="2:8" x14ac:dyDescent="0.15">
      <c r="F336" s="304"/>
      <c r="G336" s="196"/>
    </row>
    <row r="337" spans="1:10" x14ac:dyDescent="0.15">
      <c r="E337" s="330" t="s">
        <v>781</v>
      </c>
      <c r="F337" s="365"/>
      <c r="G337" s="330"/>
      <c r="H337" s="330"/>
      <c r="I337" s="330"/>
    </row>
    <row r="338" spans="1:10" s="196" customFormat="1" ht="14.25" x14ac:dyDescent="0.15">
      <c r="E338" s="364" t="s">
        <v>782</v>
      </c>
      <c r="F338" s="365">
        <v>8</v>
      </c>
      <c r="G338" s="196" t="s">
        <v>186</v>
      </c>
    </row>
    <row r="339" spans="1:10" ht="17.25" x14ac:dyDescent="0.25">
      <c r="E339" s="347" t="s">
        <v>783</v>
      </c>
      <c r="F339" s="358">
        <f>1/4*PI()*F338^2</f>
        <v>50.26548245743669</v>
      </c>
      <c r="G339" t="s">
        <v>676</v>
      </c>
    </row>
    <row r="340" spans="1:10" ht="16.5" x14ac:dyDescent="0.25">
      <c r="E340" s="347" t="s">
        <v>784</v>
      </c>
      <c r="F340" s="365">
        <v>2</v>
      </c>
    </row>
    <row r="341" spans="1:10" ht="17.25" x14ac:dyDescent="0.25">
      <c r="E341" s="380" t="s">
        <v>785</v>
      </c>
      <c r="F341" s="358">
        <f>F339*F340</f>
        <v>100.53096491487338</v>
      </c>
      <c r="G341" t="s">
        <v>676</v>
      </c>
    </row>
    <row r="342" spans="1:10" x14ac:dyDescent="0.15">
      <c r="E342" s="380" t="s">
        <v>786</v>
      </c>
      <c r="F342" s="365">
        <f>100</f>
        <v>100</v>
      </c>
      <c r="G342" t="s">
        <v>186</v>
      </c>
    </row>
    <row r="343" spans="1:10" ht="18.75" x14ac:dyDescent="0.3">
      <c r="E343" s="364" t="s">
        <v>787</v>
      </c>
      <c r="F343" s="358">
        <f>F53</f>
        <v>300</v>
      </c>
      <c r="G343" t="s">
        <v>242</v>
      </c>
    </row>
    <row r="344" spans="1:10" ht="16.5" x14ac:dyDescent="0.25">
      <c r="A344" s="294"/>
      <c r="B344" s="294"/>
      <c r="C344" s="294"/>
      <c r="D344" s="294"/>
      <c r="E344" s="437" t="s">
        <v>788</v>
      </c>
      <c r="F344" s="358">
        <f>1.25*F343*F341*F196/F342</f>
        <v>597530.92271277867</v>
      </c>
      <c r="G344" t="s">
        <v>275</v>
      </c>
    </row>
    <row r="345" spans="1:10" ht="18.75" x14ac:dyDescent="0.3">
      <c r="E345" s="364" t="s">
        <v>789</v>
      </c>
      <c r="F345" s="358">
        <f>F334+F344</f>
        <v>1376329.6256999783</v>
      </c>
      <c r="G345" t="s">
        <v>275</v>
      </c>
    </row>
    <row r="346" spans="1:10" x14ac:dyDescent="0.15">
      <c r="F346" s="435" t="str">
        <f>IF(F345&gt;F322,"满足斜截面承载力要求","不满足斜截面承载力要求")</f>
        <v>满足斜截面承载力要求</v>
      </c>
      <c r="G346" s="335"/>
    </row>
    <row r="347" spans="1:10" ht="16.5" x14ac:dyDescent="0.25">
      <c r="E347" s="380" t="s">
        <v>790</v>
      </c>
      <c r="F347" s="358">
        <f>F341/(F176*F342)</f>
        <v>2.2847946571562133E-3</v>
      </c>
      <c r="G347" s="313" t="str">
        <f>IF(F347&gt;H347,"&gt;","&lt;")</f>
        <v>&gt;</v>
      </c>
      <c r="H347" s="330">
        <f>0.15/100</f>
        <v>1.5E-3</v>
      </c>
      <c r="I347" s="330" t="s">
        <v>791</v>
      </c>
      <c r="J347" s="330"/>
    </row>
    <row r="348" spans="1:10" x14ac:dyDescent="0.15">
      <c r="F348" s="435" t="str">
        <f>IF(G347="&gt;","满足最小配筋率要求","不满足最小配筋率要求")</f>
        <v>满足最小配筋率要求</v>
      </c>
      <c r="G348" s="335"/>
    </row>
    <row r="350" spans="1:10" s="192" customFormat="1" ht="14.25" x14ac:dyDescent="0.15">
      <c r="C350" s="359" t="s">
        <v>792</v>
      </c>
      <c r="F350" s="345"/>
    </row>
    <row r="351" spans="1:10" ht="17.25" x14ac:dyDescent="0.25">
      <c r="B351" s="289"/>
      <c r="C351" s="289"/>
      <c r="D351" s="289"/>
      <c r="E351" s="347" t="s">
        <v>793</v>
      </c>
      <c r="F351" s="358">
        <f>F213</f>
        <v>525774442.73549223</v>
      </c>
      <c r="G351" t="s">
        <v>684</v>
      </c>
    </row>
    <row r="352" spans="1:10" ht="16.5" x14ac:dyDescent="0.25">
      <c r="E352" s="347" t="s">
        <v>794</v>
      </c>
      <c r="F352" s="358">
        <f>F142*10^6/F351</f>
        <v>4.481750779188717</v>
      </c>
      <c r="G352" t="s">
        <v>242</v>
      </c>
    </row>
    <row r="353" spans="2:13" ht="14.25" x14ac:dyDescent="0.2">
      <c r="E353" s="438" t="s">
        <v>795</v>
      </c>
      <c r="F353" s="358">
        <f>F280</f>
        <v>3.4978714040417391</v>
      </c>
      <c r="G353" t="s">
        <v>242</v>
      </c>
      <c r="I353">
        <f>F353/F352</f>
        <v>0.78046986019042341</v>
      </c>
    </row>
    <row r="354" spans="2:13" x14ac:dyDescent="0.15">
      <c r="E354" s="380" t="s">
        <v>355</v>
      </c>
      <c r="F354" s="358">
        <f>0.7+300/(C37*1000)</f>
        <v>0.87543859649122802</v>
      </c>
      <c r="G354" s="313" t="str">
        <f>IF(F354&gt;H354,"&gt;","&lt;")</f>
        <v>&lt;</v>
      </c>
      <c r="H354">
        <v>1.1000000000000001</v>
      </c>
      <c r="I354" t="s">
        <v>796</v>
      </c>
    </row>
    <row r="355" spans="2:13" x14ac:dyDescent="0.15">
      <c r="E355" t="s">
        <v>797</v>
      </c>
      <c r="F355" s="358">
        <f>IF(G354="&lt;",F354,H354)</f>
        <v>0.87543859649122802</v>
      </c>
    </row>
    <row r="356" spans="2:13" ht="15" x14ac:dyDescent="0.25">
      <c r="E356" s="347" t="s">
        <v>798</v>
      </c>
      <c r="F356" s="365">
        <v>1.35</v>
      </c>
    </row>
    <row r="357" spans="2:13" ht="15" x14ac:dyDescent="0.25">
      <c r="E357" s="347" t="s">
        <v>799</v>
      </c>
      <c r="F357" s="358">
        <f>F356*F355</f>
        <v>1.1818421052631578</v>
      </c>
      <c r="L357" s="297" t="s">
        <v>800</v>
      </c>
      <c r="M357" s="297"/>
    </row>
    <row r="358" spans="2:13" ht="16.5" x14ac:dyDescent="0.25">
      <c r="B358" s="196"/>
      <c r="E358" s="380" t="s">
        <v>801</v>
      </c>
      <c r="F358" s="365">
        <f>0.7</f>
        <v>0.7</v>
      </c>
    </row>
    <row r="359" spans="2:13" ht="16.5" x14ac:dyDescent="0.25">
      <c r="E359" s="347" t="s">
        <v>802</v>
      </c>
      <c r="F359" s="358">
        <f>F352-F353</f>
        <v>0.98387937514697787</v>
      </c>
      <c r="G359" t="s">
        <v>242</v>
      </c>
    </row>
    <row r="360" spans="2:13" ht="16.5" x14ac:dyDescent="0.25">
      <c r="E360" s="347" t="s">
        <v>803</v>
      </c>
      <c r="F360" s="358">
        <f>F358*F357*F43</f>
        <v>1.6628518421052629</v>
      </c>
      <c r="G360" t="s">
        <v>242</v>
      </c>
    </row>
    <row r="361" spans="2:13" ht="16.5" x14ac:dyDescent="0.25">
      <c r="E361" s="347" t="s">
        <v>804</v>
      </c>
      <c r="F361" s="358" t="str">
        <f>IF(F359&lt;F360,"≤","&gt;")</f>
        <v>≤</v>
      </c>
      <c r="G361" s="312" t="s">
        <v>805</v>
      </c>
    </row>
    <row r="362" spans="2:13" x14ac:dyDescent="0.15">
      <c r="F362" s="435" t="str">
        <f>IF(F361="≤","正截面抗裂满足要求","正截面抗裂不满足要求")</f>
        <v>正截面抗裂满足要求</v>
      </c>
      <c r="G362" s="335"/>
    </row>
    <row r="364" spans="2:13" s="192" customFormat="1" ht="14.25" x14ac:dyDescent="0.15">
      <c r="C364" s="359" t="s">
        <v>806</v>
      </c>
      <c r="F364" s="345"/>
    </row>
    <row r="365" spans="2:13" s="196" customFormat="1" ht="16.5" x14ac:dyDescent="0.25">
      <c r="C365" s="439"/>
      <c r="E365" s="347" t="s">
        <v>601</v>
      </c>
      <c r="F365" s="440">
        <f>F140</f>
        <v>19.349999999999998</v>
      </c>
      <c r="G365" t="s">
        <v>12</v>
      </c>
    </row>
    <row r="366" spans="2:13" ht="16.5" x14ac:dyDescent="0.25">
      <c r="E366" s="347" t="s">
        <v>807</v>
      </c>
      <c r="F366" s="365">
        <v>0</v>
      </c>
      <c r="G366" t="s">
        <v>12</v>
      </c>
      <c r="H366" s="297" t="s">
        <v>808</v>
      </c>
    </row>
    <row r="367" spans="2:13" ht="16.5" x14ac:dyDescent="0.25">
      <c r="E367" s="347" t="s">
        <v>594</v>
      </c>
      <c r="F367" s="433">
        <f>F133</f>
        <v>50.347188396152617</v>
      </c>
      <c r="G367" t="s">
        <v>108</v>
      </c>
    </row>
    <row r="368" spans="2:13" ht="17.25" x14ac:dyDescent="0.25">
      <c r="E368" s="347" t="s">
        <v>809</v>
      </c>
      <c r="F368" s="358">
        <f>0.5*F367*F365*F366-1/2*F367*F366^2</f>
        <v>0</v>
      </c>
      <c r="G368" s="277" t="s">
        <v>156</v>
      </c>
    </row>
    <row r="369" spans="4:16" ht="16.5" x14ac:dyDescent="0.25">
      <c r="E369" s="347" t="s">
        <v>810</v>
      </c>
      <c r="F369" s="358">
        <f>0.5*F367*F365-F367*F366</f>
        <v>487.1090477327765</v>
      </c>
      <c r="G369" s="277" t="s">
        <v>158</v>
      </c>
    </row>
    <row r="370" spans="4:16" x14ac:dyDescent="0.15">
      <c r="D370" s="441" t="s">
        <v>713</v>
      </c>
      <c r="E370" s="413" t="s">
        <v>811</v>
      </c>
      <c r="F370" s="365"/>
      <c r="G370" s="330"/>
    </row>
    <row r="371" spans="4:16" ht="16.5" x14ac:dyDescent="0.25">
      <c r="D371" s="277" t="s">
        <v>812</v>
      </c>
    </row>
    <row r="372" spans="4:16" ht="17.25" x14ac:dyDescent="0.25">
      <c r="E372" s="347" t="s">
        <v>813</v>
      </c>
      <c r="F372" s="358">
        <f>F174*F175*(F208-1/2*F175)+F176*(F208-F175)^2/2</f>
        <v>295200119.95527601</v>
      </c>
      <c r="G372" t="s">
        <v>684</v>
      </c>
    </row>
    <row r="373" spans="4:16" ht="16.5" x14ac:dyDescent="0.25">
      <c r="E373" s="347" t="s">
        <v>814</v>
      </c>
      <c r="F373" s="197">
        <f>F369*10^3*F372/(F212*F176)</f>
        <v>0.70468790871309561</v>
      </c>
      <c r="G373" t="s">
        <v>242</v>
      </c>
    </row>
    <row r="374" spans="4:16" ht="16.5" x14ac:dyDescent="0.25">
      <c r="E374" s="347" t="s">
        <v>815</v>
      </c>
      <c r="F374" s="365">
        <v>0</v>
      </c>
      <c r="G374" t="s">
        <v>186</v>
      </c>
      <c r="I374" s="297" t="s">
        <v>816</v>
      </c>
      <c r="J374" s="297"/>
      <c r="K374" s="297"/>
      <c r="L374" s="297"/>
      <c r="M374" s="297"/>
      <c r="N374" s="297"/>
      <c r="O374" s="297"/>
      <c r="P374" s="297"/>
    </row>
    <row r="375" spans="4:16" ht="16.5" x14ac:dyDescent="0.25">
      <c r="E375" s="347" t="s">
        <v>817</v>
      </c>
      <c r="F375" s="365">
        <f>F199-F208</f>
        <v>-6.8162263484542791</v>
      </c>
      <c r="G375" t="s">
        <v>186</v>
      </c>
      <c r="I375" s="297"/>
      <c r="J375" s="297"/>
      <c r="K375" s="297"/>
      <c r="L375" s="297"/>
      <c r="M375" s="297"/>
      <c r="N375" s="297"/>
      <c r="O375" s="297"/>
      <c r="P375" s="297"/>
    </row>
    <row r="376" spans="4:16" ht="14.25" x14ac:dyDescent="0.2">
      <c r="E376" s="418" t="s">
        <v>818</v>
      </c>
      <c r="F376" s="358">
        <f>F273/F188-F273*F276*F375/F203</f>
        <v>1.1274936544301823</v>
      </c>
      <c r="G376" t="s">
        <v>242</v>
      </c>
      <c r="H376" s="297" t="s">
        <v>819</v>
      </c>
      <c r="I376" s="297"/>
    </row>
    <row r="377" spans="4:16" ht="16.5" x14ac:dyDescent="0.25">
      <c r="E377" s="347" t="s">
        <v>820</v>
      </c>
      <c r="F377" s="420">
        <f>F376+F368*10^6*F374/F212</f>
        <v>1.1274936544301823</v>
      </c>
      <c r="G377" t="s">
        <v>242</v>
      </c>
      <c r="H377" s="297" t="s">
        <v>821</v>
      </c>
      <c r="I377" s="297"/>
      <c r="J377" s="297"/>
    </row>
    <row r="378" spans="4:16" ht="16.5" x14ac:dyDescent="0.25">
      <c r="E378" s="347" t="s">
        <v>822</v>
      </c>
      <c r="F378" s="365">
        <v>0</v>
      </c>
      <c r="G378" t="s">
        <v>242</v>
      </c>
    </row>
    <row r="379" spans="4:16" x14ac:dyDescent="0.15">
      <c r="F379" s="358">
        <f>(F377+F378)/2+((1/2*F377-1/2*F378)^2+F373^2)^0.5</f>
        <v>1.4661854865607102</v>
      </c>
      <c r="G379" t="s">
        <v>242</v>
      </c>
      <c r="H379" s="297" t="s">
        <v>823</v>
      </c>
    </row>
    <row r="380" spans="4:16" x14ac:dyDescent="0.15">
      <c r="F380" s="358">
        <f>(F377+F378)/2-((F377/2-F378/2)^2+F373^2)^0.5</f>
        <v>-0.33869183213052778</v>
      </c>
      <c r="G380" t="s">
        <v>242</v>
      </c>
      <c r="H380" s="297" t="s">
        <v>824</v>
      </c>
    </row>
    <row r="381" spans="4:16" ht="16.5" x14ac:dyDescent="0.25">
      <c r="E381" s="442" t="s">
        <v>825</v>
      </c>
      <c r="F381" s="358">
        <f>0.85*F43</f>
        <v>1.7084999999999997</v>
      </c>
      <c r="G381" t="s">
        <v>242</v>
      </c>
      <c r="H381" s="297" t="s">
        <v>826</v>
      </c>
    </row>
    <row r="382" spans="4:16" ht="16.5" x14ac:dyDescent="0.25">
      <c r="E382" s="347" t="s">
        <v>827</v>
      </c>
      <c r="F382" s="358">
        <f>0.6*F44</f>
        <v>12.06</v>
      </c>
      <c r="G382" t="s">
        <v>242</v>
      </c>
      <c r="I382" s="335" t="str">
        <f>IF(ABS(F379)&lt;F381,"主拉应力σtp≤0.85ftk,满足斜截面一级裂缝控制要求","主拉应力σtp&gt;0.85ftk,不满足斜截面一级裂缝控制要求")</f>
        <v>主拉应力σtp≤0.85ftk,满足斜截面一级裂缝控制要求</v>
      </c>
      <c r="J382" s="335"/>
      <c r="K382" s="335"/>
      <c r="L382" s="335"/>
      <c r="M382" s="335"/>
    </row>
    <row r="384" spans="4:16" x14ac:dyDescent="0.15">
      <c r="D384" s="441" t="s">
        <v>739</v>
      </c>
      <c r="E384" s="413" t="s">
        <v>828</v>
      </c>
      <c r="F384" s="365"/>
      <c r="G384" s="330"/>
    </row>
    <row r="385" spans="3:12" ht="16.5" x14ac:dyDescent="0.25">
      <c r="D385" s="277" t="s">
        <v>812</v>
      </c>
    </row>
    <row r="386" spans="3:12" ht="17.25" x14ac:dyDescent="0.25">
      <c r="E386" s="347" t="s">
        <v>829</v>
      </c>
      <c r="F386" s="358">
        <f>F174*F175*(F208-1/2*F175)</f>
        <v>240650441.79041022</v>
      </c>
      <c r="G386" t="s">
        <v>684</v>
      </c>
    </row>
    <row r="387" spans="3:12" ht="16.5" x14ac:dyDescent="0.25">
      <c r="E387" s="347" t="s">
        <v>814</v>
      </c>
      <c r="F387" s="358">
        <f>F369*10^3*F386/(F212*F176)</f>
        <v>0.57446947034391205</v>
      </c>
      <c r="G387" t="s">
        <v>242</v>
      </c>
    </row>
    <row r="388" spans="3:12" ht="16.5" x14ac:dyDescent="0.25">
      <c r="E388" s="347" t="s">
        <v>830</v>
      </c>
      <c r="F388" s="365">
        <f>F208-F175</f>
        <v>497.94887545567553</v>
      </c>
      <c r="G388" t="s">
        <v>186</v>
      </c>
    </row>
    <row r="389" spans="3:12" ht="16.5" x14ac:dyDescent="0.25">
      <c r="E389" s="347" t="s">
        <v>831</v>
      </c>
      <c r="F389" s="365">
        <f>F199-F175</f>
        <v>491.13264910722125</v>
      </c>
      <c r="G389" t="s">
        <v>186</v>
      </c>
    </row>
    <row r="390" spans="3:12" ht="14.25" x14ac:dyDescent="0.2">
      <c r="E390" s="418" t="s">
        <v>818</v>
      </c>
      <c r="F390" s="358">
        <f>F273/F188-F273*F276*F389/F203</f>
        <v>-0.21066793505137671</v>
      </c>
      <c r="H390" s="297" t="s">
        <v>832</v>
      </c>
    </row>
    <row r="391" spans="3:12" ht="16.5" x14ac:dyDescent="0.25">
      <c r="E391" s="347" t="s">
        <v>833</v>
      </c>
      <c r="F391" s="420">
        <f>-F390-F368*10^6*F388/F212</f>
        <v>0.21066793505137671</v>
      </c>
      <c r="H391" t="s">
        <v>747</v>
      </c>
      <c r="I391" s="297" t="s">
        <v>821</v>
      </c>
      <c r="J391" s="297"/>
      <c r="K391" s="297"/>
    </row>
    <row r="392" spans="3:12" ht="16.5" x14ac:dyDescent="0.25">
      <c r="E392" s="347" t="s">
        <v>822</v>
      </c>
      <c r="F392" s="365">
        <v>0</v>
      </c>
      <c r="G392" t="s">
        <v>242</v>
      </c>
    </row>
    <row r="393" spans="3:12" x14ac:dyDescent="0.15">
      <c r="F393" s="358">
        <f>(F391+F392)/2+((F391/2-F392/2)^2+F387^2)^0.5</f>
        <v>0.689380555626259</v>
      </c>
      <c r="G393" t="s">
        <v>242</v>
      </c>
    </row>
    <row r="394" spans="3:12" x14ac:dyDescent="0.15">
      <c r="F394" s="358">
        <f>(F391+F392)/2-((F391/2-F392/2)^2+F387^2)^0.5</f>
        <v>-0.47871262057488229</v>
      </c>
      <c r="G394" t="s">
        <v>242</v>
      </c>
    </row>
    <row r="395" spans="3:12" x14ac:dyDescent="0.15">
      <c r="F395" s="435" t="str">
        <f>IF(ABS(F393)&lt;F381,"主拉应力σtp≤0.85ftk,满足斜截面一级裂缝控制要求","主拉应力σtp&gt;0.85ftk,不满足斜截面一级裂缝控制要求")</f>
        <v>主拉应力σtp≤0.85ftk,满足斜截面一级裂缝控制要求</v>
      </c>
      <c r="G395" s="335"/>
      <c r="H395" s="335"/>
      <c r="I395" s="335"/>
      <c r="J395" s="335"/>
    </row>
    <row r="397" spans="3:12" s="192" customFormat="1" ht="14.25" x14ac:dyDescent="0.15">
      <c r="C397" s="359" t="s">
        <v>834</v>
      </c>
      <c r="F397" s="345"/>
    </row>
    <row r="398" spans="3:12" ht="16.5" x14ac:dyDescent="0.25">
      <c r="C398" s="277" t="s">
        <v>835</v>
      </c>
    </row>
    <row r="399" spans="3:12" ht="17.25" x14ac:dyDescent="0.25">
      <c r="E399" s="347" t="s">
        <v>836</v>
      </c>
      <c r="F399" s="358">
        <f>0.85*F45*F212</f>
        <v>1.1825878431023414E+16</v>
      </c>
      <c r="G399" s="277" t="s">
        <v>837</v>
      </c>
      <c r="I399" s="297" t="s">
        <v>838</v>
      </c>
      <c r="J399" s="297"/>
      <c r="K399" s="297"/>
      <c r="L399" s="297"/>
    </row>
    <row r="400" spans="3:12" ht="17.25" x14ac:dyDescent="0.3">
      <c r="C400" s="277" t="s">
        <v>839</v>
      </c>
    </row>
    <row r="401" spans="3:12" ht="17.25" x14ac:dyDescent="0.25">
      <c r="E401" s="347" t="s">
        <v>840</v>
      </c>
      <c r="F401" s="358">
        <f>0.65*F399</f>
        <v>7686820980165219</v>
      </c>
      <c r="G401" s="277" t="s">
        <v>837</v>
      </c>
    </row>
    <row r="402" spans="3:12" x14ac:dyDescent="0.15">
      <c r="D402" t="s">
        <v>841</v>
      </c>
    </row>
    <row r="403" spans="3:12" ht="14.25" x14ac:dyDescent="0.2">
      <c r="E403" s="443" t="s">
        <v>842</v>
      </c>
      <c r="F403" s="358">
        <f>5/48*F142*10^6*F140^2*10^6/F401</f>
        <v>11.956143345101706</v>
      </c>
      <c r="G403" t="s">
        <v>186</v>
      </c>
      <c r="H403" s="297" t="s">
        <v>843</v>
      </c>
      <c r="I403" s="297"/>
    </row>
    <row r="404" spans="3:12" ht="17.25" x14ac:dyDescent="0.25">
      <c r="E404" s="347" t="s">
        <v>844</v>
      </c>
      <c r="F404" s="358">
        <f>F273*F276*F140^2*10^6/(8*F45*F212)</f>
        <v>4.1259107905326013</v>
      </c>
      <c r="G404" t="s">
        <v>186</v>
      </c>
    </row>
    <row r="405" spans="3:12" ht="16.5" x14ac:dyDescent="0.25">
      <c r="E405" s="444" t="s">
        <v>845</v>
      </c>
      <c r="F405" s="358">
        <f>F403-2*F404</f>
        <v>3.7043217640365036</v>
      </c>
      <c r="G405" t="s">
        <v>186</v>
      </c>
    </row>
    <row r="406" spans="3:12" ht="16.5" x14ac:dyDescent="0.25">
      <c r="E406" s="347" t="s">
        <v>846</v>
      </c>
      <c r="F406" s="358">
        <f>F140*10^3/600</f>
        <v>32.249999999999993</v>
      </c>
      <c r="G406" t="s">
        <v>186</v>
      </c>
      <c r="H406" s="297" t="s">
        <v>847</v>
      </c>
      <c r="I406" s="297"/>
    </row>
    <row r="407" spans="3:12" x14ac:dyDescent="0.15">
      <c r="F407" s="435" t="str">
        <f>IF(F405&lt;F406,"挠度满足要求","挠度不满足要求")</f>
        <v>挠度满足要求</v>
      </c>
    </row>
    <row r="409" spans="3:12" s="192" customFormat="1" ht="14.25" x14ac:dyDescent="0.15">
      <c r="C409" s="359" t="s">
        <v>848</v>
      </c>
      <c r="F409" s="345"/>
    </row>
    <row r="410" spans="3:12" x14ac:dyDescent="0.15">
      <c r="E410" s="445" t="s">
        <v>849</v>
      </c>
      <c r="F410" s="358">
        <f>F242</f>
        <v>2417947.4233157896</v>
      </c>
      <c r="G410" t="s">
        <v>275</v>
      </c>
    </row>
    <row r="411" spans="3:12" ht="16.5" x14ac:dyDescent="0.25">
      <c r="E411" s="444" t="s">
        <v>850</v>
      </c>
      <c r="F411" s="358">
        <f>F410/F188+F410*F249*F200/F203</f>
        <v>5.3060080853573321</v>
      </c>
      <c r="G411" t="s">
        <v>242</v>
      </c>
      <c r="K411" s="297" t="s">
        <v>747</v>
      </c>
    </row>
    <row r="412" spans="3:12" ht="16.5" x14ac:dyDescent="0.25">
      <c r="E412" s="444" t="s">
        <v>851</v>
      </c>
      <c r="F412" s="358">
        <f>F410/F188-F410*F249*F199/F203</f>
        <v>-1.6142509177460715</v>
      </c>
      <c r="G412" t="s">
        <v>242</v>
      </c>
      <c r="K412" s="297" t="s">
        <v>832</v>
      </c>
    </row>
    <row r="413" spans="3:12" x14ac:dyDescent="0.15">
      <c r="E413" s="441" t="s">
        <v>713</v>
      </c>
      <c r="F413" s="330" t="s">
        <v>852</v>
      </c>
    </row>
    <row r="414" spans="3:12" ht="16.5" x14ac:dyDescent="0.25">
      <c r="E414" s="380" t="s">
        <v>853</v>
      </c>
      <c r="F414" s="358">
        <f>F411</f>
        <v>5.3060080853573321</v>
      </c>
      <c r="G414" t="s">
        <v>242</v>
      </c>
    </row>
    <row r="415" spans="3:12" ht="16.5" x14ac:dyDescent="0.25">
      <c r="E415" s="380" t="s">
        <v>854</v>
      </c>
      <c r="F415" s="358">
        <f>F412</f>
        <v>-1.6142509177460715</v>
      </c>
      <c r="G415" t="s">
        <v>242</v>
      </c>
    </row>
    <row r="416" spans="3:12" ht="18" x14ac:dyDescent="0.25">
      <c r="E416" s="442" t="s">
        <v>855</v>
      </c>
      <c r="F416" s="365">
        <f>F47</f>
        <v>1.66</v>
      </c>
      <c r="G416" t="s">
        <v>242</v>
      </c>
      <c r="H416" s="297" t="s">
        <v>856</v>
      </c>
      <c r="J416" s="297" t="s">
        <v>857</v>
      </c>
      <c r="K416" s="297"/>
      <c r="L416" s="297"/>
    </row>
    <row r="417" spans="3:12" ht="18.75" x14ac:dyDescent="0.3">
      <c r="E417" s="442" t="s">
        <v>858</v>
      </c>
      <c r="F417" s="365">
        <f>0.8*F46</f>
        <v>12.060000000000002</v>
      </c>
      <c r="G417" t="s">
        <v>242</v>
      </c>
    </row>
    <row r="418" spans="3:12" x14ac:dyDescent="0.15">
      <c r="F418" s="435" t="str">
        <f>IF((ABS(F415)&gt;F416)+(F414&gt;F417),"施工阶段不满足要求","施工阶段满足要求")</f>
        <v>施工阶段满足要求</v>
      </c>
      <c r="G418" s="335"/>
    </row>
    <row r="420" spans="3:12" x14ac:dyDescent="0.15">
      <c r="E420" s="441" t="s">
        <v>739</v>
      </c>
      <c r="F420" s="330" t="s">
        <v>859</v>
      </c>
      <c r="G420" s="446"/>
    </row>
    <row r="421" spans="3:12" ht="16.5" x14ac:dyDescent="0.25">
      <c r="E421" s="380" t="s">
        <v>860</v>
      </c>
      <c r="F421" s="433">
        <f>F88</f>
        <v>34.858233251479717</v>
      </c>
      <c r="G421" t="s">
        <v>108</v>
      </c>
    </row>
    <row r="422" spans="3:12" x14ac:dyDescent="0.15">
      <c r="E422" s="380" t="s">
        <v>861</v>
      </c>
      <c r="F422" s="365">
        <v>1.5</v>
      </c>
    </row>
    <row r="423" spans="3:12" ht="16.5" x14ac:dyDescent="0.25">
      <c r="E423" s="380" t="s">
        <v>862</v>
      </c>
      <c r="F423" s="358">
        <f>0.1*D15</f>
        <v>1.9950000000000001</v>
      </c>
      <c r="G423" t="s">
        <v>12</v>
      </c>
    </row>
    <row r="424" spans="3:12" ht="16.5" x14ac:dyDescent="0.25">
      <c r="E424" s="380" t="s">
        <v>863</v>
      </c>
      <c r="F424" s="358">
        <f>F422*1/2*F421*F423^2</f>
        <v>104.05247984754043</v>
      </c>
      <c r="G424" t="s">
        <v>156</v>
      </c>
    </row>
    <row r="425" spans="3:12" ht="16.5" x14ac:dyDescent="0.25">
      <c r="E425" s="380" t="s">
        <v>864</v>
      </c>
      <c r="F425" s="365">
        <v>0</v>
      </c>
      <c r="G425" t="s">
        <v>158</v>
      </c>
    </row>
    <row r="426" spans="3:12" ht="16.5" x14ac:dyDescent="0.25">
      <c r="E426" s="380" t="s">
        <v>853</v>
      </c>
      <c r="F426" s="358">
        <f>F411+F425*10^3/F204-F424*10^6/F213</f>
        <v>5.1081048184998226</v>
      </c>
      <c r="G426" t="s">
        <v>242</v>
      </c>
    </row>
    <row r="427" spans="3:12" ht="16.5" x14ac:dyDescent="0.25">
      <c r="E427" s="380" t="s">
        <v>854</v>
      </c>
      <c r="F427" s="358">
        <f>F415+F425*10^3/F204+F424*10^6/F214</f>
        <v>-1.4284864164782707</v>
      </c>
      <c r="G427" t="s">
        <v>242</v>
      </c>
    </row>
    <row r="428" spans="3:12" x14ac:dyDescent="0.15">
      <c r="F428" s="435" t="str">
        <f>IF(ABS(F427&gt;F416)+(F426&gt;F417),"施工阶段不满足要求","施工阶段满足要求")</f>
        <v>施工阶段满足要求</v>
      </c>
      <c r="G428" s="335"/>
    </row>
    <row r="430" spans="3:12" s="192" customFormat="1" ht="14.25" x14ac:dyDescent="0.15">
      <c r="C430" s="359" t="s">
        <v>865</v>
      </c>
      <c r="F430" s="345"/>
    </row>
    <row r="431" spans="3:12" x14ac:dyDescent="0.15">
      <c r="C431" s="346"/>
      <c r="D431" s="294"/>
      <c r="E431" s="347" t="s">
        <v>866</v>
      </c>
      <c r="F431" s="447">
        <v>1.2</v>
      </c>
      <c r="H431" s="341" t="s">
        <v>867</v>
      </c>
      <c r="J431" s="447">
        <v>1.2</v>
      </c>
      <c r="L431" t="s">
        <v>868</v>
      </c>
    </row>
    <row r="432" spans="3:12" x14ac:dyDescent="0.15">
      <c r="E432" s="249" t="s">
        <v>869</v>
      </c>
      <c r="F432" s="358">
        <f>1.2*F218*F156</f>
        <v>1531151.9999999998</v>
      </c>
      <c r="G432" t="s">
        <v>275</v>
      </c>
      <c r="J432" s="358">
        <v>656208</v>
      </c>
      <c r="K432" t="s">
        <v>275</v>
      </c>
    </row>
    <row r="433" spans="5:11" x14ac:dyDescent="0.15">
      <c r="E433" s="249" t="s">
        <v>870</v>
      </c>
      <c r="J433" s="197"/>
    </row>
    <row r="434" spans="5:11" ht="16.5" x14ac:dyDescent="0.25">
      <c r="E434" s="347" t="s">
        <v>871</v>
      </c>
      <c r="F434" s="365">
        <v>0.16500000000000001</v>
      </c>
      <c r="G434" t="s">
        <v>12</v>
      </c>
      <c r="J434" s="365">
        <v>0.18</v>
      </c>
      <c r="K434" t="s">
        <v>12</v>
      </c>
    </row>
    <row r="435" spans="5:11" ht="16.5" x14ac:dyDescent="0.25">
      <c r="E435" s="347" t="s">
        <v>872</v>
      </c>
      <c r="F435" s="365">
        <v>0.16500000000000001</v>
      </c>
      <c r="G435" t="s">
        <v>12</v>
      </c>
      <c r="J435" s="365">
        <v>7.0000000000000007E-2</v>
      </c>
      <c r="K435" t="s">
        <v>12</v>
      </c>
    </row>
    <row r="436" spans="5:11" ht="17.25" x14ac:dyDescent="0.25">
      <c r="E436" s="347" t="s">
        <v>873</v>
      </c>
      <c r="F436" s="358">
        <f>F435*F434</f>
        <v>2.7225000000000003E-2</v>
      </c>
      <c r="G436" t="s">
        <v>574</v>
      </c>
      <c r="J436" s="358">
        <f>J435*J434</f>
        <v>1.26E-2</v>
      </c>
      <c r="K436" t="s">
        <v>574</v>
      </c>
    </row>
    <row r="437" spans="5:11" ht="17.25" x14ac:dyDescent="0.25">
      <c r="E437" s="347" t="s">
        <v>874</v>
      </c>
      <c r="F437" s="365">
        <f>(F434+2*F435)*3*F435</f>
        <v>0.24502499999999999</v>
      </c>
      <c r="G437" t="s">
        <v>574</v>
      </c>
      <c r="H437" s="297" t="s">
        <v>875</v>
      </c>
      <c r="I437" s="297"/>
      <c r="J437" s="365">
        <f>(J434+2*J435)*3*J435</f>
        <v>6.720000000000001E-2</v>
      </c>
      <c r="K437" t="s">
        <v>574</v>
      </c>
    </row>
    <row r="438" spans="5:11" ht="17.25" x14ac:dyDescent="0.25">
      <c r="E438" s="347" t="s">
        <v>876</v>
      </c>
      <c r="F438" s="358">
        <f>(F437/F436)^0.5</f>
        <v>2.9999999999999996</v>
      </c>
      <c r="J438" s="358">
        <f>(J437/J436)^0.5</f>
        <v>2.3094010767585034</v>
      </c>
    </row>
    <row r="439" spans="5:11" x14ac:dyDescent="0.15">
      <c r="E439" s="347" t="s">
        <v>877</v>
      </c>
      <c r="F439" s="365">
        <v>19.100000000000001</v>
      </c>
      <c r="G439" t="s">
        <v>242</v>
      </c>
      <c r="J439" s="365">
        <v>19.100000000000001</v>
      </c>
      <c r="K439" t="s">
        <v>242</v>
      </c>
    </row>
    <row r="440" spans="5:11" ht="16.5" x14ac:dyDescent="0.25">
      <c r="E440" s="347" t="s">
        <v>878</v>
      </c>
      <c r="F440" s="365">
        <v>210</v>
      </c>
      <c r="G440" t="s">
        <v>242</v>
      </c>
      <c r="H440" s="297" t="s">
        <v>879</v>
      </c>
      <c r="I440" s="297"/>
      <c r="J440" s="365">
        <v>210</v>
      </c>
      <c r="K440" t="s">
        <v>242</v>
      </c>
    </row>
    <row r="441" spans="5:11" x14ac:dyDescent="0.15">
      <c r="E441" s="347" t="s">
        <v>880</v>
      </c>
      <c r="F441" s="368">
        <v>1.2E-2</v>
      </c>
      <c r="G441" t="s">
        <v>12</v>
      </c>
      <c r="J441" s="368">
        <v>1.2E-2</v>
      </c>
      <c r="K441" t="s">
        <v>12</v>
      </c>
    </row>
    <row r="442" spans="5:11" ht="17.25" x14ac:dyDescent="0.25">
      <c r="E442" s="347" t="s">
        <v>881</v>
      </c>
      <c r="F442" s="358">
        <f>1/4*PI()*F441^2</f>
        <v>1.1309733552923255E-4</v>
      </c>
      <c r="G442" t="s">
        <v>574</v>
      </c>
      <c r="J442" s="358">
        <f>1/4*PI()*J441^2</f>
        <v>1.1309733552923255E-4</v>
      </c>
      <c r="K442" t="s">
        <v>574</v>
      </c>
    </row>
    <row r="443" spans="5:11" ht="16.5" x14ac:dyDescent="0.25">
      <c r="E443" s="347" t="s">
        <v>882</v>
      </c>
      <c r="F443" s="365">
        <v>0.13500000000000001</v>
      </c>
      <c r="G443" t="s">
        <v>12</v>
      </c>
      <c r="J443" s="365">
        <v>0.13500000000000001</v>
      </c>
      <c r="K443" t="s">
        <v>12</v>
      </c>
    </row>
    <row r="444" spans="5:11" ht="17.25" x14ac:dyDescent="0.25">
      <c r="E444" s="347" t="s">
        <v>883</v>
      </c>
      <c r="F444" s="358">
        <f>1/4*PI()*F443^2</f>
        <v>1.4313881527918496E-2</v>
      </c>
      <c r="G444" t="s">
        <v>574</v>
      </c>
      <c r="J444" s="358">
        <f>1/4*PI()*J443^2</f>
        <v>1.4313881527918496E-2</v>
      </c>
      <c r="K444" t="s">
        <v>574</v>
      </c>
    </row>
    <row r="445" spans="5:11" x14ac:dyDescent="0.15">
      <c r="E445" s="347" t="s">
        <v>884</v>
      </c>
      <c r="F445" s="365">
        <v>0.05</v>
      </c>
      <c r="G445" t="s">
        <v>12</v>
      </c>
      <c r="J445" s="365">
        <v>0.05</v>
      </c>
      <c r="K445" t="s">
        <v>12</v>
      </c>
    </row>
    <row r="446" spans="5:11" ht="16.5" x14ac:dyDescent="0.25">
      <c r="E446" s="347" t="s">
        <v>885</v>
      </c>
      <c r="F446" s="358">
        <f>4*F442/(F443*F445)</f>
        <v>6.7020643276582248E-2</v>
      </c>
      <c r="H446" s="330" t="s">
        <v>886</v>
      </c>
      <c r="J446" s="358">
        <f>4*J442/(J443*J445)</f>
        <v>6.7020643276582248E-2</v>
      </c>
    </row>
    <row r="447" spans="5:11" ht="16.5" x14ac:dyDescent="0.25">
      <c r="E447" s="347" t="s">
        <v>887</v>
      </c>
      <c r="F447" s="304"/>
      <c r="J447" s="304"/>
    </row>
    <row r="448" spans="5:11" ht="17.25" x14ac:dyDescent="0.25">
      <c r="E448" s="347" t="s">
        <v>888</v>
      </c>
      <c r="F448" s="358">
        <f>(F444/F436)^0.5</f>
        <v>0.72509475718862015</v>
      </c>
      <c r="G448" t="s">
        <v>275</v>
      </c>
      <c r="J448" s="358">
        <f>(J444/J436)^0.5</f>
        <v>1.0658434892073014</v>
      </c>
      <c r="K448" t="s">
        <v>275</v>
      </c>
    </row>
    <row r="449" spans="5:11" ht="16.5" x14ac:dyDescent="0.25">
      <c r="E449" s="347" t="s">
        <v>889</v>
      </c>
      <c r="F449" s="358">
        <f>(F438*F439+2*F446*F448*F440)*F436*10^6</f>
        <v>2115667.0874598296</v>
      </c>
      <c r="G449" t="s">
        <v>275</v>
      </c>
      <c r="J449" s="358">
        <f>(J438*J439+2*J446*J448*J440)*J436*10^6</f>
        <v>933806.63128027145</v>
      </c>
      <c r="K449" t="s">
        <v>275</v>
      </c>
    </row>
    <row r="450" spans="5:11" x14ac:dyDescent="0.15">
      <c r="E450" s="347" t="s">
        <v>445</v>
      </c>
      <c r="F450" s="358">
        <f>F431*F432</f>
        <v>1837382.3999999997</v>
      </c>
      <c r="G450" t="s">
        <v>275</v>
      </c>
      <c r="J450" s="358">
        <f>J431*J432</f>
        <v>787449.6</v>
      </c>
      <c r="K450" t="s">
        <v>275</v>
      </c>
    </row>
    <row r="451" spans="5:11" x14ac:dyDescent="0.15">
      <c r="E451" s="347"/>
      <c r="F451" s="435" t="str">
        <f>IF(F450&lt;F449,"满足局部受压承载力要求","不满足局部受压承载力要求")</f>
        <v>满足局部受压承载力要求</v>
      </c>
      <c r="G451" s="335"/>
      <c r="J451" s="435" t="str">
        <f>IF(J450&lt;J449,"满足局部受压承载力要求","不满足局部受压承载力要求")</f>
        <v>满足局部受压承载力要求</v>
      </c>
      <c r="K451" s="335"/>
    </row>
    <row r="452" spans="5:11" x14ac:dyDescent="0.15">
      <c r="E452" s="347"/>
      <c r="F452" s="304"/>
      <c r="G452" s="196"/>
      <c r="J452" s="304"/>
      <c r="K452" s="196"/>
    </row>
    <row r="453" spans="5:11" ht="16.5" x14ac:dyDescent="0.25">
      <c r="E453" s="347" t="s">
        <v>890</v>
      </c>
      <c r="F453" s="358">
        <f>1.5*F438*F439*F436*10^6</f>
        <v>2339988.75</v>
      </c>
      <c r="G453" t="s">
        <v>275</v>
      </c>
      <c r="J453" s="358">
        <f>1.5*J438*J439*J436*10^6</f>
        <v>833670.69469905226</v>
      </c>
      <c r="K453" t="s">
        <v>275</v>
      </c>
    </row>
    <row r="454" spans="5:11" x14ac:dyDescent="0.15">
      <c r="E454" s="347"/>
      <c r="F454" s="435" t="str">
        <f>IF(F450&lt;F453,"局部受压区截面尺寸符合要求","局部受压区截面尺寸不符合要求")</f>
        <v>局部受压区截面尺寸符合要求</v>
      </c>
      <c r="G454" s="335"/>
      <c r="H454" s="335"/>
      <c r="J454" s="435" t="str">
        <f>IF(J450&lt;J453,"局部受压区截面尺寸符合要求","局部受压区截面尺寸不符合要求")</f>
        <v>局部受压区截面尺寸符合要求</v>
      </c>
      <c r="K454" s="335"/>
    </row>
    <row r="455" spans="5:11" x14ac:dyDescent="0.15">
      <c r="E455" s="347"/>
      <c r="F455" s="304"/>
    </row>
  </sheetData>
  <mergeCells count="7">
    <mergeCell ref="E17:F17"/>
    <mergeCell ref="D126:E126"/>
    <mergeCell ref="B217:I217"/>
    <mergeCell ref="K230:L230"/>
    <mergeCell ref="A278:G278"/>
    <mergeCell ref="L46:M48"/>
    <mergeCell ref="H38:I45"/>
  </mergeCells>
  <phoneticPr fontId="143" type="noConversion"/>
  <pageMargins left="0.70763888888888904" right="0.70763888888888904" top="0.74791666666666701" bottom="0.74791666666666701" header="0.31388888888888899" footer="0.31388888888888899"/>
  <pageSetup paperSize="9" scale="67" fitToHeight="20" orientation="landscape"/>
  <drawing r:id="rId1"/>
  <legacyDrawing r:id="rId2"/>
  <oleObjects>
    <mc:AlternateContent xmlns:mc="http://schemas.openxmlformats.org/markup-compatibility/2006">
      <mc:Choice Requires="x14">
        <oleObject progId="Equation.3" shapeId="6145" r:id="rId3">
          <objectPr defaultSize="0" altText="" r:id="rId4">
            <anchor moveWithCells="1" sizeWithCells="1">
              <from>
                <xdr:col>7</xdr:col>
                <xdr:colOff>47625</xdr:colOff>
                <xdr:row>78</xdr:row>
                <xdr:rowOff>85725</xdr:rowOff>
              </from>
              <to>
                <xdr:col>9</xdr:col>
                <xdr:colOff>400050</xdr:colOff>
                <xdr:row>79</xdr:row>
                <xdr:rowOff>142875</xdr:rowOff>
              </to>
            </anchor>
          </objectPr>
        </oleObject>
      </mc:Choice>
      <mc:Fallback>
        <oleObject progId="Equation.3" shapeId="6145" r:id="rId3"/>
      </mc:Fallback>
    </mc:AlternateContent>
    <mc:AlternateContent xmlns:mc="http://schemas.openxmlformats.org/markup-compatibility/2006">
      <mc:Choice Requires="x14">
        <oleObject progId="Equation.3" shapeId="6146" r:id="rId5">
          <objectPr defaultSize="0" altText="" r:id="rId6">
            <anchor moveWithCells="1" sizeWithCells="1">
              <from>
                <xdr:col>6</xdr:col>
                <xdr:colOff>657225</xdr:colOff>
                <xdr:row>80</xdr:row>
                <xdr:rowOff>57150</xdr:rowOff>
              </from>
              <to>
                <xdr:col>10</xdr:col>
                <xdr:colOff>190500</xdr:colOff>
                <xdr:row>82</xdr:row>
                <xdr:rowOff>142875</xdr:rowOff>
              </to>
            </anchor>
          </objectPr>
        </oleObject>
      </mc:Choice>
      <mc:Fallback>
        <oleObject progId="Equation.3" shapeId="6146" r:id="rId5"/>
      </mc:Fallback>
    </mc:AlternateContent>
    <mc:AlternateContent xmlns:mc="http://schemas.openxmlformats.org/markup-compatibility/2006">
      <mc:Choice Requires="x14">
        <oleObject progId="Equation.3" shapeId="6147" r:id="rId7">
          <objectPr defaultSize="0" altText="" r:id="rId8">
            <anchor moveWithCells="1" sizeWithCells="1">
              <from>
                <xdr:col>7</xdr:col>
                <xdr:colOff>47625</xdr:colOff>
                <xdr:row>196</xdr:row>
                <xdr:rowOff>57150</xdr:rowOff>
              </from>
              <to>
                <xdr:col>12</xdr:col>
                <xdr:colOff>476250</xdr:colOff>
                <xdr:row>198</xdr:row>
                <xdr:rowOff>200025</xdr:rowOff>
              </to>
            </anchor>
          </objectPr>
        </oleObject>
      </mc:Choice>
      <mc:Fallback>
        <oleObject progId="Equation.3" shapeId="6147" r:id="rId7"/>
      </mc:Fallback>
    </mc:AlternateContent>
    <mc:AlternateContent xmlns:mc="http://schemas.openxmlformats.org/markup-compatibility/2006">
      <mc:Choice Requires="x14">
        <oleObject progId="Equation.3" shapeId="6148" r:id="rId9">
          <objectPr defaultSize="0" altText="" r:id="rId10">
            <anchor moveWithCells="1" sizeWithCells="1">
              <from>
                <xdr:col>7</xdr:col>
                <xdr:colOff>47625</xdr:colOff>
                <xdr:row>201</xdr:row>
                <xdr:rowOff>114300</xdr:rowOff>
              </from>
              <to>
                <xdr:col>14</xdr:col>
                <xdr:colOff>247650</xdr:colOff>
                <xdr:row>202</xdr:row>
                <xdr:rowOff>190500</xdr:rowOff>
              </to>
            </anchor>
          </objectPr>
        </oleObject>
      </mc:Choice>
      <mc:Fallback>
        <oleObject progId="Equation.3" shapeId="6148" r:id="rId9"/>
      </mc:Fallback>
    </mc:AlternateContent>
    <mc:AlternateContent xmlns:mc="http://schemas.openxmlformats.org/markup-compatibility/2006">
      <mc:Choice Requires="x14">
        <oleObject progId="Equation.3" shapeId="6149" r:id="rId11">
          <objectPr defaultSize="0" altText="" r:id="rId12">
            <anchor moveWithCells="1" sizeWithCells="1">
              <from>
                <xdr:col>7</xdr:col>
                <xdr:colOff>9525</xdr:colOff>
                <xdr:row>210</xdr:row>
                <xdr:rowOff>114300</xdr:rowOff>
              </from>
              <to>
                <xdr:col>11</xdr:col>
                <xdr:colOff>495300</xdr:colOff>
                <xdr:row>211</xdr:row>
                <xdr:rowOff>190500</xdr:rowOff>
              </to>
            </anchor>
          </objectPr>
        </oleObject>
      </mc:Choice>
      <mc:Fallback>
        <oleObject progId="Equation.3" shapeId="6149" r:id="rId11"/>
      </mc:Fallback>
    </mc:AlternateContent>
    <mc:AlternateContent xmlns:mc="http://schemas.openxmlformats.org/markup-compatibility/2006">
      <mc:Choice Requires="x14">
        <oleObject progId="Equation.3" shapeId="6150" r:id="rId13">
          <objectPr defaultSize="0" altText="" r:id="rId14">
            <anchor moveWithCells="1">
              <from>
                <xdr:col>7</xdr:col>
                <xdr:colOff>161925</xdr:colOff>
                <xdr:row>224</xdr:row>
                <xdr:rowOff>104775</xdr:rowOff>
              </from>
              <to>
                <xdr:col>7</xdr:col>
                <xdr:colOff>819150</xdr:colOff>
                <xdr:row>226</xdr:row>
                <xdr:rowOff>47625</xdr:rowOff>
              </to>
            </anchor>
          </objectPr>
        </oleObject>
      </mc:Choice>
      <mc:Fallback>
        <oleObject progId="Equation.3" shapeId="6150" r:id="rId13"/>
      </mc:Fallback>
    </mc:AlternateContent>
    <mc:AlternateContent xmlns:mc="http://schemas.openxmlformats.org/markup-compatibility/2006">
      <mc:Choice Requires="x14">
        <oleObject progId="Equation.3" shapeId="6151" r:id="rId15">
          <objectPr defaultSize="0" altText="" r:id="rId16">
            <anchor moveWithCells="1">
              <from>
                <xdr:col>12</xdr:col>
                <xdr:colOff>57150</xdr:colOff>
                <xdr:row>229</xdr:row>
                <xdr:rowOff>19050</xdr:rowOff>
              </from>
              <to>
                <xdr:col>13</xdr:col>
                <xdr:colOff>219075</xdr:colOff>
                <xdr:row>230</xdr:row>
                <xdr:rowOff>28575</xdr:rowOff>
              </to>
            </anchor>
          </objectPr>
        </oleObject>
      </mc:Choice>
      <mc:Fallback>
        <oleObject progId="Equation.3" shapeId="6151" r:id="rId15"/>
      </mc:Fallback>
    </mc:AlternateContent>
    <mc:AlternateContent xmlns:mc="http://schemas.openxmlformats.org/markup-compatibility/2006">
      <mc:Choice Requires="x14">
        <oleObject progId="Equation.3" shapeId="6152" r:id="rId17">
          <objectPr defaultSize="0" altText="" r:id="rId18">
            <anchor moveWithCells="1">
              <from>
                <xdr:col>7</xdr:col>
                <xdr:colOff>209550</xdr:colOff>
                <xdr:row>235</xdr:row>
                <xdr:rowOff>57150</xdr:rowOff>
              </from>
              <to>
                <xdr:col>8</xdr:col>
                <xdr:colOff>361950</xdr:colOff>
                <xdr:row>236</xdr:row>
                <xdr:rowOff>114300</xdr:rowOff>
              </to>
            </anchor>
          </objectPr>
        </oleObject>
      </mc:Choice>
      <mc:Fallback>
        <oleObject progId="Equation.3" shapeId="6152" r:id="rId17"/>
      </mc:Fallback>
    </mc:AlternateContent>
    <mc:AlternateContent xmlns:mc="http://schemas.openxmlformats.org/markup-compatibility/2006">
      <mc:Choice Requires="x14">
        <oleObject progId="Equation.3" shapeId="6153" r:id="rId19">
          <objectPr defaultSize="0" altText="" r:id="rId20">
            <anchor moveWithCells="1" sizeWithCells="1">
              <from>
                <xdr:col>6</xdr:col>
                <xdr:colOff>638175</xdr:colOff>
                <xdr:row>240</xdr:row>
                <xdr:rowOff>133350</xdr:rowOff>
              </from>
              <to>
                <xdr:col>10</xdr:col>
                <xdr:colOff>219075</xdr:colOff>
                <xdr:row>242</xdr:row>
                <xdr:rowOff>85725</xdr:rowOff>
              </to>
            </anchor>
          </objectPr>
        </oleObject>
      </mc:Choice>
      <mc:Fallback>
        <oleObject progId="Equation.3" shapeId="6153" r:id="rId19"/>
      </mc:Fallback>
    </mc:AlternateContent>
    <mc:AlternateContent xmlns:mc="http://schemas.openxmlformats.org/markup-compatibility/2006">
      <mc:Choice Requires="x14">
        <oleObject progId="Equation.3" shapeId="6154" r:id="rId21">
          <objectPr defaultSize="0" altText="" r:id="rId22">
            <anchor moveWithCells="1" sizeWithCells="1">
              <from>
                <xdr:col>6</xdr:col>
                <xdr:colOff>542925</xdr:colOff>
                <xdr:row>245</xdr:row>
                <xdr:rowOff>171450</xdr:rowOff>
              </from>
              <to>
                <xdr:col>10</xdr:col>
                <xdr:colOff>476250</xdr:colOff>
                <xdr:row>249</xdr:row>
                <xdr:rowOff>57150</xdr:rowOff>
              </to>
            </anchor>
          </objectPr>
        </oleObject>
      </mc:Choice>
      <mc:Fallback>
        <oleObject progId="Equation.3" shapeId="6154" r:id="rId21"/>
      </mc:Fallback>
    </mc:AlternateContent>
    <mc:AlternateContent xmlns:mc="http://schemas.openxmlformats.org/markup-compatibility/2006">
      <mc:Choice Requires="x14">
        <oleObject progId="Equation.3" shapeId="6155" r:id="rId23">
          <objectPr defaultSize="0" altText="" r:id="rId24">
            <anchor moveWithCells="1" sizeWithCells="1">
              <from>
                <xdr:col>6</xdr:col>
                <xdr:colOff>609600</xdr:colOff>
                <xdr:row>250</xdr:row>
                <xdr:rowOff>104775</xdr:rowOff>
              </from>
              <to>
                <xdr:col>8</xdr:col>
                <xdr:colOff>561975</xdr:colOff>
                <xdr:row>254</xdr:row>
                <xdr:rowOff>9525</xdr:rowOff>
              </to>
            </anchor>
          </objectPr>
        </oleObject>
      </mc:Choice>
      <mc:Fallback>
        <oleObject progId="Equation.3" shapeId="6155" r:id="rId23"/>
      </mc:Fallback>
    </mc:AlternateContent>
    <mc:AlternateContent xmlns:mc="http://schemas.openxmlformats.org/markup-compatibility/2006">
      <mc:Choice Requires="x14">
        <oleObject progId="Equation.3" shapeId="6156" r:id="rId25">
          <objectPr defaultSize="0" altText="" r:id="rId26">
            <anchor moveWithCells="1" sizeWithCells="1">
              <from>
                <xdr:col>6</xdr:col>
                <xdr:colOff>600075</xdr:colOff>
                <xdr:row>254</xdr:row>
                <xdr:rowOff>66675</xdr:rowOff>
              </from>
              <to>
                <xdr:col>8</xdr:col>
                <xdr:colOff>590550</xdr:colOff>
                <xdr:row>258</xdr:row>
                <xdr:rowOff>85725</xdr:rowOff>
              </to>
            </anchor>
          </objectPr>
        </oleObject>
      </mc:Choice>
      <mc:Fallback>
        <oleObject progId="Equation.3" shapeId="6156" r:id="rId25"/>
      </mc:Fallback>
    </mc:AlternateContent>
    <mc:AlternateContent xmlns:mc="http://schemas.openxmlformats.org/markup-compatibility/2006">
      <mc:Choice Requires="x14">
        <oleObject progId="Equation.3" shapeId="6157" r:id="rId27">
          <objectPr defaultSize="0" altText="" r:id="rId28">
            <anchor moveWithCells="1" sizeWithCells="1">
              <from>
                <xdr:col>6</xdr:col>
                <xdr:colOff>638175</xdr:colOff>
                <xdr:row>259</xdr:row>
                <xdr:rowOff>104775</xdr:rowOff>
              </from>
              <to>
                <xdr:col>8</xdr:col>
                <xdr:colOff>76200</xdr:colOff>
                <xdr:row>262</xdr:row>
                <xdr:rowOff>38100</xdr:rowOff>
              </to>
            </anchor>
          </objectPr>
        </oleObject>
      </mc:Choice>
      <mc:Fallback>
        <oleObject progId="Equation.3" shapeId="6157" r:id="rId27"/>
      </mc:Fallback>
    </mc:AlternateContent>
    <mc:AlternateContent xmlns:mc="http://schemas.openxmlformats.org/markup-compatibility/2006">
      <mc:Choice Requires="x14">
        <oleObject progId="Equation.3" shapeId="6158" r:id="rId29">
          <objectPr defaultSize="0" altText="" r:id="rId30">
            <anchor moveWithCells="1" sizeWithCells="1">
              <from>
                <xdr:col>8</xdr:col>
                <xdr:colOff>476250</xdr:colOff>
                <xdr:row>259</xdr:row>
                <xdr:rowOff>142875</xdr:rowOff>
              </from>
              <to>
                <xdr:col>10</xdr:col>
                <xdr:colOff>66675</xdr:colOff>
                <xdr:row>262</xdr:row>
                <xdr:rowOff>133350</xdr:rowOff>
              </to>
            </anchor>
          </objectPr>
        </oleObject>
      </mc:Choice>
      <mc:Fallback>
        <oleObject progId="Equation.3" shapeId="6158" r:id="rId29"/>
      </mc:Fallback>
    </mc:AlternateContent>
    <mc:AlternateContent xmlns:mc="http://schemas.openxmlformats.org/markup-compatibility/2006">
      <mc:Choice Requires="x14">
        <oleObject progId="Equation.3" shapeId="6159" r:id="rId31">
          <objectPr defaultSize="0" altText="" r:id="rId32">
            <anchor moveWithCells="1" sizeWithCells="1">
              <from>
                <xdr:col>7</xdr:col>
                <xdr:colOff>19050</xdr:colOff>
                <xdr:row>263</xdr:row>
                <xdr:rowOff>19050</xdr:rowOff>
              </from>
              <to>
                <xdr:col>8</xdr:col>
                <xdr:colOff>361950</xdr:colOff>
                <xdr:row>266</xdr:row>
                <xdr:rowOff>123825</xdr:rowOff>
              </to>
            </anchor>
          </objectPr>
        </oleObject>
      </mc:Choice>
      <mc:Fallback>
        <oleObject progId="Equation.3" shapeId="6159" r:id="rId31"/>
      </mc:Fallback>
    </mc:AlternateContent>
    <mc:AlternateContent xmlns:mc="http://schemas.openxmlformats.org/markup-compatibility/2006">
      <mc:Choice Requires="x14">
        <oleObject progId="Equation.3" shapeId="6160" r:id="rId33">
          <objectPr defaultSize="0" altText="" r:id="rId34">
            <anchor moveWithCells="1" sizeWithCells="1">
              <from>
                <xdr:col>8</xdr:col>
                <xdr:colOff>542925</xdr:colOff>
                <xdr:row>263</xdr:row>
                <xdr:rowOff>85725</xdr:rowOff>
              </from>
              <to>
                <xdr:col>10</xdr:col>
                <xdr:colOff>400050</xdr:colOff>
                <xdr:row>266</xdr:row>
                <xdr:rowOff>104775</xdr:rowOff>
              </to>
            </anchor>
          </objectPr>
        </oleObject>
      </mc:Choice>
      <mc:Fallback>
        <oleObject progId="Equation.3" shapeId="6160" r:id="rId33"/>
      </mc:Fallback>
    </mc:AlternateContent>
    <mc:AlternateContent xmlns:mc="http://schemas.openxmlformats.org/markup-compatibility/2006">
      <mc:Choice Requires="x14">
        <oleObject progId="Equation.3" shapeId="6161" r:id="rId35">
          <objectPr defaultSize="0" altText="" r:id="rId36">
            <anchor moveWithCells="1" sizeWithCells="1">
              <from>
                <xdr:col>2</xdr:col>
                <xdr:colOff>647700</xdr:colOff>
                <xdr:row>266</xdr:row>
                <xdr:rowOff>66675</xdr:rowOff>
              </from>
              <to>
                <xdr:col>4</xdr:col>
                <xdr:colOff>647700</xdr:colOff>
                <xdr:row>267</xdr:row>
                <xdr:rowOff>142875</xdr:rowOff>
              </to>
            </anchor>
          </objectPr>
        </oleObject>
      </mc:Choice>
      <mc:Fallback>
        <oleObject progId="Equation.3" shapeId="6161" r:id="rId35"/>
      </mc:Fallback>
    </mc:AlternateContent>
    <mc:AlternateContent xmlns:mc="http://schemas.openxmlformats.org/markup-compatibility/2006">
      <mc:Choice Requires="x14">
        <oleObject progId="Equation.3" shapeId="6162" r:id="rId37">
          <objectPr defaultSize="0" altText="" r:id="rId38">
            <anchor moveWithCells="1" sizeWithCells="1">
              <from>
                <xdr:col>2</xdr:col>
                <xdr:colOff>0</xdr:colOff>
                <xdr:row>271</xdr:row>
                <xdr:rowOff>200025</xdr:rowOff>
              </from>
              <to>
                <xdr:col>4</xdr:col>
                <xdr:colOff>609600</xdr:colOff>
                <xdr:row>273</xdr:row>
                <xdr:rowOff>57150</xdr:rowOff>
              </to>
            </anchor>
          </objectPr>
        </oleObject>
      </mc:Choice>
      <mc:Fallback>
        <oleObject progId="Equation.3" shapeId="6162" r:id="rId37"/>
      </mc:Fallback>
    </mc:AlternateContent>
    <mc:AlternateContent xmlns:mc="http://schemas.openxmlformats.org/markup-compatibility/2006">
      <mc:Choice Requires="x14">
        <oleObject progId="Equation.3" shapeId="6163" r:id="rId39">
          <objectPr defaultSize="0" altText="" r:id="rId40">
            <anchor moveWithCells="1" sizeWithCells="1">
              <from>
                <xdr:col>1</xdr:col>
                <xdr:colOff>314325</xdr:colOff>
                <xdr:row>273</xdr:row>
                <xdr:rowOff>200025</xdr:rowOff>
              </from>
              <to>
                <xdr:col>4</xdr:col>
                <xdr:colOff>590550</xdr:colOff>
                <xdr:row>276</xdr:row>
                <xdr:rowOff>123825</xdr:rowOff>
              </to>
            </anchor>
          </objectPr>
        </oleObject>
      </mc:Choice>
      <mc:Fallback>
        <oleObject progId="Equation.3" shapeId="6163" r:id="rId39"/>
      </mc:Fallback>
    </mc:AlternateContent>
    <mc:AlternateContent xmlns:mc="http://schemas.openxmlformats.org/markup-compatibility/2006">
      <mc:Choice Requires="x14">
        <oleObject progId="Equation.3" shapeId="6164" r:id="rId41">
          <objectPr defaultSize="0" altText="" r:id="rId42">
            <anchor moveWithCells="1" sizeWithCells="1">
              <from>
                <xdr:col>3</xdr:col>
                <xdr:colOff>0</xdr:colOff>
                <xdr:row>278</xdr:row>
                <xdr:rowOff>38100</xdr:rowOff>
              </from>
              <to>
                <xdr:col>5</xdr:col>
                <xdr:colOff>0</xdr:colOff>
                <xdr:row>280</xdr:row>
                <xdr:rowOff>133350</xdr:rowOff>
              </to>
            </anchor>
          </objectPr>
        </oleObject>
      </mc:Choice>
      <mc:Fallback>
        <oleObject progId="Equation.3" shapeId="6164" r:id="rId41"/>
      </mc:Fallback>
    </mc:AlternateContent>
    <mc:AlternateContent xmlns:mc="http://schemas.openxmlformats.org/markup-compatibility/2006">
      <mc:Choice Requires="x14">
        <oleObject progId="Equation.3" shapeId="6165" r:id="rId43">
          <objectPr defaultSize="0" altText="" r:id="rId44">
            <anchor moveWithCells="1" sizeWithCells="1">
              <from>
                <xdr:col>2</xdr:col>
                <xdr:colOff>723900</xdr:colOff>
                <xdr:row>281</xdr:row>
                <xdr:rowOff>9525</xdr:rowOff>
              </from>
              <to>
                <xdr:col>4</xdr:col>
                <xdr:colOff>638175</xdr:colOff>
                <xdr:row>283</xdr:row>
                <xdr:rowOff>133350</xdr:rowOff>
              </to>
            </anchor>
          </objectPr>
        </oleObject>
      </mc:Choice>
      <mc:Fallback>
        <oleObject progId="Equation.3" shapeId="6165" r:id="rId43"/>
      </mc:Fallback>
    </mc:AlternateContent>
    <mc:AlternateContent xmlns:mc="http://schemas.openxmlformats.org/markup-compatibility/2006">
      <mc:Choice Requires="x14">
        <oleObject progId="Equation.3" shapeId="6166" r:id="rId45">
          <objectPr defaultSize="0" altText="" r:id="rId46">
            <anchor moveWithCells="1" sizeWithCells="1">
              <from>
                <xdr:col>1</xdr:col>
                <xdr:colOff>504825</xdr:colOff>
                <xdr:row>290</xdr:row>
                <xdr:rowOff>95250</xdr:rowOff>
              </from>
              <to>
                <xdr:col>3</xdr:col>
                <xdr:colOff>657225</xdr:colOff>
                <xdr:row>295</xdr:row>
                <xdr:rowOff>0</xdr:rowOff>
              </to>
            </anchor>
          </objectPr>
        </oleObject>
      </mc:Choice>
      <mc:Fallback>
        <oleObject progId="Equation.3" shapeId="6166" r:id="rId45"/>
      </mc:Fallback>
    </mc:AlternateContent>
    <mc:AlternateContent xmlns:mc="http://schemas.openxmlformats.org/markup-compatibility/2006">
      <mc:Choice Requires="x14">
        <oleObject progId="Equation.3" shapeId="6167" r:id="rId47">
          <objectPr defaultSize="0" altText="" r:id="rId48">
            <anchor moveWithCells="1" sizeWithCells="1">
              <from>
                <xdr:col>3</xdr:col>
                <xdr:colOff>200025</xdr:colOff>
                <xdr:row>302</xdr:row>
                <xdr:rowOff>19050</xdr:rowOff>
              </from>
              <to>
                <xdr:col>4</xdr:col>
                <xdr:colOff>657225</xdr:colOff>
                <xdr:row>303</xdr:row>
                <xdr:rowOff>28575</xdr:rowOff>
              </to>
            </anchor>
          </objectPr>
        </oleObject>
      </mc:Choice>
      <mc:Fallback>
        <oleObject progId="Equation.3" shapeId="6167" r:id="rId47"/>
      </mc:Fallback>
    </mc:AlternateContent>
    <mc:AlternateContent xmlns:mc="http://schemas.openxmlformats.org/markup-compatibility/2006">
      <mc:Choice Requires="x14">
        <oleObject progId="Equation.3" shapeId="6168" r:id="rId49">
          <objectPr defaultSize="0" altText="" r:id="rId50">
            <anchor moveWithCells="1" sizeWithCells="1">
              <from>
                <xdr:col>1</xdr:col>
                <xdr:colOff>676275</xdr:colOff>
                <xdr:row>303</xdr:row>
                <xdr:rowOff>57150</xdr:rowOff>
              </from>
              <to>
                <xdr:col>4</xdr:col>
                <xdr:colOff>619125</xdr:colOff>
                <xdr:row>304</xdr:row>
                <xdr:rowOff>142875</xdr:rowOff>
              </to>
            </anchor>
          </objectPr>
        </oleObject>
      </mc:Choice>
      <mc:Fallback>
        <oleObject progId="Equation.3" shapeId="6168" r:id="rId49"/>
      </mc:Fallback>
    </mc:AlternateContent>
    <mc:AlternateContent xmlns:mc="http://schemas.openxmlformats.org/markup-compatibility/2006">
      <mc:Choice Requires="x14">
        <oleObject progId="Equation.3" shapeId="6169" r:id="rId51">
          <objectPr defaultSize="0" altText="" r:id="rId52">
            <anchor moveWithCells="1">
              <from>
                <xdr:col>7</xdr:col>
                <xdr:colOff>9525</xdr:colOff>
                <xdr:row>206</xdr:row>
                <xdr:rowOff>95250</xdr:rowOff>
              </from>
              <to>
                <xdr:col>9</xdr:col>
                <xdr:colOff>247650</xdr:colOff>
                <xdr:row>208</xdr:row>
                <xdr:rowOff>38100</xdr:rowOff>
              </to>
            </anchor>
          </objectPr>
        </oleObject>
      </mc:Choice>
      <mc:Fallback>
        <oleObject progId="Equation.3" shapeId="6169" r:id="rId51"/>
      </mc:Fallback>
    </mc:AlternateContent>
    <mc:AlternateContent xmlns:mc="http://schemas.openxmlformats.org/markup-compatibility/2006">
      <mc:Choice Requires="x14">
        <oleObject progId="Equation.3" shapeId="6170" r:id="rId53">
          <objectPr defaultSize="0" altText="" r:id="rId54">
            <anchor moveWithCells="1" sizeWithCells="1">
              <from>
                <xdr:col>12</xdr:col>
                <xdr:colOff>0</xdr:colOff>
                <xdr:row>305</xdr:row>
                <xdr:rowOff>123825</xdr:rowOff>
              </from>
              <to>
                <xdr:col>15</xdr:col>
                <xdr:colOff>723900</xdr:colOff>
                <xdr:row>308</xdr:row>
                <xdr:rowOff>38100</xdr:rowOff>
              </to>
            </anchor>
          </objectPr>
        </oleObject>
      </mc:Choice>
      <mc:Fallback>
        <oleObject progId="Equation.3" shapeId="6170" r:id="rId53"/>
      </mc:Fallback>
    </mc:AlternateContent>
    <mc:AlternateContent xmlns:mc="http://schemas.openxmlformats.org/markup-compatibility/2006">
      <mc:Choice Requires="x14">
        <oleObject progId="Equation.3" shapeId="6171" r:id="rId55">
          <objectPr defaultSize="0" altText="" r:id="rId56">
            <anchor moveWithCells="1" sizeWithCells="1">
              <from>
                <xdr:col>13</xdr:col>
                <xdr:colOff>28575</xdr:colOff>
                <xdr:row>310</xdr:row>
                <xdr:rowOff>152400</xdr:rowOff>
              </from>
              <to>
                <xdr:col>19</xdr:col>
                <xdr:colOff>142875</xdr:colOff>
                <xdr:row>312</xdr:row>
                <xdr:rowOff>142875</xdr:rowOff>
              </to>
            </anchor>
          </objectPr>
        </oleObject>
      </mc:Choice>
      <mc:Fallback>
        <oleObject progId="Equation.3" shapeId="6171" r:id="rId55"/>
      </mc:Fallback>
    </mc:AlternateContent>
    <mc:AlternateContent xmlns:mc="http://schemas.openxmlformats.org/markup-compatibility/2006">
      <mc:Choice Requires="x14">
        <oleObject progId="Equation.3" shapeId="6172" r:id="rId57">
          <objectPr defaultSize="0" altText="" r:id="rId58">
            <anchor moveWithCells="1">
              <from>
                <xdr:col>8</xdr:col>
                <xdr:colOff>0</xdr:colOff>
                <xdr:row>310</xdr:row>
                <xdr:rowOff>142875</xdr:rowOff>
              </from>
              <to>
                <xdr:col>12</xdr:col>
                <xdr:colOff>438150</xdr:colOff>
                <xdr:row>313</xdr:row>
                <xdr:rowOff>123825</xdr:rowOff>
              </to>
            </anchor>
          </objectPr>
        </oleObject>
      </mc:Choice>
      <mc:Fallback>
        <oleObject progId="Equation.3" shapeId="6172" r:id="rId57"/>
      </mc:Fallback>
    </mc:AlternateContent>
    <mc:AlternateContent xmlns:mc="http://schemas.openxmlformats.org/markup-compatibility/2006">
      <mc:Choice Requires="x14">
        <oleObject progId="Equation.3" shapeId="6173" r:id="rId59">
          <objectPr defaultSize="0" altText="" r:id="rId60">
            <anchor moveWithCells="1">
              <from>
                <xdr:col>11</xdr:col>
                <xdr:colOff>0</xdr:colOff>
                <xdr:row>251</xdr:row>
                <xdr:rowOff>0</xdr:rowOff>
              </from>
              <to>
                <xdr:col>12</xdr:col>
                <xdr:colOff>676275</xdr:colOff>
                <xdr:row>252</xdr:row>
                <xdr:rowOff>9525</xdr:rowOff>
              </to>
            </anchor>
          </objectPr>
        </oleObject>
      </mc:Choice>
      <mc:Fallback>
        <oleObject progId="Equation.3" shapeId="6173" r:id="rId59"/>
      </mc:Fallback>
    </mc:AlternateContent>
    <mc:AlternateContent xmlns:mc="http://schemas.openxmlformats.org/markup-compatibility/2006">
      <mc:Choice Requires="x14">
        <oleObject progId="Equation.3" shapeId="6174" r:id="rId61">
          <objectPr defaultSize="0" altText="" r:id="rId62">
            <anchor moveWithCells="1">
              <from>
                <xdr:col>11</xdr:col>
                <xdr:colOff>0</xdr:colOff>
                <xdr:row>251</xdr:row>
                <xdr:rowOff>0</xdr:rowOff>
              </from>
              <to>
                <xdr:col>12</xdr:col>
                <xdr:colOff>676275</xdr:colOff>
                <xdr:row>252</xdr:row>
                <xdr:rowOff>9525</xdr:rowOff>
              </to>
            </anchor>
          </objectPr>
        </oleObject>
      </mc:Choice>
      <mc:Fallback>
        <oleObject progId="Equation.3" shapeId="6174" r:id="rId61"/>
      </mc:Fallback>
    </mc:AlternateContent>
    <mc:AlternateContent xmlns:mc="http://schemas.openxmlformats.org/markup-compatibility/2006">
      <mc:Choice Requires="x14">
        <oleObject progId="Equation.3" shapeId="6175" r:id="rId63">
          <objectPr defaultSize="0" altText="" r:id="rId64">
            <anchor moveWithCells="1">
              <from>
                <xdr:col>11</xdr:col>
                <xdr:colOff>0</xdr:colOff>
                <xdr:row>251</xdr:row>
                <xdr:rowOff>0</xdr:rowOff>
              </from>
              <to>
                <xdr:col>12</xdr:col>
                <xdr:colOff>676275</xdr:colOff>
                <xdr:row>252</xdr:row>
                <xdr:rowOff>9525</xdr:rowOff>
              </to>
            </anchor>
          </objectPr>
        </oleObject>
      </mc:Choice>
      <mc:Fallback>
        <oleObject progId="Equation.3" shapeId="6175" r:id="rId63"/>
      </mc:Fallback>
    </mc:AlternateContent>
    <mc:AlternateContent xmlns:mc="http://schemas.openxmlformats.org/markup-compatibility/2006">
      <mc:Choice Requires="x14">
        <oleObject progId="Equation.3" shapeId="6176" r:id="rId65">
          <objectPr defaultSize="0" altText="" r:id="rId66">
            <anchor moveWithCells="1">
              <from>
                <xdr:col>11</xdr:col>
                <xdr:colOff>0</xdr:colOff>
                <xdr:row>251</xdr:row>
                <xdr:rowOff>0</xdr:rowOff>
              </from>
              <to>
                <xdr:col>12</xdr:col>
                <xdr:colOff>676275</xdr:colOff>
                <xdr:row>252</xdr:row>
                <xdr:rowOff>9525</xdr:rowOff>
              </to>
            </anchor>
          </objectPr>
        </oleObject>
      </mc:Choice>
      <mc:Fallback>
        <oleObject progId="Equation.3" shapeId="6176" r:id="rId65"/>
      </mc:Fallback>
    </mc:AlternateContent>
    <mc:AlternateContent xmlns:mc="http://schemas.openxmlformats.org/markup-compatibility/2006">
      <mc:Choice Requires="x14">
        <oleObject progId="Equation.3" shapeId="6177" r:id="rId67">
          <objectPr defaultSize="0" altText="" r:id="rId68">
            <anchor moveWithCells="1" sizeWithCells="1">
              <from>
                <xdr:col>2</xdr:col>
                <xdr:colOff>714375</xdr:colOff>
                <xdr:row>378</xdr:row>
                <xdr:rowOff>19050</xdr:rowOff>
              </from>
              <to>
                <xdr:col>4</xdr:col>
                <xdr:colOff>647700</xdr:colOff>
                <xdr:row>380</xdr:row>
                <xdr:rowOff>57150</xdr:rowOff>
              </to>
            </anchor>
          </objectPr>
        </oleObject>
      </mc:Choice>
      <mc:Fallback>
        <oleObject progId="Equation.3" shapeId="6177" r:id="rId67"/>
      </mc:Fallback>
    </mc:AlternateContent>
    <mc:AlternateContent xmlns:mc="http://schemas.openxmlformats.org/markup-compatibility/2006">
      <mc:Choice Requires="x14">
        <oleObject progId="Equation.3" shapeId="6178" r:id="rId69">
          <objectPr defaultSize="0" altText="" r:id="rId68">
            <anchor moveWithCells="1" sizeWithCells="1">
              <from>
                <xdr:col>2</xdr:col>
                <xdr:colOff>733425</xdr:colOff>
                <xdr:row>392</xdr:row>
                <xdr:rowOff>0</xdr:rowOff>
              </from>
              <to>
                <xdr:col>4</xdr:col>
                <xdr:colOff>666750</xdr:colOff>
                <xdr:row>394</xdr:row>
                <xdr:rowOff>38100</xdr:rowOff>
              </to>
            </anchor>
          </objectPr>
        </oleObject>
      </mc:Choice>
      <mc:Fallback>
        <oleObject progId="Equation.3" shapeId="6178" r:id="rId69"/>
      </mc:Fallback>
    </mc:AlternateContent>
    <mc:AlternateContent xmlns:mc="http://schemas.openxmlformats.org/markup-compatibility/2006">
      <mc:Choice Requires="x14">
        <oleObject progId="Equation.3" shapeId="6179" r:id="rId70">
          <objectPr defaultSize="0" altText="" r:id="rId71">
            <anchor moveWithCells="1">
              <from>
                <xdr:col>9</xdr:col>
                <xdr:colOff>28575</xdr:colOff>
                <xdr:row>402</xdr:row>
                <xdr:rowOff>38100</xdr:rowOff>
              </from>
              <to>
                <xdr:col>10</xdr:col>
                <xdr:colOff>95250</xdr:colOff>
                <xdr:row>404</xdr:row>
                <xdr:rowOff>0</xdr:rowOff>
              </to>
            </anchor>
          </objectPr>
        </oleObject>
      </mc:Choice>
      <mc:Fallback>
        <oleObject progId="Equation.3" shapeId="6179" r:id="rId70"/>
      </mc:Fallback>
    </mc:AlternateContent>
    <mc:AlternateContent xmlns:mc="http://schemas.openxmlformats.org/markup-compatibility/2006">
      <mc:Choice Requires="x14">
        <oleObject progId="Equation.3" shapeId="6180" r:id="rId72">
          <objectPr defaultSize="0" altText="" r:id="rId73">
            <anchor moveWithCells="1">
              <from>
                <xdr:col>8</xdr:col>
                <xdr:colOff>0</xdr:colOff>
                <xdr:row>400</xdr:row>
                <xdr:rowOff>9525</xdr:rowOff>
              </from>
              <to>
                <xdr:col>8</xdr:col>
                <xdr:colOff>581025</xdr:colOff>
                <xdr:row>401</xdr:row>
                <xdr:rowOff>133350</xdr:rowOff>
              </to>
            </anchor>
          </objectPr>
        </oleObject>
      </mc:Choice>
      <mc:Fallback>
        <oleObject progId="Equation.3" shapeId="6180" r:id="rId72"/>
      </mc:Fallback>
    </mc:AlternateContent>
    <mc:AlternateContent xmlns:mc="http://schemas.openxmlformats.org/markup-compatibility/2006">
      <mc:Choice Requires="x14">
        <oleObject progId="Equation.3" shapeId="6181" r:id="rId74">
          <objectPr defaultSize="0" altText="" r:id="rId75">
            <anchor moveWithCells="1">
              <from>
                <xdr:col>12</xdr:col>
                <xdr:colOff>66675</xdr:colOff>
                <xdr:row>397</xdr:row>
                <xdr:rowOff>123825</xdr:rowOff>
              </from>
              <to>
                <xdr:col>12</xdr:col>
                <xdr:colOff>685800</xdr:colOff>
                <xdr:row>398</xdr:row>
                <xdr:rowOff>161925</xdr:rowOff>
              </to>
            </anchor>
          </objectPr>
        </oleObject>
      </mc:Choice>
      <mc:Fallback>
        <oleObject progId="Equation.3" shapeId="6181" r:id="rId74"/>
      </mc:Fallback>
    </mc:AlternateContent>
    <mc:AlternateContent xmlns:mc="http://schemas.openxmlformats.org/markup-compatibility/2006">
      <mc:Choice Requires="x14">
        <oleObject progId="Equation.3" shapeId="6182" r:id="rId76">
          <objectPr defaultSize="0" altText="" r:id="rId77">
            <anchor moveWithCells="1">
              <from>
                <xdr:col>10</xdr:col>
                <xdr:colOff>666750</xdr:colOff>
                <xdr:row>399</xdr:row>
                <xdr:rowOff>57150</xdr:rowOff>
              </from>
              <to>
                <xdr:col>11</xdr:col>
                <xdr:colOff>676275</xdr:colOff>
                <xdr:row>400</xdr:row>
                <xdr:rowOff>76200</xdr:rowOff>
              </to>
            </anchor>
          </objectPr>
        </oleObject>
      </mc:Choice>
      <mc:Fallback>
        <oleObject progId="Equation.3" shapeId="6182" r:id="rId76"/>
      </mc:Fallback>
    </mc:AlternateContent>
    <mc:AlternateContent xmlns:mc="http://schemas.openxmlformats.org/markup-compatibility/2006">
      <mc:Choice Requires="x14">
        <oleObject progId="Equation.3" shapeId="6183" r:id="rId78">
          <objectPr defaultSize="0" altText="" r:id="rId79">
            <anchor moveWithCells="1">
              <from>
                <xdr:col>7</xdr:col>
                <xdr:colOff>28575</xdr:colOff>
                <xdr:row>409</xdr:row>
                <xdr:rowOff>142875</xdr:rowOff>
              </from>
              <to>
                <xdr:col>8</xdr:col>
                <xdr:colOff>171450</xdr:colOff>
                <xdr:row>412</xdr:row>
                <xdr:rowOff>9525</xdr:rowOff>
              </to>
            </anchor>
          </objectPr>
        </oleObject>
      </mc:Choice>
      <mc:Fallback>
        <oleObject progId="Equation.3" shapeId="6183" r:id="rId78"/>
      </mc:Fallback>
    </mc:AlternateContent>
    <mc:AlternateContent xmlns:mc="http://schemas.openxmlformats.org/markup-compatibility/2006">
      <mc:Choice Requires="x14">
        <oleObject progId="Equation.3" shapeId="6188" r:id="rId80">
          <objectPr defaultSize="0" altText="" r:id="rId81">
            <anchor moveWithCells="1">
              <from>
                <xdr:col>0</xdr:col>
                <xdr:colOff>0</xdr:colOff>
                <xdr:row>312</xdr:row>
                <xdr:rowOff>0</xdr:rowOff>
              </from>
              <to>
                <xdr:col>1</xdr:col>
                <xdr:colOff>104775</xdr:colOff>
                <xdr:row>313</xdr:row>
                <xdr:rowOff>66675</xdr:rowOff>
              </to>
            </anchor>
          </objectPr>
        </oleObject>
      </mc:Choice>
      <mc:Fallback>
        <oleObject progId="Equation.3" shapeId="6188" r:id="rId80"/>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480"/>
  <sheetViews>
    <sheetView view="pageBreakPreview" topLeftCell="B55" zoomScale="115" zoomScaleNormal="115" workbookViewId="0">
      <selection activeCell="F64" sqref="F64"/>
    </sheetView>
  </sheetViews>
  <sheetFormatPr defaultColWidth="9" defaultRowHeight="13.5" x14ac:dyDescent="0.15"/>
  <cols>
    <col min="1" max="1" width="13.5" customWidth="1"/>
    <col min="2" max="2" width="19.75" customWidth="1"/>
    <col min="3" max="3" width="42.125" customWidth="1"/>
    <col min="4" max="4" width="12.625" customWidth="1"/>
    <col min="5" max="5" width="27.25" customWidth="1"/>
    <col min="6" max="6" width="21.25" style="197" customWidth="1"/>
    <col min="7" max="7" width="18.125" customWidth="1"/>
    <col min="8" max="8" width="16.625" customWidth="1"/>
    <col min="9" max="9" width="46.875" customWidth="1"/>
    <col min="10" max="10" width="16.875" customWidth="1"/>
    <col min="11" max="11" width="49.5" customWidth="1"/>
    <col min="12" max="12" width="10.625" customWidth="1"/>
    <col min="13" max="13" width="10" customWidth="1"/>
    <col min="15" max="15" width="11.625" customWidth="1"/>
  </cols>
  <sheetData>
    <row r="1" spans="2:19" s="192" customFormat="1" ht="18.75" hidden="1" x14ac:dyDescent="0.15">
      <c r="B1" s="594" t="s">
        <v>447</v>
      </c>
      <c r="C1" s="594"/>
      <c r="D1" s="594"/>
      <c r="E1" s="594"/>
      <c r="F1" s="594"/>
      <c r="G1" s="594"/>
      <c r="H1" s="594"/>
    </row>
    <row r="2" spans="2:19" s="193" customFormat="1" ht="15.95" hidden="1" customHeight="1" x14ac:dyDescent="0.25">
      <c r="B2" s="199"/>
      <c r="C2" s="200" t="s">
        <v>1</v>
      </c>
      <c r="D2" s="201"/>
      <c r="E2" s="201"/>
      <c r="F2" s="202"/>
    </row>
    <row r="3" spans="2:19" s="193" customFormat="1" ht="15.95" hidden="1" customHeight="1" x14ac:dyDescent="0.25">
      <c r="B3" s="201"/>
      <c r="C3" s="200" t="s">
        <v>2</v>
      </c>
      <c r="D3" s="201"/>
      <c r="E3" s="201"/>
      <c r="F3" s="202"/>
    </row>
    <row r="4" spans="2:19" s="193" customFormat="1" ht="15.95" hidden="1" customHeight="1" x14ac:dyDescent="0.25">
      <c r="B4" s="201"/>
      <c r="C4" s="200" t="s">
        <v>3</v>
      </c>
      <c r="D4" s="201"/>
      <c r="E4" s="201"/>
      <c r="F4" s="202"/>
    </row>
    <row r="5" spans="2:19" s="193" customFormat="1" ht="15.95" hidden="1" customHeight="1" x14ac:dyDescent="0.25">
      <c r="B5" s="201"/>
      <c r="C5" s="200" t="s">
        <v>4</v>
      </c>
      <c r="D5" s="201"/>
      <c r="E5" s="201"/>
      <c r="F5" s="202"/>
    </row>
    <row r="6" spans="2:19" s="193" customFormat="1" ht="15.95" hidden="1" customHeight="1" x14ac:dyDescent="0.25">
      <c r="B6" s="201"/>
      <c r="C6" s="200" t="s">
        <v>5</v>
      </c>
      <c r="D6" s="201"/>
      <c r="E6" s="201"/>
      <c r="F6" s="202"/>
    </row>
    <row r="7" spans="2:19" s="193" customFormat="1" ht="15.95" hidden="1" customHeight="1" x14ac:dyDescent="0.25">
      <c r="B7" s="201"/>
      <c r="C7" s="200" t="s">
        <v>6</v>
      </c>
      <c r="D7" s="201"/>
      <c r="E7" s="201"/>
      <c r="F7" s="202"/>
    </row>
    <row r="8" spans="2:19" s="193" customFormat="1" ht="15.95" hidden="1" customHeight="1" x14ac:dyDescent="0.25">
      <c r="B8" s="201"/>
      <c r="C8" s="200" t="s">
        <v>7</v>
      </c>
      <c r="D8" s="201"/>
      <c r="E8" s="201"/>
      <c r="F8" s="202"/>
    </row>
    <row r="9" spans="2:19" s="193" customFormat="1" ht="15.95" hidden="1" customHeight="1" x14ac:dyDescent="0.25">
      <c r="B9" s="201"/>
      <c r="C9" s="200" t="s">
        <v>8</v>
      </c>
      <c r="D9" s="201"/>
      <c r="E9" s="201"/>
      <c r="F9" s="202"/>
    </row>
    <row r="10" spans="2:19" s="193" customFormat="1" ht="15.95" hidden="1" customHeight="1" x14ac:dyDescent="0.25">
      <c r="B10" s="201"/>
      <c r="C10" s="200" t="s">
        <v>9</v>
      </c>
      <c r="D10" s="201"/>
      <c r="E10" s="201"/>
      <c r="F10" s="202"/>
    </row>
    <row r="11" spans="2:19" x14ac:dyDescent="0.15">
      <c r="J11" s="196"/>
      <c r="K11" s="196"/>
      <c r="L11" s="196"/>
      <c r="M11" s="196"/>
      <c r="N11" s="196"/>
      <c r="O11" s="196"/>
      <c r="P11" s="196"/>
      <c r="Q11" s="196"/>
      <c r="R11" s="196"/>
      <c r="S11" s="196"/>
    </row>
    <row r="12" spans="2:19" s="192" customFormat="1" ht="18.75" x14ac:dyDescent="0.25">
      <c r="B12" s="595" t="s">
        <v>891</v>
      </c>
      <c r="C12" s="595"/>
      <c r="D12" s="595"/>
      <c r="E12" s="595"/>
      <c r="F12" s="595"/>
      <c r="G12" s="595"/>
      <c r="H12" s="595"/>
      <c r="I12" s="196"/>
      <c r="J12" s="196"/>
      <c r="K12" s="196"/>
      <c r="L12" s="196"/>
      <c r="M12" s="196"/>
      <c r="N12" s="196"/>
      <c r="O12" s="196"/>
      <c r="P12" s="196"/>
      <c r="Q12" s="196"/>
      <c r="R12" s="196"/>
      <c r="S12" s="196"/>
    </row>
    <row r="13" spans="2:19" s="193" customFormat="1" ht="15.95" customHeight="1" x14ac:dyDescent="0.25">
      <c r="B13" s="596" t="s">
        <v>892</v>
      </c>
      <c r="C13" s="596"/>
      <c r="D13" s="84">
        <v>1.8</v>
      </c>
      <c r="E13" s="186" t="s">
        <v>12</v>
      </c>
      <c r="F13" s="186"/>
      <c r="G13" s="186"/>
      <c r="H13" s="203" t="s">
        <v>893</v>
      </c>
      <c r="J13" s="224"/>
      <c r="K13" s="224"/>
      <c r="L13" s="224"/>
      <c r="M13" s="224"/>
      <c r="N13" s="224"/>
      <c r="O13" s="224"/>
      <c r="P13" s="224"/>
      <c r="Q13" s="224"/>
      <c r="R13" s="224"/>
      <c r="S13" s="246"/>
    </row>
    <row r="14" spans="2:19" s="193" customFormat="1" ht="15.75" customHeight="1" x14ac:dyDescent="0.25">
      <c r="B14" s="596" t="s">
        <v>894</v>
      </c>
      <c r="C14" s="596"/>
      <c r="D14" s="84">
        <v>30</v>
      </c>
      <c r="E14" s="186" t="s">
        <v>12</v>
      </c>
      <c r="F14" s="186"/>
      <c r="G14" s="186"/>
      <c r="H14" s="750" t="str">
        <f>IF(E15="&lt;","横向应力控制条件","底部加厚，便于纵向配筋")</f>
        <v>底部加厚，便于纵向配筋</v>
      </c>
      <c r="J14" s="224"/>
      <c r="K14" s="728"/>
      <c r="L14" s="225"/>
      <c r="M14" s="225"/>
      <c r="N14" s="225"/>
      <c r="O14" s="225"/>
      <c r="P14" s="226"/>
      <c r="Q14" s="224"/>
      <c r="R14" s="224"/>
      <c r="S14" s="246"/>
    </row>
    <row r="15" spans="2:19" s="193" customFormat="1" ht="15.75" customHeight="1" x14ac:dyDescent="0.25">
      <c r="B15" s="597" t="s">
        <v>895</v>
      </c>
      <c r="C15" s="597"/>
      <c r="D15" s="204">
        <f>D14/(2*D13)</f>
        <v>8.3333333333333339</v>
      </c>
      <c r="E15" s="186" t="str">
        <f>IF(D15&lt;F15,"&lt;","&gt;")</f>
        <v>&gt;</v>
      </c>
      <c r="F15" s="186">
        <v>4</v>
      </c>
      <c r="G15" s="205"/>
      <c r="H15" s="751"/>
      <c r="J15" s="224"/>
      <c r="K15" s="728"/>
      <c r="L15" s="227"/>
      <c r="M15" s="227"/>
      <c r="N15" s="227"/>
      <c r="O15" s="227"/>
      <c r="P15" s="227"/>
      <c r="Q15" s="224"/>
      <c r="R15" s="224"/>
      <c r="S15" s="246"/>
    </row>
    <row r="16" spans="2:19" s="193" customFormat="1" ht="15.75" customHeight="1" x14ac:dyDescent="0.25">
      <c r="B16" s="598" t="s">
        <v>896</v>
      </c>
      <c r="C16" s="597"/>
      <c r="D16" s="204">
        <f>D14/C27</f>
        <v>8.8235294117647065</v>
      </c>
      <c r="E16" s="186" t="str">
        <f>IF(D16&lt;F16,"&lt;","&gt;")</f>
        <v>&gt;</v>
      </c>
      <c r="F16" s="186">
        <v>5</v>
      </c>
      <c r="G16" s="205"/>
      <c r="H16" s="206" t="str">
        <f>IF(E16="&lt;","深受弯构件","一般构件")</f>
        <v>一般构件</v>
      </c>
      <c r="J16" s="224"/>
      <c r="K16" s="225"/>
      <c r="L16" s="227"/>
      <c r="M16" s="227"/>
      <c r="N16" s="227"/>
      <c r="O16" s="227"/>
      <c r="P16" s="227"/>
      <c r="Q16" s="224"/>
      <c r="R16" s="224"/>
      <c r="S16" s="246"/>
    </row>
    <row r="17" spans="2:19" s="193" customFormat="1" ht="15.95" customHeight="1" x14ac:dyDescent="0.25">
      <c r="B17" s="207" t="s">
        <v>17</v>
      </c>
      <c r="C17" s="85">
        <f>D13</f>
        <v>1.8</v>
      </c>
      <c r="D17" s="186"/>
      <c r="E17" s="599" t="s">
        <v>897</v>
      </c>
      <c r="F17" s="599"/>
      <c r="G17" s="186" t="s">
        <v>898</v>
      </c>
      <c r="H17" s="203"/>
      <c r="J17" s="224"/>
      <c r="K17" s="728"/>
      <c r="L17" s="225"/>
      <c r="M17" s="228"/>
      <c r="N17" s="228"/>
      <c r="O17" s="228"/>
      <c r="P17" s="228"/>
      <c r="Q17" s="224"/>
      <c r="R17" s="224"/>
      <c r="S17" s="246"/>
    </row>
    <row r="18" spans="2:19" s="193" customFormat="1" ht="15.95" customHeight="1" x14ac:dyDescent="0.25">
      <c r="B18" s="207" t="s">
        <v>899</v>
      </c>
      <c r="C18" s="186" t="s">
        <v>900</v>
      </c>
      <c r="D18" s="186"/>
      <c r="E18" s="186">
        <f>1/10*C17</f>
        <v>0.18000000000000002</v>
      </c>
      <c r="F18" s="186">
        <f>1/15*C17</f>
        <v>0.12</v>
      </c>
      <c r="G18" s="84">
        <v>0.3</v>
      </c>
      <c r="H18" s="203"/>
      <c r="J18" s="224"/>
      <c r="K18" s="728"/>
      <c r="L18" s="225"/>
      <c r="M18" s="229"/>
      <c r="N18" s="230"/>
      <c r="O18" s="231"/>
      <c r="P18" s="232"/>
      <c r="Q18" s="224"/>
      <c r="R18" s="224"/>
      <c r="S18" s="246"/>
    </row>
    <row r="19" spans="2:19" s="193" customFormat="1" ht="15.95" customHeight="1" x14ac:dyDescent="0.25">
      <c r="B19" s="207" t="s">
        <v>901</v>
      </c>
      <c r="C19" s="186" t="s">
        <v>902</v>
      </c>
      <c r="D19" s="186"/>
      <c r="E19" s="186">
        <f>1.5*G18</f>
        <v>0.44999999999999996</v>
      </c>
      <c r="F19" s="186">
        <f>2.5*G18</f>
        <v>0.75</v>
      </c>
      <c r="G19" s="84">
        <v>0.35</v>
      </c>
      <c r="H19" s="203"/>
      <c r="J19" s="224"/>
      <c r="K19" s="225"/>
      <c r="L19" s="225"/>
      <c r="M19" s="225"/>
      <c r="N19" s="225"/>
      <c r="O19" s="225"/>
      <c r="P19" s="225"/>
      <c r="Q19" s="224"/>
      <c r="R19" s="224"/>
      <c r="S19" s="246"/>
    </row>
    <row r="20" spans="2:19" s="193" customFormat="1" ht="15.95" customHeight="1" x14ac:dyDescent="0.25">
      <c r="B20" s="207" t="s">
        <v>903</v>
      </c>
      <c r="C20" s="186" t="s">
        <v>904</v>
      </c>
      <c r="D20" s="186"/>
      <c r="E20" s="186">
        <f>1*G18</f>
        <v>0.3</v>
      </c>
      <c r="F20" s="186">
        <f>2*G18</f>
        <v>0.6</v>
      </c>
      <c r="G20" s="84">
        <v>0.3</v>
      </c>
      <c r="H20" s="203"/>
      <c r="J20" s="224"/>
      <c r="K20" s="233"/>
      <c r="L20" s="225"/>
      <c r="M20" s="234"/>
      <c r="N20" s="235"/>
      <c r="O20" s="225"/>
      <c r="P20" s="234"/>
      <c r="Q20" s="224"/>
      <c r="R20" s="224"/>
      <c r="S20" s="246"/>
    </row>
    <row r="21" spans="2:19" s="193" customFormat="1" ht="15.95" customHeight="1" x14ac:dyDescent="0.25">
      <c r="B21" s="207" t="s">
        <v>905</v>
      </c>
      <c r="C21" s="186" t="s">
        <v>904</v>
      </c>
      <c r="D21" s="186"/>
      <c r="E21" s="186">
        <f>1*G18</f>
        <v>0.3</v>
      </c>
      <c r="F21" s="186">
        <f>2*G18</f>
        <v>0.6</v>
      </c>
      <c r="G21" s="84">
        <v>0.35</v>
      </c>
      <c r="H21" s="203"/>
      <c r="J21" s="224"/>
      <c r="K21" s="728"/>
      <c r="L21" s="235"/>
      <c r="M21" s="235"/>
      <c r="N21" s="235"/>
      <c r="O21" s="235"/>
      <c r="P21" s="235"/>
      <c r="Q21" s="224"/>
      <c r="R21" s="224"/>
      <c r="S21" s="246"/>
    </row>
    <row r="22" spans="2:19" s="193" customFormat="1" ht="15.95" customHeight="1" x14ac:dyDescent="0.25">
      <c r="B22" s="207" t="s">
        <v>906</v>
      </c>
      <c r="C22" s="186" t="s">
        <v>907</v>
      </c>
      <c r="D22" s="186"/>
      <c r="E22" s="186">
        <f>0.5*C17</f>
        <v>0.9</v>
      </c>
      <c r="F22" s="186">
        <f>0.6*C17</f>
        <v>1.08</v>
      </c>
      <c r="G22" s="84">
        <v>1.5</v>
      </c>
      <c r="H22" s="203"/>
      <c r="J22" s="224"/>
      <c r="K22" s="728"/>
      <c r="L22" s="236"/>
      <c r="M22" s="237"/>
      <c r="N22" s="235"/>
      <c r="O22" s="235"/>
      <c r="P22" s="235"/>
      <c r="Q22" s="224"/>
      <c r="R22" s="224"/>
      <c r="S22" s="246"/>
    </row>
    <row r="23" spans="2:19" s="193" customFormat="1" ht="15.95" customHeight="1" x14ac:dyDescent="0.25">
      <c r="B23" s="207" t="s">
        <v>908</v>
      </c>
      <c r="C23" s="186" t="s">
        <v>909</v>
      </c>
      <c r="D23" s="186"/>
      <c r="E23" s="186">
        <f>1*G18</f>
        <v>0.3</v>
      </c>
      <c r="F23" s="186">
        <f>1.5*G18</f>
        <v>0.44999999999999996</v>
      </c>
      <c r="G23" s="84">
        <v>0.4</v>
      </c>
      <c r="H23" s="203"/>
      <c r="J23" s="224"/>
      <c r="K23" s="728"/>
      <c r="L23" s="238"/>
      <c r="M23" s="238"/>
      <c r="N23" s="235"/>
      <c r="O23" s="729"/>
      <c r="P23" s="730"/>
      <c r="Q23" s="224"/>
      <c r="R23" s="224"/>
      <c r="S23" s="246"/>
    </row>
    <row r="24" spans="2:19" s="193" customFormat="1" ht="15.95" customHeight="1" x14ac:dyDescent="0.25">
      <c r="B24" s="207" t="s">
        <v>910</v>
      </c>
      <c r="C24" s="186" t="s">
        <v>911</v>
      </c>
      <c r="D24" s="186"/>
      <c r="E24" s="186">
        <f>0.4*C17</f>
        <v>0.72000000000000008</v>
      </c>
      <c r="F24" s="186">
        <f>0.6*C17</f>
        <v>1.08</v>
      </c>
      <c r="G24" s="84">
        <v>0.9</v>
      </c>
      <c r="H24" s="203"/>
      <c r="J24" s="224"/>
      <c r="K24" s="728"/>
      <c r="L24" s="239"/>
      <c r="M24" s="239"/>
      <c r="N24" s="235"/>
      <c r="O24" s="729"/>
      <c r="P24" s="730"/>
      <c r="Q24" s="224"/>
      <c r="R24" s="224"/>
      <c r="S24" s="246"/>
    </row>
    <row r="25" spans="2:19" s="193" customFormat="1" ht="15.95" customHeight="1" x14ac:dyDescent="0.25">
      <c r="B25" s="140" t="s">
        <v>912</v>
      </c>
      <c r="C25" s="600" t="s">
        <v>913</v>
      </c>
      <c r="D25" s="600"/>
      <c r="E25" s="600"/>
      <c r="F25" s="600"/>
      <c r="G25" s="84">
        <v>0.93</v>
      </c>
      <c r="H25" s="203"/>
      <c r="I25" s="240"/>
      <c r="J25" s="224"/>
      <c r="K25" s="224"/>
      <c r="L25" s="224"/>
      <c r="M25" s="224"/>
      <c r="N25" s="224"/>
      <c r="O25" s="224"/>
      <c r="P25" s="224"/>
      <c r="Q25" s="224"/>
      <c r="R25" s="224"/>
      <c r="S25" s="246"/>
    </row>
    <row r="26" spans="2:19" s="193" customFormat="1" ht="15.95" customHeight="1" x14ac:dyDescent="0.25">
      <c r="B26" s="207" t="s">
        <v>914</v>
      </c>
      <c r="C26" s="82">
        <f>C17+G24</f>
        <v>2.7</v>
      </c>
      <c r="D26" s="167" t="s">
        <v>12</v>
      </c>
      <c r="E26" s="208" t="str">
        <f>"H/t="&amp;ROUND(C26/G18,1)</f>
        <v>H/t=9</v>
      </c>
      <c r="F26" s="186" t="s">
        <v>915</v>
      </c>
      <c r="G26" s="84">
        <v>0.2</v>
      </c>
      <c r="H26" s="203"/>
      <c r="I26" s="240"/>
      <c r="J26" s="224"/>
      <c r="K26" s="224"/>
      <c r="L26" s="224"/>
      <c r="M26" s="224"/>
      <c r="N26" s="224"/>
      <c r="O26" s="224"/>
      <c r="P26" s="224"/>
      <c r="Q26" s="224"/>
      <c r="R26" s="224"/>
      <c r="S26" s="246"/>
    </row>
    <row r="27" spans="2:19" s="193" customFormat="1" ht="15.95" customHeight="1" x14ac:dyDescent="0.25">
      <c r="B27" s="172" t="s">
        <v>916</v>
      </c>
      <c r="C27" s="82">
        <f>C17+G24+G18+G23</f>
        <v>3.4</v>
      </c>
      <c r="D27" s="167" t="s">
        <v>12</v>
      </c>
      <c r="E27" s="209" t="str">
        <f>IF(C26/G18&lt;20,"横向刚度满足要求","横向刚度不满足要求")</f>
        <v>横向刚度满足要求</v>
      </c>
      <c r="F27" s="186" t="s">
        <v>917</v>
      </c>
      <c r="G27" s="84">
        <v>0.15</v>
      </c>
      <c r="H27" s="203"/>
      <c r="I27" s="240"/>
      <c r="J27" s="224"/>
      <c r="K27" s="224"/>
      <c r="L27" s="224"/>
      <c r="M27" s="224"/>
      <c r="N27" s="224"/>
      <c r="O27" s="224"/>
      <c r="P27" s="224"/>
      <c r="Q27" s="224"/>
      <c r="R27" s="224"/>
      <c r="S27" s="246"/>
    </row>
    <row r="28" spans="2:19" s="193" customFormat="1" ht="15.95" customHeight="1" x14ac:dyDescent="0.25">
      <c r="B28" s="210"/>
      <c r="C28" s="210"/>
      <c r="D28" s="210"/>
      <c r="E28" s="210"/>
      <c r="F28" s="186" t="s">
        <v>918</v>
      </c>
      <c r="G28" s="84">
        <v>0.35</v>
      </c>
      <c r="H28" s="203"/>
      <c r="I28" s="240"/>
      <c r="J28" s="224"/>
      <c r="K28" s="224"/>
      <c r="L28" s="224"/>
      <c r="M28" s="224"/>
      <c r="N28" s="224"/>
      <c r="O28" s="224"/>
      <c r="P28" s="224"/>
      <c r="Q28" s="224"/>
      <c r="R28" s="224"/>
      <c r="S28" s="246"/>
    </row>
    <row r="29" spans="2:19" s="193" customFormat="1" ht="15.95" customHeight="1" x14ac:dyDescent="0.25">
      <c r="B29" s="211"/>
      <c r="C29" s="211"/>
      <c r="D29" s="211"/>
      <c r="E29" s="211"/>
      <c r="F29" s="186" t="s">
        <v>919</v>
      </c>
      <c r="G29" s="84">
        <v>0.2</v>
      </c>
      <c r="H29" s="203"/>
      <c r="I29" s="240"/>
      <c r="J29" s="241"/>
      <c r="K29" s="241"/>
      <c r="L29" s="241"/>
      <c r="M29" s="241"/>
      <c r="N29" s="241"/>
      <c r="O29" s="241"/>
      <c r="P29" s="241"/>
      <c r="Q29" s="241"/>
      <c r="R29" s="241"/>
    </row>
    <row r="30" spans="2:19" s="193" customFormat="1" ht="15.95" customHeight="1" x14ac:dyDescent="0.25">
      <c r="B30" s="602" t="s">
        <v>920</v>
      </c>
      <c r="C30" s="179" t="s">
        <v>486</v>
      </c>
      <c r="D30" s="212">
        <v>1.35</v>
      </c>
      <c r="E30" s="167" t="s">
        <v>12</v>
      </c>
      <c r="F30" s="186"/>
      <c r="G30" s="84"/>
      <c r="H30" s="203"/>
      <c r="I30" s="240"/>
      <c r="J30" s="241"/>
      <c r="K30" s="241"/>
      <c r="L30" s="241"/>
      <c r="M30" s="241"/>
      <c r="N30" s="241"/>
      <c r="O30" s="241"/>
      <c r="P30" s="241"/>
      <c r="Q30" s="241"/>
      <c r="R30" s="241"/>
    </row>
    <row r="31" spans="2:19" s="193" customFormat="1" ht="15.95" customHeight="1" x14ac:dyDescent="0.25">
      <c r="B31" s="603"/>
      <c r="C31" s="179" t="s">
        <v>486</v>
      </c>
      <c r="D31" s="212">
        <v>2.04</v>
      </c>
      <c r="E31" s="167" t="s">
        <v>12</v>
      </c>
      <c r="F31" s="186" t="s">
        <v>921</v>
      </c>
      <c r="G31" s="186">
        <f>2*C17-2*G27</f>
        <v>3.3000000000000003</v>
      </c>
      <c r="H31" s="203"/>
      <c r="I31" s="240"/>
    </row>
    <row r="32" spans="2:19" s="193" customFormat="1" ht="15.95" customHeight="1" x14ac:dyDescent="0.25">
      <c r="B32" s="603"/>
      <c r="C32" s="172" t="s">
        <v>922</v>
      </c>
      <c r="D32" s="212">
        <v>2.2999999999999998</v>
      </c>
      <c r="E32" s="167" t="s">
        <v>12</v>
      </c>
      <c r="F32" s="186" t="s">
        <v>923</v>
      </c>
      <c r="G32" s="84">
        <v>1.6</v>
      </c>
      <c r="H32" s="203"/>
      <c r="I32" s="240"/>
    </row>
    <row r="33" spans="2:10" s="193" customFormat="1" ht="15.95" customHeight="1" x14ac:dyDescent="0.25">
      <c r="B33" s="604"/>
      <c r="C33" s="172" t="s">
        <v>924</v>
      </c>
      <c r="D33" s="212">
        <v>2.6</v>
      </c>
      <c r="E33" s="167" t="s">
        <v>12</v>
      </c>
      <c r="F33" s="186"/>
      <c r="G33" s="84"/>
      <c r="H33" s="203"/>
      <c r="I33" s="240"/>
    </row>
    <row r="34" spans="2:10" ht="14.25" x14ac:dyDescent="0.15">
      <c r="B34" s="601" t="s">
        <v>925</v>
      </c>
      <c r="C34" s="601"/>
      <c r="D34" s="601"/>
      <c r="E34" s="601"/>
      <c r="F34" s="601"/>
      <c r="G34" s="601"/>
      <c r="H34" s="601"/>
    </row>
    <row r="35" spans="2:10" x14ac:dyDescent="0.15">
      <c r="B35" s="605" t="s">
        <v>926</v>
      </c>
      <c r="C35" s="605"/>
      <c r="D35" s="605"/>
      <c r="E35" s="605"/>
      <c r="F35" s="605"/>
      <c r="G35" s="605"/>
      <c r="H35" s="605"/>
    </row>
    <row r="36" spans="2:10" ht="15.95" customHeight="1" x14ac:dyDescent="0.15">
      <c r="B36" s="213" t="s">
        <v>927</v>
      </c>
      <c r="C36" s="213" t="s">
        <v>928</v>
      </c>
      <c r="D36" s="213" t="s">
        <v>81</v>
      </c>
      <c r="E36" s="213" t="s">
        <v>82</v>
      </c>
      <c r="F36" s="213" t="s">
        <v>83</v>
      </c>
      <c r="G36" s="213" t="s">
        <v>929</v>
      </c>
      <c r="H36" s="213" t="s">
        <v>85</v>
      </c>
    </row>
    <row r="37" spans="2:10" ht="15.95" customHeight="1" x14ac:dyDescent="0.15">
      <c r="B37" s="72">
        <v>1</v>
      </c>
      <c r="C37" s="214">
        <f>2*G19*G20</f>
        <v>0.21</v>
      </c>
      <c r="D37" s="214">
        <f>1/2*G20</f>
        <v>0.15</v>
      </c>
      <c r="E37" s="214">
        <f>C37*D37</f>
        <v>3.15E-2</v>
      </c>
      <c r="F37" s="214">
        <f t="shared" ref="F37:F44" si="0">ABS($E$47-D37)</f>
        <v>1.8201416100749905</v>
      </c>
      <c r="G37" s="215">
        <f>C37*F37^2</f>
        <v>0.69571225095253952</v>
      </c>
      <c r="H37" s="215">
        <f>1/12*G19*G20^3*2</f>
        <v>1.5749999999999998E-3</v>
      </c>
    </row>
    <row r="38" spans="2:10" ht="15.95" customHeight="1" x14ac:dyDescent="0.15">
      <c r="B38" s="75">
        <v>2</v>
      </c>
      <c r="C38" s="214">
        <f>2*G19*G21*0.5</f>
        <v>0.12249999999999998</v>
      </c>
      <c r="D38" s="214">
        <f>G20+1/3*G21</f>
        <v>0.41666666666666663</v>
      </c>
      <c r="E38" s="214">
        <f t="shared" ref="E38:E44" si="1">C38*D38</f>
        <v>5.1041666666666659E-2</v>
      </c>
      <c r="F38" s="214">
        <f t="shared" si="0"/>
        <v>1.5534749434083239</v>
      </c>
      <c r="G38" s="215">
        <f t="shared" ref="G38:G44" si="2">C38*F38^2</f>
        <v>0.29562733897519311</v>
      </c>
      <c r="H38" s="215">
        <f>1/36*G19*G21^3*2</f>
        <v>8.3368055555555517E-4</v>
      </c>
    </row>
    <row r="39" spans="2:10" ht="15.95" customHeight="1" x14ac:dyDescent="0.15">
      <c r="B39" s="75">
        <v>3</v>
      </c>
      <c r="C39" s="214">
        <f>2*G18*G24</f>
        <v>0.54</v>
      </c>
      <c r="D39" s="214">
        <f>1/2*G24</f>
        <v>0.45</v>
      </c>
      <c r="E39" s="214">
        <f t="shared" si="1"/>
        <v>0.24300000000000002</v>
      </c>
      <c r="F39" s="214">
        <f t="shared" si="0"/>
        <v>1.5201416100749905</v>
      </c>
      <c r="G39" s="215">
        <f t="shared" si="2"/>
        <v>1.2478484779279477</v>
      </c>
      <c r="H39" s="215">
        <f>1/12*G18*G24^3*2</f>
        <v>3.6450000000000003E-2</v>
      </c>
    </row>
    <row r="40" spans="2:10" ht="15.95" customHeight="1" x14ac:dyDescent="0.15">
      <c r="B40" s="75">
        <v>4</v>
      </c>
      <c r="C40" s="214">
        <f>1/2*PI()*(C17+G18)^2</f>
        <v>6.9272118011654937</v>
      </c>
      <c r="D40" s="214">
        <f>G24+0.424*(C17+G18)</f>
        <v>1.7904</v>
      </c>
      <c r="E40" s="214">
        <f t="shared" si="1"/>
        <v>12.4024800088067</v>
      </c>
      <c r="F40" s="214">
        <f t="shared" si="0"/>
        <v>0.17974161007499045</v>
      </c>
      <c r="G40" s="215">
        <f t="shared" si="2"/>
        <v>0.22379775302988739</v>
      </c>
      <c r="H40" s="215">
        <f>0.00687*(2*(C17+G18))^4</f>
        <v>2.1377351520000003</v>
      </c>
    </row>
    <row r="41" spans="2:10" ht="15.95" customHeight="1" x14ac:dyDescent="0.15">
      <c r="B41" s="75">
        <v>5</v>
      </c>
      <c r="C41" s="214">
        <f>-1/2*PI()*C17^2</f>
        <v>-5.0893800988154654</v>
      </c>
      <c r="D41" s="214">
        <f>G24+0.424*C17</f>
        <v>1.6632</v>
      </c>
      <c r="E41" s="214">
        <f t="shared" si="1"/>
        <v>-8.4646569803498828</v>
      </c>
      <c r="F41" s="214">
        <f t="shared" si="0"/>
        <v>0.30694161007499043</v>
      </c>
      <c r="G41" s="215">
        <f t="shared" si="2"/>
        <v>-0.4794865408122051</v>
      </c>
      <c r="H41" s="215">
        <f>-0.00687*(2*C17)^4</f>
        <v>-1.1538961920000002</v>
      </c>
    </row>
    <row r="42" spans="2:10" ht="15.95" customHeight="1" x14ac:dyDescent="0.15">
      <c r="B42" s="75">
        <v>6</v>
      </c>
      <c r="C42" s="214">
        <f>G22*G23</f>
        <v>0.60000000000000009</v>
      </c>
      <c r="D42" s="214">
        <f>C26+G18+1/2*G23</f>
        <v>3.2</v>
      </c>
      <c r="E42" s="214">
        <f t="shared" si="1"/>
        <v>1.9200000000000004</v>
      </c>
      <c r="F42" s="214">
        <f t="shared" si="0"/>
        <v>1.2298583899250097</v>
      </c>
      <c r="G42" s="215">
        <f t="shared" si="2"/>
        <v>0.90753099556136241</v>
      </c>
      <c r="H42" s="215">
        <f>1/12*G22*G23^3</f>
        <v>8.0000000000000019E-3</v>
      </c>
    </row>
    <row r="43" spans="2:10" ht="15.95" customHeight="1" x14ac:dyDescent="0.2">
      <c r="B43" s="75">
        <v>7</v>
      </c>
      <c r="C43" s="216">
        <f>2*(0.2197-0.0009)</f>
        <v>0.43759999999999999</v>
      </c>
      <c r="D43" s="214">
        <f>C26+G18</f>
        <v>3</v>
      </c>
      <c r="E43" s="214">
        <f t="shared" si="1"/>
        <v>1.3128</v>
      </c>
      <c r="F43" s="214">
        <f t="shared" si="0"/>
        <v>1.0298583899250096</v>
      </c>
      <c r="G43" s="215">
        <f t="shared" si="2"/>
        <v>0.46412219352361311</v>
      </c>
      <c r="H43" s="215">
        <f>1/36*G25*G23^3*2</f>
        <v>3.3066666666666674E-3</v>
      </c>
    </row>
    <row r="44" spans="2:10" ht="15.95" customHeight="1" x14ac:dyDescent="0.15">
      <c r="B44" s="75">
        <v>8</v>
      </c>
      <c r="C44" s="214">
        <f>2*G26*G27</f>
        <v>0.06</v>
      </c>
      <c r="D44" s="214">
        <f>0.5*G26</f>
        <v>0.1</v>
      </c>
      <c r="E44" s="214">
        <f t="shared" si="1"/>
        <v>6.0000000000000001E-3</v>
      </c>
      <c r="F44" s="214">
        <f t="shared" si="0"/>
        <v>1.8701416100749904</v>
      </c>
      <c r="G44" s="215">
        <f t="shared" si="2"/>
        <v>0.20984577850403263</v>
      </c>
      <c r="H44" s="215">
        <f>1/12*G24*G26^3*2</f>
        <v>1.2000000000000003E-3</v>
      </c>
    </row>
    <row r="45" spans="2:10" ht="15.95" customHeight="1" x14ac:dyDescent="0.15">
      <c r="B45" s="75" t="s">
        <v>930</v>
      </c>
      <c r="C45" s="217">
        <f>SUM(C37:C44)</f>
        <v>3.8079317023500283</v>
      </c>
      <c r="D45" s="214"/>
      <c r="E45" s="217">
        <f>SUM(E37:E44)</f>
        <v>7.5021646951234837</v>
      </c>
      <c r="F45" s="214"/>
      <c r="G45" s="215">
        <f>SUM(G37:G44)</f>
        <v>3.5649982476623716</v>
      </c>
      <c r="H45" s="215">
        <f>SUM(H37:H44)</f>
        <v>1.0352043072222226</v>
      </c>
      <c r="I45" s="242" t="s">
        <v>931</v>
      </c>
      <c r="J45" s="190" t="s">
        <v>932</v>
      </c>
    </row>
    <row r="46" spans="2:10" ht="15.95" customHeight="1" x14ac:dyDescent="0.25">
      <c r="B46" s="606" t="s">
        <v>933</v>
      </c>
      <c r="C46" s="607"/>
      <c r="D46" s="608"/>
      <c r="E46" s="218">
        <f>C45</f>
        <v>3.8079317023500283</v>
      </c>
      <c r="F46" s="169" t="s">
        <v>934</v>
      </c>
      <c r="G46" s="195"/>
      <c r="I46" s="243">
        <v>3.8081</v>
      </c>
      <c r="J46" s="244">
        <f>(I46-E46)/I46</f>
        <v>4.4194650868340388E-5</v>
      </c>
    </row>
    <row r="47" spans="2:10" ht="15.95" customHeight="1" x14ac:dyDescent="0.25">
      <c r="B47" s="609" t="s">
        <v>935</v>
      </c>
      <c r="C47" s="609"/>
      <c r="D47" s="609"/>
      <c r="E47" s="218">
        <f>E45/C45</f>
        <v>1.9701416100749904</v>
      </c>
      <c r="F47" s="169" t="s">
        <v>12</v>
      </c>
      <c r="G47" s="195"/>
      <c r="I47" s="243">
        <f>C27-I48</f>
        <v>1.96</v>
      </c>
      <c r="J47" s="244">
        <f t="shared" ref="J47:J49" si="3">(I47-E47)/I47</f>
        <v>-5.17429085458698E-3</v>
      </c>
    </row>
    <row r="48" spans="2:10" ht="15.95" customHeight="1" x14ac:dyDescent="0.25">
      <c r="B48" s="609" t="s">
        <v>936</v>
      </c>
      <c r="C48" s="609"/>
      <c r="D48" s="609"/>
      <c r="E48" s="218">
        <f>C27-E47</f>
        <v>1.4298583899250095</v>
      </c>
      <c r="F48" s="169" t="s">
        <v>12</v>
      </c>
      <c r="G48" s="195"/>
      <c r="I48" s="243">
        <v>1.44</v>
      </c>
      <c r="J48" s="244">
        <f t="shared" si="3"/>
        <v>7.042784774298946E-3</v>
      </c>
    </row>
    <row r="49" spans="2:10" ht="15.95" customHeight="1" x14ac:dyDescent="0.25">
      <c r="B49" s="609" t="s">
        <v>937</v>
      </c>
      <c r="C49" s="609"/>
      <c r="D49" s="609"/>
      <c r="E49" s="218">
        <f>G45+H45</f>
        <v>4.6002025548845946</v>
      </c>
      <c r="F49" s="169" t="s">
        <v>938</v>
      </c>
      <c r="G49" s="195"/>
      <c r="H49" s="195"/>
      <c r="I49">
        <v>4.5289999999999999</v>
      </c>
      <c r="J49" s="244">
        <f t="shared" si="3"/>
        <v>-1.5721473809802319E-2</v>
      </c>
    </row>
    <row r="50" spans="2:10" ht="15.95" customHeight="1" x14ac:dyDescent="0.2">
      <c r="B50" s="599" t="s">
        <v>939</v>
      </c>
      <c r="C50" s="599"/>
      <c r="D50" s="599"/>
      <c r="E50" s="218">
        <f>1/2*(C17+C17+G18)</f>
        <v>1.95</v>
      </c>
      <c r="F50" s="169"/>
      <c r="G50" s="195"/>
      <c r="H50" s="195"/>
    </row>
    <row r="51" spans="2:10" ht="15.95" customHeight="1" x14ac:dyDescent="0.2">
      <c r="B51" s="599" t="s">
        <v>940</v>
      </c>
      <c r="C51" s="599"/>
      <c r="D51" s="599"/>
      <c r="E51" s="218">
        <f>E47-G24</f>
        <v>1.0701416100749905</v>
      </c>
      <c r="F51" s="169"/>
      <c r="G51" s="195"/>
      <c r="H51" s="195"/>
    </row>
    <row r="52" spans="2:10" ht="15.95" customHeight="1" x14ac:dyDescent="0.2">
      <c r="B52" s="610" t="s">
        <v>941</v>
      </c>
      <c r="C52" s="611"/>
      <c r="D52" s="612"/>
      <c r="E52" s="218">
        <f>E51/E50</f>
        <v>0.54879056926922598</v>
      </c>
      <c r="F52" s="169"/>
      <c r="G52" s="195"/>
      <c r="H52" s="195"/>
      <c r="J52">
        <f>I46*0.002*10^6</f>
        <v>7616.2</v>
      </c>
    </row>
    <row r="53" spans="2:10" ht="15.95" customHeight="1" x14ac:dyDescent="0.2">
      <c r="B53" s="609" t="s">
        <v>98</v>
      </c>
      <c r="C53" s="609"/>
      <c r="D53" s="609"/>
      <c r="E53" s="218">
        <f>ACOS(E52)</f>
        <v>0.98987953404347906</v>
      </c>
      <c r="F53" s="169"/>
      <c r="G53" s="195"/>
      <c r="H53" s="195"/>
    </row>
    <row r="54" spans="2:10" ht="38.25" customHeight="1" x14ac:dyDescent="0.15">
      <c r="B54" s="613"/>
      <c r="C54" s="614"/>
      <c r="D54" s="614"/>
      <c r="E54" s="614"/>
      <c r="F54" s="615"/>
      <c r="G54" s="219"/>
      <c r="H54" s="219"/>
    </row>
    <row r="55" spans="2:10" ht="15.95" customHeight="1" x14ac:dyDescent="0.15">
      <c r="B55" s="616" t="s">
        <v>535</v>
      </c>
      <c r="C55" s="616"/>
      <c r="D55" s="616"/>
      <c r="E55" s="220">
        <f>2*G18*E50^2*(SIN(E53)-E53*E52)</f>
        <v>0.66784825706658624</v>
      </c>
      <c r="F55" s="221" t="s">
        <v>942</v>
      </c>
      <c r="G55" s="219"/>
      <c r="H55" s="219"/>
    </row>
    <row r="56" spans="2:10" ht="48" customHeight="1" x14ac:dyDescent="0.15">
      <c r="B56" s="613"/>
      <c r="C56" s="614"/>
      <c r="D56" s="614"/>
      <c r="E56" s="614"/>
      <c r="F56" s="615"/>
      <c r="G56" s="219"/>
      <c r="H56" s="219"/>
    </row>
    <row r="57" spans="2:10" ht="14.25" x14ac:dyDescent="0.15">
      <c r="B57" s="616" t="s">
        <v>537</v>
      </c>
      <c r="C57" s="616"/>
      <c r="D57" s="616"/>
      <c r="E57" s="220">
        <f>G23*G22*(E48-1/2*G23)+2*G23*G25*(E48-G23)/2</f>
        <v>1.1210223550071095</v>
      </c>
      <c r="F57" s="221" t="s">
        <v>942</v>
      </c>
      <c r="G57" s="219"/>
      <c r="H57" s="219"/>
    </row>
    <row r="58" spans="2:10" ht="14.25" x14ac:dyDescent="0.15">
      <c r="B58" s="617" t="s">
        <v>102</v>
      </c>
      <c r="C58" s="618"/>
      <c r="D58" s="619"/>
      <c r="E58" s="222">
        <f>E55+E57</f>
        <v>1.7888706120736957</v>
      </c>
      <c r="F58" s="223" t="s">
        <v>942</v>
      </c>
      <c r="G58" s="219"/>
      <c r="H58" s="219"/>
    </row>
    <row r="59" spans="2:10" s="192" customFormat="1" ht="14.25" x14ac:dyDescent="0.15">
      <c r="B59" s="620" t="s">
        <v>943</v>
      </c>
      <c r="C59" s="620"/>
      <c r="D59" s="620"/>
      <c r="E59" s="620"/>
      <c r="F59" s="620"/>
      <c r="G59" s="620"/>
      <c r="H59" s="620"/>
    </row>
    <row r="60" spans="2:10" ht="15" customHeight="1" x14ac:dyDescent="0.3">
      <c r="B60" s="622" t="s">
        <v>944</v>
      </c>
      <c r="C60" s="621" t="s">
        <v>53</v>
      </c>
      <c r="D60" s="621"/>
      <c r="E60" s="621"/>
      <c r="F60" s="159">
        <v>19.100000000000001</v>
      </c>
      <c r="G60" s="160" t="s">
        <v>945</v>
      </c>
      <c r="H60" s="161" t="s">
        <v>946</v>
      </c>
    </row>
    <row r="61" spans="2:10" ht="15" customHeight="1" x14ac:dyDescent="0.25">
      <c r="B61" s="622"/>
      <c r="C61" s="621" t="s">
        <v>56</v>
      </c>
      <c r="D61" s="621"/>
      <c r="E61" s="621"/>
      <c r="F61" s="159">
        <v>1.71</v>
      </c>
      <c r="G61" s="160" t="s">
        <v>945</v>
      </c>
      <c r="H61" s="752"/>
      <c r="I61" s="245"/>
      <c r="J61" s="245"/>
    </row>
    <row r="62" spans="2:10" ht="15" customHeight="1" x14ac:dyDescent="0.25">
      <c r="B62" s="622"/>
      <c r="C62" s="621" t="s">
        <v>57</v>
      </c>
      <c r="D62" s="621"/>
      <c r="E62" s="621"/>
      <c r="F62" s="159">
        <v>2.39</v>
      </c>
      <c r="G62" s="160" t="s">
        <v>945</v>
      </c>
      <c r="H62" s="752"/>
    </row>
    <row r="63" spans="2:10" ht="15" customHeight="1" x14ac:dyDescent="0.25">
      <c r="B63" s="622"/>
      <c r="C63" s="621" t="s">
        <v>58</v>
      </c>
      <c r="D63" s="621"/>
      <c r="E63" s="621"/>
      <c r="F63" s="159">
        <v>26.8</v>
      </c>
      <c r="G63" s="160" t="s">
        <v>945</v>
      </c>
      <c r="H63" s="752"/>
    </row>
    <row r="64" spans="2:10" ht="15" customHeight="1" x14ac:dyDescent="0.25">
      <c r="B64" s="622"/>
      <c r="C64" s="621" t="s">
        <v>947</v>
      </c>
      <c r="D64" s="621"/>
      <c r="E64" s="621"/>
      <c r="F64" s="159">
        <f>3.25*10^4</f>
        <v>32500</v>
      </c>
      <c r="G64" s="160" t="s">
        <v>945</v>
      </c>
      <c r="H64" s="752"/>
    </row>
    <row r="65" spans="1:10" ht="15" customHeight="1" x14ac:dyDescent="0.3">
      <c r="B65" s="755" t="s">
        <v>948</v>
      </c>
      <c r="C65" s="623" t="s">
        <v>949</v>
      </c>
      <c r="D65" s="623"/>
      <c r="E65" s="623"/>
      <c r="F65" s="163">
        <f>0.75*F60</f>
        <v>14.325000000000001</v>
      </c>
      <c r="G65" s="160" t="s">
        <v>945</v>
      </c>
      <c r="H65" s="753" t="s">
        <v>950</v>
      </c>
    </row>
    <row r="66" spans="1:10" ht="15" customHeight="1" x14ac:dyDescent="0.3">
      <c r="B66" s="755"/>
      <c r="C66" s="623" t="s">
        <v>951</v>
      </c>
      <c r="D66" s="623"/>
      <c r="E66" s="623"/>
      <c r="F66" s="163">
        <f>F61*0.75</f>
        <v>1.2825</v>
      </c>
      <c r="G66" s="160" t="s">
        <v>945</v>
      </c>
      <c r="H66" s="754"/>
    </row>
    <row r="67" spans="1:10" ht="15" customHeight="1" x14ac:dyDescent="0.3">
      <c r="B67" s="755"/>
      <c r="C67" s="623" t="s">
        <v>952</v>
      </c>
      <c r="D67" s="623"/>
      <c r="E67" s="623"/>
      <c r="F67" s="164">
        <f>0.75*F63</f>
        <v>20.100000000000001</v>
      </c>
      <c r="G67" s="160" t="s">
        <v>945</v>
      </c>
      <c r="H67" s="754"/>
    </row>
    <row r="68" spans="1:10" ht="15" customHeight="1" x14ac:dyDescent="0.3">
      <c r="B68" s="622" t="s">
        <v>953</v>
      </c>
      <c r="C68" s="621" t="s">
        <v>64</v>
      </c>
      <c r="D68" s="621"/>
      <c r="E68" s="621"/>
      <c r="F68" s="159">
        <v>360</v>
      </c>
      <c r="G68" s="160" t="s">
        <v>945</v>
      </c>
      <c r="H68" s="160"/>
      <c r="I68" s="256"/>
      <c r="J68" s="256"/>
    </row>
    <row r="69" spans="1:10" ht="15" customHeight="1" x14ac:dyDescent="0.3">
      <c r="B69" s="622"/>
      <c r="C69" s="621" t="s">
        <v>65</v>
      </c>
      <c r="D69" s="621"/>
      <c r="E69" s="621"/>
      <c r="F69" s="159">
        <v>360</v>
      </c>
      <c r="G69" s="160" t="s">
        <v>945</v>
      </c>
      <c r="H69" s="160"/>
    </row>
    <row r="70" spans="1:10" ht="15" customHeight="1" x14ac:dyDescent="0.3">
      <c r="B70" s="622"/>
      <c r="C70" s="621" t="s">
        <v>66</v>
      </c>
      <c r="D70" s="621"/>
      <c r="E70" s="621"/>
      <c r="F70" s="159">
        <v>200000</v>
      </c>
      <c r="G70" s="160" t="s">
        <v>945</v>
      </c>
      <c r="H70" s="160"/>
    </row>
    <row r="71" spans="1:10" ht="15" customHeight="1" x14ac:dyDescent="0.3">
      <c r="A71" s="247"/>
      <c r="B71" s="622"/>
      <c r="C71" s="621" t="s">
        <v>68</v>
      </c>
      <c r="D71" s="621"/>
      <c r="E71" s="621"/>
      <c r="F71" s="159">
        <v>980</v>
      </c>
      <c r="G71" s="160" t="s">
        <v>945</v>
      </c>
      <c r="H71" s="160"/>
    </row>
    <row r="72" spans="1:10" ht="15" customHeight="1" x14ac:dyDescent="0.3">
      <c r="A72" s="247"/>
      <c r="B72" s="622"/>
      <c r="C72" s="621" t="s">
        <v>70</v>
      </c>
      <c r="D72" s="621"/>
      <c r="E72" s="621"/>
      <c r="F72" s="159">
        <v>300</v>
      </c>
      <c r="G72" s="160" t="s">
        <v>945</v>
      </c>
      <c r="H72" s="160"/>
    </row>
    <row r="73" spans="1:10" ht="15" customHeight="1" x14ac:dyDescent="0.3">
      <c r="B73" s="622" t="s">
        <v>954</v>
      </c>
      <c r="C73" s="621" t="s">
        <v>71</v>
      </c>
      <c r="D73" s="621"/>
      <c r="E73" s="621"/>
      <c r="F73" s="159">
        <v>1860</v>
      </c>
      <c r="G73" s="160" t="s">
        <v>945</v>
      </c>
      <c r="H73" s="160"/>
    </row>
    <row r="74" spans="1:10" ht="15" customHeight="1" x14ac:dyDescent="0.3">
      <c r="B74" s="622"/>
      <c r="C74" s="621" t="s">
        <v>72</v>
      </c>
      <c r="D74" s="621"/>
      <c r="E74" s="621"/>
      <c r="F74" s="159">
        <v>1320</v>
      </c>
      <c r="G74" s="160" t="s">
        <v>945</v>
      </c>
      <c r="H74" s="160"/>
      <c r="I74" t="s">
        <v>73</v>
      </c>
    </row>
    <row r="75" spans="1:10" ht="15" customHeight="1" x14ac:dyDescent="0.3">
      <c r="B75" s="622"/>
      <c r="C75" s="621" t="s">
        <v>955</v>
      </c>
      <c r="D75" s="621"/>
      <c r="E75" s="621"/>
      <c r="F75" s="159">
        <v>390</v>
      </c>
      <c r="G75" s="160" t="s">
        <v>945</v>
      </c>
      <c r="H75" s="160"/>
    </row>
    <row r="76" spans="1:10" ht="15" customHeight="1" x14ac:dyDescent="0.3">
      <c r="B76" s="622"/>
      <c r="C76" s="621" t="s">
        <v>75</v>
      </c>
      <c r="D76" s="621"/>
      <c r="E76" s="621"/>
      <c r="F76" s="159">
        <v>195000</v>
      </c>
      <c r="G76" s="160" t="s">
        <v>945</v>
      </c>
      <c r="H76" s="160"/>
    </row>
    <row r="77" spans="1:10" x14ac:dyDescent="0.15">
      <c r="B77" s="248"/>
      <c r="C77" s="248"/>
      <c r="D77" s="248"/>
      <c r="E77" s="249"/>
      <c r="F77" s="250"/>
      <c r="G77" s="251"/>
      <c r="H77" s="252"/>
    </row>
    <row r="78" spans="1:10" ht="14.25" x14ac:dyDescent="0.15">
      <c r="B78" s="624" t="s">
        <v>956</v>
      </c>
      <c r="C78" s="624"/>
      <c r="D78" s="624"/>
      <c r="E78" s="624"/>
      <c r="F78" s="250"/>
      <c r="G78" s="251"/>
      <c r="H78" s="252"/>
    </row>
    <row r="79" spans="1:10" s="194" customFormat="1" ht="15.95" customHeight="1" x14ac:dyDescent="0.2">
      <c r="B79" s="625" t="s">
        <v>957</v>
      </c>
      <c r="C79" s="626"/>
      <c r="D79" s="626"/>
      <c r="E79" s="627"/>
    </row>
    <row r="80" spans="1:10" s="195" customFormat="1" ht="15.95" customHeight="1" x14ac:dyDescent="0.25">
      <c r="B80" s="628" t="s">
        <v>958</v>
      </c>
      <c r="C80" s="629"/>
      <c r="D80" s="79">
        <v>1.05</v>
      </c>
      <c r="E80" s="75"/>
      <c r="F80" s="253"/>
    </row>
    <row r="81" spans="2:6" s="195" customFormat="1" ht="15.95" customHeight="1" x14ac:dyDescent="0.2">
      <c r="B81" s="630" t="s">
        <v>959</v>
      </c>
      <c r="C81" s="631"/>
      <c r="D81" s="75">
        <v>25</v>
      </c>
      <c r="E81" s="75" t="s">
        <v>960</v>
      </c>
      <c r="F81" s="253"/>
    </row>
    <row r="82" spans="2:6" s="195" customFormat="1" ht="15.95" customHeight="1" x14ac:dyDescent="0.2">
      <c r="B82" s="630" t="s">
        <v>961</v>
      </c>
      <c r="C82" s="631"/>
      <c r="D82" s="254">
        <f>D81*C45</f>
        <v>95.198292558750708</v>
      </c>
      <c r="E82" s="75" t="s">
        <v>108</v>
      </c>
      <c r="F82" s="253"/>
    </row>
    <row r="83" spans="2:6" s="195" customFormat="1" ht="15.95" customHeight="1" x14ac:dyDescent="0.2">
      <c r="B83" s="630" t="s">
        <v>962</v>
      </c>
      <c r="C83" s="631"/>
      <c r="D83" s="254">
        <f>D80*D82</f>
        <v>99.958207186688242</v>
      </c>
      <c r="E83" s="75" t="s">
        <v>108</v>
      </c>
      <c r="F83" s="253"/>
    </row>
    <row r="84" spans="2:6" s="195" customFormat="1" ht="15.95" customHeight="1" x14ac:dyDescent="0.2">
      <c r="B84" s="625" t="s">
        <v>963</v>
      </c>
      <c r="C84" s="626"/>
      <c r="D84" s="626"/>
      <c r="E84" s="627"/>
      <c r="F84" s="253"/>
    </row>
    <row r="85" spans="2:6" s="195" customFormat="1" ht="15.95" customHeight="1" x14ac:dyDescent="0.25">
      <c r="B85" s="628" t="s">
        <v>958</v>
      </c>
      <c r="C85" s="629"/>
      <c r="D85" s="79">
        <v>1.05</v>
      </c>
      <c r="E85" s="75"/>
      <c r="F85" s="253"/>
    </row>
    <row r="86" spans="2:6" s="195" customFormat="1" ht="15.95" customHeight="1" x14ac:dyDescent="0.2">
      <c r="B86" s="630" t="s">
        <v>959</v>
      </c>
      <c r="C86" s="631"/>
      <c r="D86" s="75">
        <v>25</v>
      </c>
      <c r="E86" s="75" t="s">
        <v>960</v>
      </c>
      <c r="F86" s="253"/>
    </row>
    <row r="87" spans="2:6" s="195" customFormat="1" ht="15.95" customHeight="1" x14ac:dyDescent="0.2">
      <c r="B87" s="632" t="s">
        <v>964</v>
      </c>
      <c r="C87" s="633"/>
      <c r="D87" s="79">
        <f>2.104*1</f>
        <v>2.1040000000000001</v>
      </c>
      <c r="E87" s="75"/>
      <c r="F87" s="253"/>
    </row>
    <row r="88" spans="2:6" s="195" customFormat="1" ht="15.95" customHeight="1" x14ac:dyDescent="0.2">
      <c r="B88" s="630" t="s">
        <v>961</v>
      </c>
      <c r="C88" s="631"/>
      <c r="D88" s="254">
        <f>D86*D87/D14</f>
        <v>1.7533333333333334</v>
      </c>
      <c r="E88" s="75" t="s">
        <v>108</v>
      </c>
      <c r="F88" s="253"/>
    </row>
    <row r="89" spans="2:6" s="195" customFormat="1" ht="15.95" customHeight="1" x14ac:dyDescent="0.2">
      <c r="B89" s="630" t="s">
        <v>962</v>
      </c>
      <c r="C89" s="631"/>
      <c r="D89" s="254">
        <f>D85*D88</f>
        <v>1.8410000000000002</v>
      </c>
      <c r="E89" s="75" t="s">
        <v>108</v>
      </c>
      <c r="F89" s="253"/>
    </row>
    <row r="90" spans="2:6" s="195" customFormat="1" ht="15.95" customHeight="1" x14ac:dyDescent="0.2">
      <c r="B90" s="634" t="s">
        <v>965</v>
      </c>
      <c r="C90" s="634"/>
      <c r="D90" s="634"/>
      <c r="E90" s="634"/>
      <c r="F90" s="253"/>
    </row>
    <row r="91" spans="2:6" s="195" customFormat="1" ht="15.95" customHeight="1" x14ac:dyDescent="0.25">
      <c r="B91" s="628" t="s">
        <v>958</v>
      </c>
      <c r="C91" s="629"/>
      <c r="D91" s="79">
        <v>1.05</v>
      </c>
      <c r="E91" s="75"/>
      <c r="F91" s="253"/>
    </row>
    <row r="92" spans="2:6" s="195" customFormat="1" ht="15.95" customHeight="1" x14ac:dyDescent="0.2">
      <c r="B92" s="630" t="s">
        <v>966</v>
      </c>
      <c r="C92" s="631"/>
      <c r="D92" s="75">
        <v>25</v>
      </c>
      <c r="E92" s="75" t="s">
        <v>960</v>
      </c>
      <c r="F92" s="253"/>
    </row>
    <row r="93" spans="2:6" s="195" customFormat="1" ht="15.95" customHeight="1" x14ac:dyDescent="0.2">
      <c r="B93" s="630" t="s">
        <v>967</v>
      </c>
      <c r="C93" s="631"/>
      <c r="D93" s="254">
        <f>D92*G28*G29*G31/G32</f>
        <v>3.609375</v>
      </c>
      <c r="E93" s="75" t="s">
        <v>108</v>
      </c>
      <c r="F93" s="253"/>
    </row>
    <row r="94" spans="2:6" s="195" customFormat="1" ht="15.95" customHeight="1" x14ac:dyDescent="0.2">
      <c r="B94" s="630" t="s">
        <v>968</v>
      </c>
      <c r="C94" s="631"/>
      <c r="D94" s="254">
        <f>D91*D93</f>
        <v>3.7898437500000002</v>
      </c>
      <c r="E94" s="75" t="s">
        <v>108</v>
      </c>
      <c r="F94" s="253"/>
    </row>
    <row r="95" spans="2:6" s="195" customFormat="1" ht="15.95" customHeight="1" x14ac:dyDescent="0.2">
      <c r="B95" s="634" t="s">
        <v>969</v>
      </c>
      <c r="C95" s="634"/>
      <c r="D95" s="634"/>
      <c r="E95" s="634"/>
      <c r="F95" s="253"/>
    </row>
    <row r="96" spans="2:6" s="195" customFormat="1" ht="15.95" customHeight="1" x14ac:dyDescent="0.2">
      <c r="B96" s="630" t="s">
        <v>958</v>
      </c>
      <c r="C96" s="631"/>
      <c r="D96" s="79">
        <v>1.2</v>
      </c>
      <c r="E96" s="75"/>
      <c r="F96" s="253"/>
    </row>
    <row r="97" spans="2:6" s="195" customFormat="1" ht="15.95" customHeight="1" x14ac:dyDescent="0.25">
      <c r="B97" s="628" t="s">
        <v>970</v>
      </c>
      <c r="C97" s="629"/>
      <c r="D97" s="75">
        <f>3</f>
        <v>3</v>
      </c>
      <c r="E97" s="75" t="s">
        <v>971</v>
      </c>
      <c r="F97" s="253"/>
    </row>
    <row r="98" spans="2:6" s="195" customFormat="1" ht="15.95" customHeight="1" x14ac:dyDescent="0.2">
      <c r="B98" s="630" t="s">
        <v>972</v>
      </c>
      <c r="C98" s="631"/>
      <c r="D98" s="75">
        <f>D97*G27*2</f>
        <v>0.89999999999999991</v>
      </c>
      <c r="E98" s="75"/>
      <c r="F98" s="253"/>
    </row>
    <row r="99" spans="2:6" s="195" customFormat="1" ht="15.95" customHeight="1" x14ac:dyDescent="0.2">
      <c r="B99" s="630" t="s">
        <v>973</v>
      </c>
      <c r="C99" s="631"/>
      <c r="D99" s="75">
        <f>D96*D98</f>
        <v>1.0799999999999998</v>
      </c>
      <c r="E99" s="75" t="s">
        <v>108</v>
      </c>
      <c r="F99" s="253"/>
    </row>
    <row r="100" spans="2:6" s="195" customFormat="1" ht="15.95" customHeight="1" x14ac:dyDescent="0.2">
      <c r="B100" s="634" t="s">
        <v>974</v>
      </c>
      <c r="C100" s="634"/>
      <c r="D100" s="634"/>
      <c r="E100" s="634"/>
      <c r="F100" s="253"/>
    </row>
    <row r="101" spans="2:6" s="195" customFormat="1" ht="15.95" customHeight="1" x14ac:dyDescent="0.2">
      <c r="B101" s="635" t="s">
        <v>975</v>
      </c>
      <c r="C101" s="634"/>
      <c r="D101" s="634"/>
      <c r="E101" s="636"/>
      <c r="F101" s="253"/>
    </row>
    <row r="102" spans="2:6" s="195" customFormat="1" ht="15.95" customHeight="1" x14ac:dyDescent="0.25">
      <c r="B102" s="628" t="s">
        <v>958</v>
      </c>
      <c r="C102" s="629"/>
      <c r="D102" s="79">
        <v>1.05</v>
      </c>
      <c r="E102" s="72"/>
      <c r="F102" s="253"/>
    </row>
    <row r="103" spans="2:6" s="195" customFormat="1" ht="15.95" customHeight="1" x14ac:dyDescent="0.2">
      <c r="B103" s="637" t="s">
        <v>976</v>
      </c>
      <c r="C103" s="637"/>
      <c r="D103" s="75">
        <v>10</v>
      </c>
      <c r="E103" s="75" t="s">
        <v>960</v>
      </c>
      <c r="F103" s="253"/>
    </row>
    <row r="104" spans="2:6" s="195" customFormat="1" ht="15.95" customHeight="1" x14ac:dyDescent="0.2">
      <c r="B104" s="638" t="s">
        <v>977</v>
      </c>
      <c r="C104" s="637"/>
      <c r="D104" s="72">
        <f>D30</f>
        <v>1.35</v>
      </c>
      <c r="E104" s="72" t="s">
        <v>12</v>
      </c>
      <c r="F104" s="253"/>
    </row>
    <row r="105" spans="2:6" s="195" customFormat="1" ht="15.95" customHeight="1" x14ac:dyDescent="0.2">
      <c r="B105" s="639" t="s">
        <v>978</v>
      </c>
      <c r="C105" s="639"/>
      <c r="D105" s="72">
        <f>D104-D13</f>
        <v>-0.44999999999999996</v>
      </c>
      <c r="E105" s="72" t="s">
        <v>12</v>
      </c>
      <c r="F105" s="253"/>
    </row>
    <row r="106" spans="2:6" s="195" customFormat="1" ht="15.95" customHeight="1" x14ac:dyDescent="0.2">
      <c r="B106" s="637" t="s">
        <v>979</v>
      </c>
      <c r="C106" s="637"/>
      <c r="D106" s="254">
        <f>IF(D105&gt;0,(1/2*PI()*D13^2+2*D13*D105),(ACOS(ABS(D105)/D13)*D13^2-(D13^2-D105^2)^0.5*ABS(D105)))</f>
        <v>3.4864169445481288</v>
      </c>
      <c r="E106" s="72" t="s">
        <v>980</v>
      </c>
      <c r="F106" s="253"/>
    </row>
    <row r="107" spans="2:6" s="195" customFormat="1" ht="15.95" customHeight="1" x14ac:dyDescent="0.2">
      <c r="B107" s="637" t="s">
        <v>981</v>
      </c>
      <c r="C107" s="637"/>
      <c r="D107" s="254">
        <f>D103*D106</f>
        <v>34.864169445481288</v>
      </c>
      <c r="E107" s="75" t="s">
        <v>108</v>
      </c>
      <c r="F107" s="253"/>
    </row>
    <row r="108" spans="2:6" s="195" customFormat="1" ht="15.95" customHeight="1" x14ac:dyDescent="0.2">
      <c r="B108" s="637" t="s">
        <v>973</v>
      </c>
      <c r="C108" s="637"/>
      <c r="D108" s="254">
        <f>D102*D107</f>
        <v>36.60737791775535</v>
      </c>
      <c r="E108" s="75" t="s">
        <v>108</v>
      </c>
      <c r="F108" s="253"/>
    </row>
    <row r="109" spans="2:6" s="195" customFormat="1" ht="15.95" customHeight="1" x14ac:dyDescent="0.2">
      <c r="B109" s="640" t="s">
        <v>982</v>
      </c>
      <c r="C109" s="634"/>
      <c r="D109" s="634"/>
      <c r="E109" s="636"/>
      <c r="F109" s="253"/>
    </row>
    <row r="110" spans="2:6" s="195" customFormat="1" ht="15.95" customHeight="1" x14ac:dyDescent="0.25">
      <c r="B110" s="628" t="s">
        <v>958</v>
      </c>
      <c r="C110" s="629"/>
      <c r="D110" s="79">
        <v>1.05</v>
      </c>
      <c r="E110" s="72"/>
      <c r="F110" s="253"/>
    </row>
    <row r="111" spans="2:6" s="195" customFormat="1" ht="15.95" customHeight="1" x14ac:dyDescent="0.2">
      <c r="B111" s="637" t="s">
        <v>976</v>
      </c>
      <c r="C111" s="637"/>
      <c r="D111" s="75">
        <v>10</v>
      </c>
      <c r="E111" s="75" t="s">
        <v>960</v>
      </c>
      <c r="F111" s="253"/>
    </row>
    <row r="112" spans="2:6" s="195" customFormat="1" ht="15.95" customHeight="1" x14ac:dyDescent="0.2">
      <c r="B112" s="637" t="s">
        <v>983</v>
      </c>
      <c r="C112" s="637"/>
      <c r="D112" s="72">
        <f>D31</f>
        <v>2.04</v>
      </c>
      <c r="E112" s="72" t="s">
        <v>12</v>
      </c>
      <c r="F112" s="253"/>
    </row>
    <row r="113" spans="2:9" s="195" customFormat="1" ht="15.95" customHeight="1" x14ac:dyDescent="0.2">
      <c r="B113" s="639" t="s">
        <v>978</v>
      </c>
      <c r="C113" s="639"/>
      <c r="D113" s="72">
        <f>D112-D13</f>
        <v>0.24</v>
      </c>
      <c r="E113" s="72" t="s">
        <v>12</v>
      </c>
      <c r="F113" s="253"/>
    </row>
    <row r="114" spans="2:9" s="195" customFormat="1" ht="15.95" customHeight="1" x14ac:dyDescent="0.2">
      <c r="B114" s="637" t="s">
        <v>979</v>
      </c>
      <c r="C114" s="637"/>
      <c r="D114" s="254">
        <f>IF(D113&gt;0,(1/2*PI()*D13^2+2*D13*D113),(ACOS(ABS(D113)/D13)*D13^2-(D13^2-D113^2)^0.5*ABS(D113)))</f>
        <v>5.9533800988154653</v>
      </c>
      <c r="E114" s="72" t="s">
        <v>980</v>
      </c>
      <c r="F114" s="253"/>
    </row>
    <row r="115" spans="2:9" s="195" customFormat="1" ht="15.95" customHeight="1" x14ac:dyDescent="0.2">
      <c r="B115" s="637" t="s">
        <v>981</v>
      </c>
      <c r="C115" s="637"/>
      <c r="D115" s="254">
        <f>D111*D114</f>
        <v>59.533800988154653</v>
      </c>
      <c r="E115" s="75" t="s">
        <v>108</v>
      </c>
      <c r="F115" s="253"/>
    </row>
    <row r="116" spans="2:9" s="195" customFormat="1" ht="15.95" customHeight="1" x14ac:dyDescent="0.2">
      <c r="B116" s="637" t="s">
        <v>973</v>
      </c>
      <c r="C116" s="637"/>
      <c r="D116" s="254">
        <f>D110*D115</f>
        <v>62.510491037562389</v>
      </c>
      <c r="E116" s="75" t="s">
        <v>108</v>
      </c>
      <c r="F116" s="253"/>
    </row>
    <row r="117" spans="2:9" s="195" customFormat="1" ht="15.95" customHeight="1" x14ac:dyDescent="0.2">
      <c r="B117" s="641" t="s">
        <v>984</v>
      </c>
      <c r="C117" s="641"/>
      <c r="D117" s="641"/>
      <c r="E117" s="641"/>
      <c r="F117" s="253"/>
    </row>
    <row r="118" spans="2:9" s="195" customFormat="1" ht="15.95" customHeight="1" x14ac:dyDescent="0.25">
      <c r="B118" s="628" t="s">
        <v>958</v>
      </c>
      <c r="C118" s="629"/>
      <c r="D118" s="79">
        <v>1.05</v>
      </c>
      <c r="E118" s="72"/>
      <c r="F118" s="253"/>
    </row>
    <row r="119" spans="2:9" s="195" customFormat="1" ht="15.95" customHeight="1" x14ac:dyDescent="0.2">
      <c r="B119" s="637" t="s">
        <v>976</v>
      </c>
      <c r="C119" s="637"/>
      <c r="D119" s="75">
        <v>10</v>
      </c>
      <c r="E119" s="75" t="s">
        <v>960</v>
      </c>
      <c r="F119" s="253"/>
    </row>
    <row r="120" spans="2:9" s="195" customFormat="1" ht="15.95" customHeight="1" x14ac:dyDescent="0.2">
      <c r="B120" s="637" t="s">
        <v>983</v>
      </c>
      <c r="C120" s="637"/>
      <c r="D120" s="72">
        <f>D33</f>
        <v>2.6</v>
      </c>
      <c r="E120" s="72" t="s">
        <v>12</v>
      </c>
      <c r="F120" s="253"/>
    </row>
    <row r="121" spans="2:9" s="195" customFormat="1" ht="15.95" customHeight="1" x14ac:dyDescent="0.2">
      <c r="B121" s="639" t="s">
        <v>978</v>
      </c>
      <c r="C121" s="639"/>
      <c r="D121" s="72">
        <f>D32-D13</f>
        <v>0.49999999999999978</v>
      </c>
      <c r="E121" s="72" t="s">
        <v>12</v>
      </c>
      <c r="F121" s="253"/>
    </row>
    <row r="122" spans="2:9" s="195" customFormat="1" ht="15.95" customHeight="1" x14ac:dyDescent="0.2">
      <c r="B122" s="637" t="s">
        <v>979</v>
      </c>
      <c r="C122" s="637"/>
      <c r="D122" s="254">
        <f>IF(D121&gt;0,(1/2*PI()*D13^2+2*D13*D121),(ACOS(ABS(D121)/D13)*D13^2-(D13^2-D121^2)^0.5*ABS(D121)))</f>
        <v>6.8893800988154643</v>
      </c>
      <c r="E122" s="72" t="s">
        <v>980</v>
      </c>
      <c r="F122" s="253"/>
    </row>
    <row r="123" spans="2:9" s="195" customFormat="1" ht="15.95" customHeight="1" x14ac:dyDescent="0.2">
      <c r="B123" s="638" t="s">
        <v>985</v>
      </c>
      <c r="C123" s="637"/>
      <c r="D123" s="254">
        <f>D119*D122</f>
        <v>68.893800988154638</v>
      </c>
      <c r="E123" s="75" t="s">
        <v>108</v>
      </c>
      <c r="F123" s="253"/>
    </row>
    <row r="124" spans="2:9" s="195" customFormat="1" ht="15.95" customHeight="1" x14ac:dyDescent="0.2">
      <c r="B124" s="637" t="s">
        <v>973</v>
      </c>
      <c r="C124" s="637"/>
      <c r="D124" s="254">
        <f>D118*D123</f>
        <v>72.338491037562378</v>
      </c>
      <c r="E124" s="75" t="s">
        <v>108</v>
      </c>
      <c r="F124" s="253"/>
    </row>
    <row r="125" spans="2:9" s="195" customFormat="1" ht="15.95" customHeight="1" x14ac:dyDescent="0.2">
      <c r="B125" s="642" t="s">
        <v>986</v>
      </c>
      <c r="C125" s="634"/>
      <c r="D125" s="634"/>
      <c r="E125" s="634"/>
      <c r="F125" s="253"/>
    </row>
    <row r="126" spans="2:9" s="195" customFormat="1" ht="15.95" customHeight="1" x14ac:dyDescent="0.25">
      <c r="B126" s="628" t="s">
        <v>958</v>
      </c>
      <c r="C126" s="643"/>
      <c r="D126" s="79">
        <v>1</v>
      </c>
      <c r="E126" s="75"/>
      <c r="F126" s="253"/>
    </row>
    <row r="127" spans="2:9" s="195" customFormat="1" ht="15.95" customHeight="1" x14ac:dyDescent="0.2">
      <c r="B127" s="630" t="s">
        <v>987</v>
      </c>
      <c r="C127" s="631"/>
      <c r="D127" s="75">
        <f>D33</f>
        <v>2.6</v>
      </c>
      <c r="E127" s="72" t="s">
        <v>12</v>
      </c>
      <c r="F127" s="253"/>
    </row>
    <row r="128" spans="2:9" s="195" customFormat="1" ht="15.95" customHeight="1" x14ac:dyDescent="0.2">
      <c r="B128" s="644" t="s">
        <v>978</v>
      </c>
      <c r="C128" s="645"/>
      <c r="D128" s="75">
        <f>D127-D13</f>
        <v>0.8</v>
      </c>
      <c r="E128" s="72" t="s">
        <v>12</v>
      </c>
      <c r="F128" s="255"/>
      <c r="G128" s="255"/>
      <c r="H128" s="255"/>
      <c r="I128" s="255"/>
    </row>
    <row r="129" spans="2:9" s="195" customFormat="1" ht="15.95" customHeight="1" x14ac:dyDescent="0.2">
      <c r="B129" s="630" t="s">
        <v>988</v>
      </c>
      <c r="C129" s="631"/>
      <c r="D129" s="254">
        <f>IF(D128&gt;0,(1/2*PI()*D13^2+2*D13*D128),(ACOS(ABS(D128)/D13)*D13^2-(D13^2-D128^2)^0.5*ABS(D128)))</f>
        <v>7.9693800988154653</v>
      </c>
      <c r="E129" s="72" t="s">
        <v>980</v>
      </c>
      <c r="F129" s="257"/>
      <c r="G129" s="258"/>
      <c r="H129" s="259"/>
      <c r="I129" s="258"/>
    </row>
    <row r="130" spans="2:9" s="195" customFormat="1" ht="15.95" customHeight="1" x14ac:dyDescent="0.2">
      <c r="B130" s="630" t="s">
        <v>989</v>
      </c>
      <c r="C130" s="631"/>
      <c r="D130" s="254">
        <f>D111*D129</f>
        <v>79.693800988154649</v>
      </c>
      <c r="E130" s="75" t="s">
        <v>108</v>
      </c>
      <c r="F130" s="253"/>
      <c r="H130" s="260"/>
    </row>
    <row r="131" spans="2:9" s="195" customFormat="1" ht="15.95" customHeight="1" x14ac:dyDescent="0.2">
      <c r="B131" s="630" t="s">
        <v>990</v>
      </c>
      <c r="C131" s="631"/>
      <c r="D131" s="254">
        <f>D126*D130</f>
        <v>79.693800988154649</v>
      </c>
      <c r="E131" s="75" t="s">
        <v>108</v>
      </c>
      <c r="F131" s="253"/>
      <c r="H131" s="260"/>
    </row>
    <row r="132" spans="2:9" s="195" customFormat="1" ht="15.95" customHeight="1" x14ac:dyDescent="0.2">
      <c r="B132" s="641" t="s">
        <v>991</v>
      </c>
      <c r="C132" s="641"/>
      <c r="D132" s="641"/>
      <c r="E132" s="641"/>
      <c r="F132" s="253"/>
      <c r="H132" s="260"/>
    </row>
    <row r="133" spans="2:9" s="195" customFormat="1" ht="15.95" customHeight="1" x14ac:dyDescent="0.25">
      <c r="B133" s="628" t="s">
        <v>958</v>
      </c>
      <c r="C133" s="629"/>
      <c r="D133" s="79">
        <v>1.05</v>
      </c>
      <c r="E133" s="75"/>
      <c r="F133" s="253"/>
      <c r="H133" s="260"/>
    </row>
    <row r="134" spans="2:9" s="195" customFormat="1" ht="15.95" customHeight="1" x14ac:dyDescent="0.25">
      <c r="B134" s="628" t="s">
        <v>992</v>
      </c>
      <c r="C134" s="643"/>
      <c r="D134" s="79">
        <v>2</v>
      </c>
      <c r="E134" s="75"/>
      <c r="F134" s="253"/>
      <c r="H134" s="260"/>
    </row>
    <row r="135" spans="2:9" s="195" customFormat="1" ht="15.95" customHeight="1" x14ac:dyDescent="0.2">
      <c r="B135" s="630" t="s">
        <v>993</v>
      </c>
      <c r="C135" s="631"/>
      <c r="D135" s="254">
        <f>D134*0.5</f>
        <v>1</v>
      </c>
      <c r="E135" s="75" t="s">
        <v>108</v>
      </c>
      <c r="F135" s="253"/>
      <c r="H135" s="260"/>
    </row>
    <row r="136" spans="2:9" s="195" customFormat="1" ht="15.95" customHeight="1" x14ac:dyDescent="0.2">
      <c r="B136" s="630" t="s">
        <v>994</v>
      </c>
      <c r="C136" s="631"/>
      <c r="D136" s="254">
        <f>D133*D135</f>
        <v>1.05</v>
      </c>
      <c r="E136" s="75" t="s">
        <v>108</v>
      </c>
      <c r="F136" s="253"/>
      <c r="H136" s="260"/>
    </row>
    <row r="137" spans="2:9" s="195" customFormat="1" ht="15.95" hidden="1" customHeight="1" x14ac:dyDescent="0.2">
      <c r="B137" s="646" t="s">
        <v>995</v>
      </c>
      <c r="C137" s="647"/>
      <c r="D137" s="647"/>
      <c r="E137" s="647"/>
      <c r="F137" s="253"/>
      <c r="H137" s="260"/>
    </row>
    <row r="138" spans="2:9" s="195" customFormat="1" ht="15.95" hidden="1" customHeight="1" x14ac:dyDescent="0.25">
      <c r="B138" s="628" t="s">
        <v>958</v>
      </c>
      <c r="C138" s="629"/>
      <c r="D138" s="79">
        <v>1.05</v>
      </c>
      <c r="E138" s="75"/>
      <c r="F138" s="253"/>
      <c r="H138" s="260"/>
    </row>
    <row r="139" spans="2:9" s="195" customFormat="1" ht="15.95" hidden="1" customHeight="1" x14ac:dyDescent="0.25">
      <c r="B139" s="648" t="s">
        <v>996</v>
      </c>
      <c r="C139" s="649"/>
      <c r="D139" s="75">
        <v>25</v>
      </c>
      <c r="E139" s="75" t="s">
        <v>960</v>
      </c>
      <c r="F139" s="253"/>
      <c r="H139" s="260"/>
    </row>
    <row r="140" spans="2:9" s="195" customFormat="1" ht="15.95" hidden="1" customHeight="1" x14ac:dyDescent="0.2">
      <c r="B140" s="637" t="s">
        <v>997</v>
      </c>
      <c r="C140" s="637"/>
      <c r="D140" s="79">
        <v>0</v>
      </c>
      <c r="E140" s="75" t="s">
        <v>12</v>
      </c>
      <c r="F140" s="253"/>
      <c r="H140" s="260"/>
    </row>
    <row r="141" spans="2:9" s="195" customFormat="1" ht="15.95" hidden="1" customHeight="1" x14ac:dyDescent="0.2">
      <c r="B141" s="630" t="s">
        <v>998</v>
      </c>
      <c r="C141" s="631"/>
      <c r="D141" s="79">
        <v>0</v>
      </c>
      <c r="E141" s="75" t="s">
        <v>12</v>
      </c>
      <c r="F141" s="253"/>
      <c r="H141" s="260"/>
    </row>
    <row r="142" spans="2:9" s="195" customFormat="1" ht="15.95" hidden="1" customHeight="1" x14ac:dyDescent="0.2">
      <c r="B142" s="630" t="s">
        <v>999</v>
      </c>
      <c r="C142" s="631"/>
      <c r="D142" s="261">
        <f>D139*(D140*D141)/D14</f>
        <v>0</v>
      </c>
      <c r="E142" s="75" t="s">
        <v>108</v>
      </c>
      <c r="F142" s="253"/>
      <c r="H142" s="260"/>
    </row>
    <row r="143" spans="2:9" s="195" customFormat="1" ht="15.95" hidden="1" customHeight="1" x14ac:dyDescent="0.2">
      <c r="B143" s="630" t="s">
        <v>1000</v>
      </c>
      <c r="C143" s="631"/>
      <c r="D143" s="261">
        <f>D138*D142</f>
        <v>0</v>
      </c>
      <c r="E143" s="75" t="s">
        <v>108</v>
      </c>
      <c r="F143" s="253"/>
      <c r="H143" s="260"/>
    </row>
    <row r="144" spans="2:9" s="195" customFormat="1" ht="15.95" customHeight="1" x14ac:dyDescent="0.2">
      <c r="B144" s="632" t="s">
        <v>1001</v>
      </c>
      <c r="C144" s="650"/>
      <c r="D144" s="262">
        <v>4</v>
      </c>
      <c r="E144" s="148"/>
      <c r="F144" s="253"/>
      <c r="H144" s="260"/>
    </row>
    <row r="145" spans="2:8" x14ac:dyDescent="0.15">
      <c r="B145" s="705" t="s">
        <v>1002</v>
      </c>
      <c r="C145" s="83" t="s">
        <v>1003</v>
      </c>
      <c r="D145" s="263">
        <v>2</v>
      </c>
      <c r="E145" s="264" t="s">
        <v>1004</v>
      </c>
      <c r="H145" s="265"/>
    </row>
    <row r="146" spans="2:8" x14ac:dyDescent="0.15">
      <c r="B146" s="705"/>
      <c r="C146" s="83" t="s">
        <v>1005</v>
      </c>
      <c r="D146" s="263">
        <v>1.2</v>
      </c>
      <c r="E146" s="264" t="s">
        <v>1006</v>
      </c>
      <c r="H146" s="265"/>
    </row>
    <row r="147" spans="2:8" ht="14.25" x14ac:dyDescent="0.15">
      <c r="B147" s="756" t="s">
        <v>1007</v>
      </c>
      <c r="C147" s="169" t="s">
        <v>1008</v>
      </c>
      <c r="D147" s="254">
        <f>D82+D88+D93+D98+D107+D135+D142</f>
        <v>137.32517033756534</v>
      </c>
      <c r="E147" s="169" t="s">
        <v>108</v>
      </c>
      <c r="H147" s="265"/>
    </row>
    <row r="148" spans="2:8" x14ac:dyDescent="0.15">
      <c r="B148" s="757"/>
      <c r="C148" s="169" t="s">
        <v>1009</v>
      </c>
      <c r="D148" s="254">
        <f>D83+D89+D94+D99+D108+D136+D143</f>
        <v>144.32642885444361</v>
      </c>
      <c r="E148" s="169" t="s">
        <v>108</v>
      </c>
      <c r="H148" s="265"/>
    </row>
    <row r="149" spans="2:8" ht="14.25" x14ac:dyDescent="0.15">
      <c r="B149" s="757" t="s">
        <v>1010</v>
      </c>
      <c r="C149" s="169" t="s">
        <v>1008</v>
      </c>
      <c r="D149" s="254">
        <f>D82+D88+D93+D98+D115+D135+D142</f>
        <v>161.9948018802387</v>
      </c>
      <c r="E149" s="169" t="s">
        <v>108</v>
      </c>
      <c r="H149" s="190"/>
    </row>
    <row r="150" spans="2:8" x14ac:dyDescent="0.15">
      <c r="B150" s="757"/>
      <c r="C150" s="169" t="s">
        <v>1009</v>
      </c>
      <c r="D150" s="254">
        <f>D83+D89+D94+D99+D116+D136+D143</f>
        <v>170.22954197425065</v>
      </c>
      <c r="E150" s="169" t="s">
        <v>108</v>
      </c>
      <c r="H150" s="190"/>
    </row>
    <row r="151" spans="2:8" ht="14.25" x14ac:dyDescent="0.15">
      <c r="B151" s="758" t="s">
        <v>1011</v>
      </c>
      <c r="C151" s="169" t="s">
        <v>1012</v>
      </c>
      <c r="D151" s="254">
        <f>D82+D88+D93+D98+D123+D135+D142</f>
        <v>171.35480188023868</v>
      </c>
      <c r="E151" s="169" t="s">
        <v>108</v>
      </c>
      <c r="H151" s="190"/>
    </row>
    <row r="152" spans="2:8" x14ac:dyDescent="0.15">
      <c r="B152" s="705"/>
      <c r="C152" s="169" t="s">
        <v>1013</v>
      </c>
      <c r="D152" s="254">
        <f>D83+D89+D94+D99+D124+D136+D143</f>
        <v>180.05754197425063</v>
      </c>
      <c r="E152" s="169" t="s">
        <v>108</v>
      </c>
      <c r="H152" s="190"/>
    </row>
    <row r="153" spans="2:8" ht="14.25" x14ac:dyDescent="0.15">
      <c r="B153" s="705" t="s">
        <v>1014</v>
      </c>
      <c r="C153" s="169" t="s">
        <v>1015</v>
      </c>
      <c r="D153" s="254">
        <f>D82+D88+D93+D98+D130+D135+D142</f>
        <v>182.15480188023869</v>
      </c>
      <c r="E153" s="169" t="s">
        <v>108</v>
      </c>
      <c r="H153" s="190"/>
    </row>
    <row r="154" spans="2:8" x14ac:dyDescent="0.15">
      <c r="B154" s="705"/>
      <c r="C154" s="169" t="s">
        <v>1016</v>
      </c>
      <c r="D154" s="254">
        <f>D83+D89+D94+D99+D131+D136+D143</f>
        <v>187.4128519248429</v>
      </c>
      <c r="E154" s="169" t="s">
        <v>108</v>
      </c>
      <c r="H154" s="190"/>
    </row>
    <row r="155" spans="2:8" x14ac:dyDescent="0.15">
      <c r="B155" s="706" t="s">
        <v>1017</v>
      </c>
      <c r="C155" s="266" t="s">
        <v>1018</v>
      </c>
      <c r="D155" s="254">
        <f>D145*D148</f>
        <v>288.65285770888721</v>
      </c>
      <c r="E155" s="169" t="s">
        <v>108</v>
      </c>
      <c r="H155" s="190"/>
    </row>
    <row r="156" spans="2:8" x14ac:dyDescent="0.15">
      <c r="B156" s="707"/>
      <c r="C156" s="266" t="s">
        <v>1019</v>
      </c>
      <c r="D156" s="254">
        <f>D145*D150</f>
        <v>340.4590839485013</v>
      </c>
      <c r="E156" s="169" t="s">
        <v>108</v>
      </c>
      <c r="H156" s="265"/>
    </row>
    <row r="157" spans="2:8" x14ac:dyDescent="0.15">
      <c r="B157" s="707"/>
      <c r="C157" s="266" t="s">
        <v>1020</v>
      </c>
      <c r="D157" s="254">
        <f>D146*D152</f>
        <v>216.06905036910075</v>
      </c>
      <c r="E157" s="169" t="s">
        <v>108</v>
      </c>
      <c r="H157" s="265"/>
    </row>
    <row r="158" spans="2:8" x14ac:dyDescent="0.15">
      <c r="B158" s="707"/>
      <c r="C158" s="266" t="s">
        <v>1021</v>
      </c>
      <c r="D158" s="254">
        <f>D146*D154</f>
        <v>224.89542230981147</v>
      </c>
      <c r="E158" s="169" t="s">
        <v>108</v>
      </c>
      <c r="H158" s="265"/>
    </row>
    <row r="159" spans="2:8" x14ac:dyDescent="0.15">
      <c r="B159" s="707"/>
      <c r="C159" s="171" t="s">
        <v>1022</v>
      </c>
      <c r="D159" s="254">
        <f>MAX(D155:D158)</f>
        <v>340.4590839485013</v>
      </c>
      <c r="E159" s="169"/>
      <c r="H159" s="265"/>
    </row>
    <row r="160" spans="2:8" ht="15" customHeight="1" x14ac:dyDescent="0.15">
      <c r="B160" s="708"/>
      <c r="C160" s="651" t="str">
        <f>IF(D159=D156,"由设计工况控制纵向配筋",IF(D159=D157,"由加大工况控制纵向配筋","由满槽工况控制纵向配筋"))</f>
        <v>由设计工况控制纵向配筋</v>
      </c>
      <c r="D160" s="651"/>
      <c r="E160" s="651"/>
      <c r="H160" s="265"/>
    </row>
    <row r="161" spans="2:9" x14ac:dyDescent="0.15">
      <c r="B161" s="652" t="s">
        <v>1023</v>
      </c>
      <c r="C161" s="653"/>
      <c r="D161" s="263">
        <v>0.6</v>
      </c>
      <c r="E161" s="75" t="s">
        <v>12</v>
      </c>
      <c r="H161" s="265"/>
    </row>
    <row r="162" spans="2:9" ht="14.25" x14ac:dyDescent="0.15">
      <c r="B162" s="625" t="s">
        <v>1024</v>
      </c>
      <c r="C162" s="627"/>
      <c r="D162" s="254">
        <f>D14-D161</f>
        <v>29.4</v>
      </c>
      <c r="E162" s="75" t="s">
        <v>12</v>
      </c>
      <c r="H162" s="265"/>
    </row>
    <row r="163" spans="2:9" ht="14.25" x14ac:dyDescent="0.15">
      <c r="B163" s="625" t="s">
        <v>1025</v>
      </c>
      <c r="C163" s="627"/>
      <c r="D163" s="254">
        <f>D14-D161*2</f>
        <v>28.8</v>
      </c>
      <c r="E163" s="75" t="s">
        <v>12</v>
      </c>
      <c r="H163" s="265"/>
    </row>
    <row r="164" spans="2:9" ht="15.75" x14ac:dyDescent="0.15">
      <c r="B164" s="625" t="s">
        <v>1026</v>
      </c>
      <c r="C164" s="627"/>
      <c r="D164" s="254">
        <f>1/8*D149*D162^2</f>
        <v>17502.728369150387</v>
      </c>
      <c r="E164" s="169" t="s">
        <v>156</v>
      </c>
      <c r="H164" s="265"/>
    </row>
    <row r="165" spans="2:9" ht="14.25" x14ac:dyDescent="0.15">
      <c r="B165" s="625" t="s">
        <v>1027</v>
      </c>
      <c r="C165" s="627"/>
      <c r="D165" s="254">
        <f>1/2*D149*D163</f>
        <v>2332.7251470754372</v>
      </c>
      <c r="E165" s="169" t="s">
        <v>158</v>
      </c>
      <c r="H165" s="265"/>
    </row>
    <row r="166" spans="2:9" ht="15.75" x14ac:dyDescent="0.15">
      <c r="B166" s="625" t="s">
        <v>1028</v>
      </c>
      <c r="C166" s="627"/>
      <c r="D166" s="254">
        <f>1/8*D150*D162^2</f>
        <v>18392.450862607908</v>
      </c>
      <c r="E166" s="169" t="s">
        <v>156</v>
      </c>
      <c r="H166" s="265"/>
    </row>
    <row r="167" spans="2:9" ht="14.25" x14ac:dyDescent="0.15">
      <c r="B167" s="625" t="s">
        <v>1029</v>
      </c>
      <c r="C167" s="627"/>
      <c r="D167" s="254">
        <f>1/2*D150*D163</f>
        <v>2451.3054044292094</v>
      </c>
      <c r="E167" s="169" t="s">
        <v>158</v>
      </c>
      <c r="H167" s="265"/>
    </row>
    <row r="168" spans="2:9" ht="15" x14ac:dyDescent="0.25">
      <c r="B168" s="248"/>
      <c r="C168" s="193"/>
      <c r="H168" s="265"/>
    </row>
    <row r="169" spans="2:9" ht="14.25" x14ac:dyDescent="0.15">
      <c r="B169" s="267"/>
      <c r="C169" s="267"/>
      <c r="D169" s="267"/>
      <c r="E169" s="197"/>
      <c r="F169"/>
      <c r="H169" s="265"/>
    </row>
    <row r="170" spans="2:9" ht="14.25" x14ac:dyDescent="0.15">
      <c r="B170" s="654" t="s">
        <v>1030</v>
      </c>
      <c r="C170" s="654"/>
      <c r="D170" s="654"/>
      <c r="E170" s="654"/>
      <c r="F170" s="654"/>
      <c r="H170" s="265"/>
    </row>
    <row r="171" spans="2:9" ht="14.25" x14ac:dyDescent="0.2">
      <c r="B171" s="268" t="s">
        <v>1031</v>
      </c>
      <c r="C171" s="268"/>
      <c r="D171" s="268"/>
      <c r="E171" s="268"/>
      <c r="F171" s="268"/>
    </row>
    <row r="172" spans="2:9" ht="15.75" x14ac:dyDescent="0.2">
      <c r="B172" s="741" t="s">
        <v>1032</v>
      </c>
      <c r="C172" s="655" t="s">
        <v>1033</v>
      </c>
      <c r="D172" s="655"/>
      <c r="E172" s="79" t="s">
        <v>1034</v>
      </c>
      <c r="F172" s="167" t="s">
        <v>1035</v>
      </c>
    </row>
    <row r="173" spans="2:9" ht="15.75" x14ac:dyDescent="0.15">
      <c r="B173" s="742"/>
      <c r="C173" s="655" t="s">
        <v>1036</v>
      </c>
      <c r="D173" s="655"/>
      <c r="E173" s="79">
        <v>140</v>
      </c>
      <c r="F173" s="169" t="s">
        <v>1037</v>
      </c>
    </row>
    <row r="174" spans="2:9" x14ac:dyDescent="0.15">
      <c r="B174" s="742"/>
      <c r="C174" s="655" t="s">
        <v>1038</v>
      </c>
      <c r="D174" s="655"/>
      <c r="E174" s="79">
        <v>6</v>
      </c>
      <c r="F174" s="169" t="s">
        <v>1039</v>
      </c>
    </row>
    <row r="175" spans="2:9" ht="15.75" x14ac:dyDescent="0.15">
      <c r="B175" s="742"/>
      <c r="C175" s="655" t="s">
        <v>1040</v>
      </c>
      <c r="D175" s="655"/>
      <c r="E175" s="75">
        <f>E173*E174</f>
        <v>840</v>
      </c>
      <c r="F175" s="169" t="s">
        <v>1037</v>
      </c>
    </row>
    <row r="176" spans="2:9" x14ac:dyDescent="0.15">
      <c r="B176" s="742"/>
      <c r="C176" s="655" t="s">
        <v>1041</v>
      </c>
      <c r="D176" s="655"/>
      <c r="E176" s="139">
        <v>13</v>
      </c>
      <c r="F176" s="169" t="s">
        <v>1042</v>
      </c>
      <c r="H176" s="269"/>
      <c r="I176" s="136"/>
    </row>
    <row r="177" spans="1:12" ht="15.75" x14ac:dyDescent="0.15">
      <c r="B177" s="742"/>
      <c r="C177" s="655" t="s">
        <v>1043</v>
      </c>
      <c r="D177" s="655"/>
      <c r="E177" s="75">
        <f>E175*E176</f>
        <v>10920</v>
      </c>
      <c r="F177" s="169" t="s">
        <v>1037</v>
      </c>
      <c r="H177" s="269" t="s">
        <v>1044</v>
      </c>
      <c r="I177" s="76">
        <f>D273</f>
        <v>320.47203402830286</v>
      </c>
    </row>
    <row r="178" spans="1:12" x14ac:dyDescent="0.15">
      <c r="B178" s="743"/>
      <c r="C178" s="656" t="s">
        <v>1045</v>
      </c>
      <c r="D178" s="653"/>
      <c r="E178" s="270">
        <f>E177/10^6/E46</f>
        <v>2.867698491877054E-3</v>
      </c>
      <c r="F178" s="169"/>
      <c r="H178" s="269" t="s">
        <v>1046</v>
      </c>
      <c r="I178" s="136" t="str">
        <f>C312</f>
        <v>满足承载力设计要求</v>
      </c>
      <c r="J178" s="275"/>
      <c r="K178" s="276"/>
    </row>
    <row r="179" spans="1:12" ht="15" customHeight="1" x14ac:dyDescent="0.2">
      <c r="B179" s="744" t="s">
        <v>1047</v>
      </c>
      <c r="C179" s="655" t="s">
        <v>1033</v>
      </c>
      <c r="D179" s="655"/>
      <c r="E179" s="79" t="s">
        <v>1034</v>
      </c>
      <c r="F179" s="167" t="s">
        <v>1035</v>
      </c>
      <c r="G179" s="271"/>
      <c r="H179" s="269" t="s">
        <v>1048</v>
      </c>
      <c r="I179" s="136" t="str">
        <f>C340</f>
        <v>满足斜截面承载力要求</v>
      </c>
    </row>
    <row r="180" spans="1:12" ht="16.5" x14ac:dyDescent="0.25">
      <c r="B180" s="744"/>
      <c r="C180" s="657" t="s">
        <v>1049</v>
      </c>
      <c r="D180" s="657"/>
      <c r="E180" s="84">
        <v>140</v>
      </c>
      <c r="F180" s="167" t="s">
        <v>1037</v>
      </c>
      <c r="H180" s="269" t="s">
        <v>1050</v>
      </c>
      <c r="I180" s="136" t="str">
        <f>C364</f>
        <v>正截面抗裂满足要求</v>
      </c>
    </row>
    <row r="181" spans="1:12" ht="14.25" x14ac:dyDescent="0.2">
      <c r="B181" s="744"/>
      <c r="C181" s="657" t="s">
        <v>1051</v>
      </c>
      <c r="D181" s="657"/>
      <c r="E181" s="84">
        <v>6</v>
      </c>
      <c r="F181" s="167" t="s">
        <v>1039</v>
      </c>
      <c r="H181" s="269" t="s">
        <v>1052</v>
      </c>
      <c r="I181" s="136" t="str">
        <f>C383</f>
        <v>主拉应力σtp≤0.85ftk,满足斜截面一级裂缝控制要求</v>
      </c>
    </row>
    <row r="182" spans="1:12" ht="16.5" x14ac:dyDescent="0.25">
      <c r="B182" s="744"/>
      <c r="C182" s="657" t="s">
        <v>1053</v>
      </c>
      <c r="D182" s="657"/>
      <c r="E182" s="85">
        <f>E180*E181</f>
        <v>840</v>
      </c>
      <c r="F182" s="167" t="s">
        <v>1037</v>
      </c>
      <c r="H182" s="269" t="s">
        <v>1054</v>
      </c>
      <c r="I182" s="136" t="str">
        <f>C417</f>
        <v>施工阶段满足要求</v>
      </c>
      <c r="J182" s="196"/>
      <c r="L182" s="196"/>
    </row>
    <row r="183" spans="1:12" ht="14.25" x14ac:dyDescent="0.2">
      <c r="B183" s="744"/>
      <c r="C183" s="657" t="s">
        <v>181</v>
      </c>
      <c r="D183" s="657"/>
      <c r="E183" s="173">
        <v>2</v>
      </c>
      <c r="F183" s="167" t="s">
        <v>1042</v>
      </c>
      <c r="H183" s="272"/>
    </row>
    <row r="184" spans="1:12" ht="16.5" x14ac:dyDescent="0.25">
      <c r="B184" s="744"/>
      <c r="C184" s="657" t="s">
        <v>1055</v>
      </c>
      <c r="D184" s="657"/>
      <c r="E184" s="85">
        <f>E182*E183</f>
        <v>1680</v>
      </c>
      <c r="F184" s="167" t="s">
        <v>1037</v>
      </c>
      <c r="H184" s="272"/>
    </row>
    <row r="185" spans="1:12" x14ac:dyDescent="0.15">
      <c r="B185" s="174" t="s">
        <v>628</v>
      </c>
      <c r="C185" s="174"/>
      <c r="D185" s="175"/>
      <c r="E185" s="86"/>
      <c r="F185" s="175"/>
      <c r="H185" s="272"/>
    </row>
    <row r="186" spans="1:12" ht="16.5" customHeight="1" x14ac:dyDescent="0.15">
      <c r="B186" s="745" t="s">
        <v>1056</v>
      </c>
      <c r="C186" s="655" t="s">
        <v>1057</v>
      </c>
      <c r="D186" s="655"/>
      <c r="E186" s="79">
        <v>20</v>
      </c>
      <c r="F186" s="169" t="s">
        <v>186</v>
      </c>
      <c r="H186" s="272"/>
    </row>
    <row r="187" spans="1:12" ht="16.5" x14ac:dyDescent="0.25">
      <c r="B187" s="745"/>
      <c r="C187" s="657" t="s">
        <v>1058</v>
      </c>
      <c r="D187" s="657"/>
      <c r="E187" s="177">
        <f>1/4*PI()*E186^2</f>
        <v>314.15926535897933</v>
      </c>
      <c r="F187" s="167" t="s">
        <v>1037</v>
      </c>
      <c r="H187" s="272"/>
    </row>
    <row r="188" spans="1:12" ht="15" x14ac:dyDescent="0.25">
      <c r="B188" s="745"/>
      <c r="C188" s="657" t="s">
        <v>1059</v>
      </c>
      <c r="D188" s="657"/>
      <c r="E188" s="84">
        <v>50</v>
      </c>
      <c r="F188" s="167" t="s">
        <v>1039</v>
      </c>
      <c r="H188" s="273"/>
    </row>
    <row r="189" spans="1:12" ht="16.5" x14ac:dyDescent="0.25">
      <c r="B189" s="745"/>
      <c r="C189" s="657" t="s">
        <v>1060</v>
      </c>
      <c r="D189" s="657"/>
      <c r="E189" s="177">
        <f>E187*E188</f>
        <v>15707.963267948966</v>
      </c>
      <c r="F189" s="167" t="s">
        <v>1037</v>
      </c>
      <c r="H189" s="273"/>
    </row>
    <row r="190" spans="1:12" x14ac:dyDescent="0.15">
      <c r="A190" s="190" t="s">
        <v>1061</v>
      </c>
      <c r="B190" s="174" t="s">
        <v>633</v>
      </c>
      <c r="C190" s="174"/>
      <c r="D190" s="175"/>
      <c r="E190" s="86"/>
      <c r="F190" s="175"/>
      <c r="H190" s="274"/>
    </row>
    <row r="191" spans="1:12" ht="13.5" customHeight="1" x14ac:dyDescent="0.2">
      <c r="B191" s="746" t="s">
        <v>1062</v>
      </c>
      <c r="C191" s="655" t="s">
        <v>1057</v>
      </c>
      <c r="D191" s="655"/>
      <c r="E191" s="84">
        <v>16</v>
      </c>
      <c r="F191" s="171" t="s">
        <v>186</v>
      </c>
      <c r="H191" s="273"/>
    </row>
    <row r="192" spans="1:12" ht="15" x14ac:dyDescent="0.2">
      <c r="B192" s="746"/>
      <c r="C192" s="658" t="s">
        <v>1063</v>
      </c>
      <c r="D192" s="658"/>
      <c r="E192" s="177">
        <f>1/4*PI()*E191^2</f>
        <v>201.06192982974676</v>
      </c>
      <c r="F192" s="180" t="s">
        <v>1064</v>
      </c>
      <c r="H192" s="273"/>
    </row>
    <row r="193" spans="2:9" ht="14.25" x14ac:dyDescent="0.2">
      <c r="B193" s="746"/>
      <c r="C193" s="658" t="s">
        <v>1065</v>
      </c>
      <c r="D193" s="658"/>
      <c r="E193" s="84">
        <v>40</v>
      </c>
      <c r="F193" s="180" t="s">
        <v>618</v>
      </c>
      <c r="H193" s="273"/>
    </row>
    <row r="194" spans="2:9" ht="15" x14ac:dyDescent="0.2">
      <c r="B194" s="746"/>
      <c r="C194" s="658" t="s">
        <v>1066</v>
      </c>
      <c r="D194" s="658"/>
      <c r="E194" s="177">
        <f>E192*E193</f>
        <v>8042.4771931898704</v>
      </c>
      <c r="F194" s="180" t="s">
        <v>1064</v>
      </c>
      <c r="H194" s="273"/>
    </row>
    <row r="195" spans="2:9" ht="15" x14ac:dyDescent="0.2">
      <c r="B195" s="744" t="s">
        <v>1067</v>
      </c>
      <c r="C195" s="85" t="s">
        <v>1068</v>
      </c>
      <c r="D195" s="85"/>
      <c r="E195" s="82">
        <f>2*(G18+G19)*1000</f>
        <v>1299.9999999999998</v>
      </c>
      <c r="F195" s="167" t="s">
        <v>186</v>
      </c>
      <c r="G195" s="277"/>
      <c r="H195" s="273"/>
    </row>
    <row r="196" spans="2:9" s="192" customFormat="1" ht="14.25" x14ac:dyDescent="0.2">
      <c r="B196" s="744"/>
      <c r="C196" s="85" t="s">
        <v>1069</v>
      </c>
      <c r="D196" s="85"/>
      <c r="E196" s="85">
        <f>1/2*(G20+G20+G21)*1000</f>
        <v>475</v>
      </c>
      <c r="F196" s="167" t="s">
        <v>186</v>
      </c>
    </row>
    <row r="197" spans="2:9" ht="14.25" x14ac:dyDescent="0.2">
      <c r="B197" s="744"/>
      <c r="C197" s="85" t="s">
        <v>1070</v>
      </c>
      <c r="D197" s="85"/>
      <c r="E197" s="85">
        <f>2*G18*1000</f>
        <v>600</v>
      </c>
      <c r="F197" s="167" t="s">
        <v>186</v>
      </c>
    </row>
    <row r="198" spans="2:9" ht="14.25" customHeight="1" x14ac:dyDescent="0.15">
      <c r="B198" s="171" t="s">
        <v>1071</v>
      </c>
      <c r="C198" s="171" t="s">
        <v>1072</v>
      </c>
      <c r="D198" s="171"/>
      <c r="E198" s="278">
        <v>15.2</v>
      </c>
      <c r="F198" s="171" t="s">
        <v>186</v>
      </c>
    </row>
    <row r="199" spans="2:9" x14ac:dyDescent="0.15">
      <c r="B199" s="705" t="s">
        <v>1073</v>
      </c>
      <c r="C199" s="171" t="s">
        <v>1074</v>
      </c>
      <c r="D199" s="171"/>
      <c r="E199" s="183">
        <f>(4*E173*E174/PI())^0.5</f>
        <v>32.703535245865034</v>
      </c>
      <c r="F199" s="171" t="s">
        <v>186</v>
      </c>
    </row>
    <row r="200" spans="2:9" x14ac:dyDescent="0.15">
      <c r="B200" s="705"/>
      <c r="C200" s="182" t="s">
        <v>1075</v>
      </c>
      <c r="D200" s="171"/>
      <c r="E200" s="79">
        <v>60</v>
      </c>
      <c r="F200" s="171" t="s">
        <v>186</v>
      </c>
    </row>
    <row r="201" spans="2:9" ht="18" customHeight="1" x14ac:dyDescent="0.15">
      <c r="B201" s="705"/>
      <c r="C201" s="171" t="s">
        <v>1076</v>
      </c>
      <c r="D201" s="171"/>
      <c r="E201" s="183">
        <f>E176*1/4*PI()*E200^2</f>
        <v>36756.634047000582</v>
      </c>
      <c r="F201" s="171" t="s">
        <v>1064</v>
      </c>
      <c r="I201" t="s">
        <v>616</v>
      </c>
    </row>
    <row r="202" spans="2:9" x14ac:dyDescent="0.15">
      <c r="B202" s="705"/>
      <c r="C202" s="171" t="s">
        <v>1077</v>
      </c>
      <c r="D202" s="171"/>
      <c r="E202" s="70">
        <f>(4*E181*E180/PI())^0.5</f>
        <v>32.703535245865034</v>
      </c>
      <c r="F202" s="171" t="s">
        <v>186</v>
      </c>
    </row>
    <row r="203" spans="2:9" x14ac:dyDescent="0.15">
      <c r="B203" s="705"/>
      <c r="C203" s="171" t="s">
        <v>1078</v>
      </c>
      <c r="D203" s="171"/>
      <c r="E203" s="79">
        <v>60</v>
      </c>
      <c r="F203" s="171" t="s">
        <v>186</v>
      </c>
    </row>
    <row r="204" spans="2:9" ht="14.25" x14ac:dyDescent="0.15">
      <c r="B204" s="705"/>
      <c r="C204" s="171" t="s">
        <v>1079</v>
      </c>
      <c r="D204" s="171"/>
      <c r="E204" s="183">
        <f>E183*1/4*PI()*E203^2</f>
        <v>5654.8667764616275</v>
      </c>
      <c r="F204" s="171" t="s">
        <v>1064</v>
      </c>
    </row>
    <row r="205" spans="2:9" ht="14.25" x14ac:dyDescent="0.15">
      <c r="B205" s="705"/>
      <c r="C205" s="171" t="s">
        <v>1080</v>
      </c>
      <c r="D205" s="171"/>
      <c r="E205" s="184">
        <f>E201+E204</f>
        <v>42411.500823462207</v>
      </c>
      <c r="F205" s="171" t="s">
        <v>1064</v>
      </c>
    </row>
    <row r="206" spans="2:9" ht="15" customHeight="1" x14ac:dyDescent="0.15">
      <c r="B206" s="705"/>
      <c r="C206" s="171" t="s">
        <v>1081</v>
      </c>
      <c r="D206" s="171"/>
      <c r="E206" s="184">
        <f>F76/F64</f>
        <v>6</v>
      </c>
      <c r="F206" s="171"/>
    </row>
    <row r="207" spans="2:9" x14ac:dyDescent="0.15">
      <c r="B207" s="705"/>
      <c r="C207" s="171" t="s">
        <v>1082</v>
      </c>
      <c r="D207" s="171"/>
      <c r="E207" s="184">
        <f>F70/F64</f>
        <v>6.1538461538461542</v>
      </c>
      <c r="F207" s="185"/>
    </row>
    <row r="208" spans="2:9" ht="14.25" x14ac:dyDescent="0.15">
      <c r="B208" s="705"/>
      <c r="C208" s="171" t="s">
        <v>1083</v>
      </c>
      <c r="D208" s="171"/>
      <c r="E208" s="184">
        <f>E207*(E189+E194)</f>
        <v>146156.55668393133</v>
      </c>
      <c r="F208" s="171" t="s">
        <v>1064</v>
      </c>
    </row>
    <row r="209" spans="2:8" ht="14.25" x14ac:dyDescent="0.15">
      <c r="B209" s="705"/>
      <c r="C209" s="70" t="s">
        <v>1084</v>
      </c>
      <c r="D209" s="70"/>
      <c r="E209" s="184">
        <f>E46*10^6-E205+E208</f>
        <v>3911676.7582104974</v>
      </c>
      <c r="F209" s="171" t="s">
        <v>1064</v>
      </c>
    </row>
    <row r="210" spans="2:8" ht="15.95" customHeight="1" x14ac:dyDescent="0.15">
      <c r="B210" s="705"/>
      <c r="C210" s="659" t="s">
        <v>1085</v>
      </c>
      <c r="D210" s="659"/>
      <c r="E210" s="79">
        <v>40</v>
      </c>
      <c r="F210" s="169" t="s">
        <v>186</v>
      </c>
    </row>
    <row r="211" spans="2:8" ht="15.95" customHeight="1" x14ac:dyDescent="0.15">
      <c r="B211" s="705"/>
      <c r="C211" s="660" t="s">
        <v>1086</v>
      </c>
      <c r="D211" s="660"/>
      <c r="E211" s="75">
        <f>E210+15</f>
        <v>55</v>
      </c>
      <c r="F211" s="169" t="s">
        <v>186</v>
      </c>
      <c r="G211" s="279" t="s">
        <v>1087</v>
      </c>
    </row>
    <row r="212" spans="2:8" ht="15.95" customHeight="1" x14ac:dyDescent="0.15">
      <c r="B212" s="705"/>
      <c r="C212" s="660" t="s">
        <v>1088</v>
      </c>
      <c r="D212" s="660"/>
      <c r="E212" s="75">
        <f>E210+15</f>
        <v>55</v>
      </c>
      <c r="F212" s="169" t="s">
        <v>186</v>
      </c>
      <c r="G212" s="279" t="s">
        <v>1087</v>
      </c>
    </row>
    <row r="213" spans="2:8" ht="15.95" customHeight="1" x14ac:dyDescent="0.15">
      <c r="B213" s="705"/>
      <c r="C213" s="660" t="s">
        <v>1089</v>
      </c>
      <c r="D213" s="660"/>
      <c r="E213" s="75">
        <f>(E184*E214+E212*E194)/(E184+E194)</f>
        <v>105.97466315962603</v>
      </c>
      <c r="F213" s="169" t="s">
        <v>186</v>
      </c>
    </row>
    <row r="214" spans="2:8" ht="15.95" customHeight="1" x14ac:dyDescent="0.15">
      <c r="B214" s="705"/>
      <c r="C214" s="659" t="s">
        <v>1090</v>
      </c>
      <c r="D214" s="659"/>
      <c r="E214" s="79">
        <v>350</v>
      </c>
      <c r="F214" s="169" t="s">
        <v>186</v>
      </c>
    </row>
    <row r="215" spans="2:8" ht="15.95" customHeight="1" x14ac:dyDescent="0.15">
      <c r="B215" s="705"/>
      <c r="C215" s="659" t="s">
        <v>1091</v>
      </c>
      <c r="D215" s="659"/>
      <c r="E215" s="79">
        <v>350</v>
      </c>
      <c r="F215" s="169" t="s">
        <v>186</v>
      </c>
    </row>
    <row r="216" spans="2:8" ht="15.95" customHeight="1" x14ac:dyDescent="0.15">
      <c r="B216" s="705"/>
      <c r="C216" s="660" t="s">
        <v>1092</v>
      </c>
      <c r="D216" s="660"/>
      <c r="E216" s="75">
        <f>E215</f>
        <v>350</v>
      </c>
      <c r="F216" s="169" t="s">
        <v>186</v>
      </c>
    </row>
    <row r="217" spans="2:8" ht="15.95" customHeight="1" x14ac:dyDescent="0.15">
      <c r="B217" s="705"/>
      <c r="C217" s="660" t="s">
        <v>1093</v>
      </c>
      <c r="D217" s="660"/>
      <c r="E217" s="75">
        <f>C27*1000-E216</f>
        <v>3050</v>
      </c>
      <c r="F217" s="169" t="s">
        <v>186</v>
      </c>
    </row>
    <row r="218" spans="2:8" ht="54.75" customHeight="1" x14ac:dyDescent="0.15">
      <c r="B218" s="705"/>
      <c r="C218" s="280"/>
      <c r="D218" s="281"/>
      <c r="E218" s="282"/>
      <c r="F218" s="280"/>
    </row>
    <row r="219" spans="2:8" ht="15.95" customHeight="1" x14ac:dyDescent="0.2">
      <c r="B219" s="705"/>
      <c r="C219" s="637" t="s">
        <v>1094</v>
      </c>
      <c r="D219" s="637"/>
      <c r="E219" s="204">
        <f>(E46*10^6*E47*10^3+E207*E189*(C27*10^3-E211)+E207*E194*E212-E201*(C27*10^3-E215)-E204*E215)/E209</f>
        <v>1972.0806923186719</v>
      </c>
      <c r="F219" s="283" t="s">
        <v>186</v>
      </c>
    </row>
    <row r="220" spans="2:8" ht="15.95" customHeight="1" x14ac:dyDescent="0.25">
      <c r="B220" s="705"/>
      <c r="C220" s="661" t="s">
        <v>1095</v>
      </c>
      <c r="D220" s="661"/>
      <c r="E220" s="204">
        <f>C27*10^3-E219</f>
        <v>1427.9193076813281</v>
      </c>
      <c r="F220" s="283" t="s">
        <v>186</v>
      </c>
    </row>
    <row r="221" spans="2:8" x14ac:dyDescent="0.15">
      <c r="B221" s="747" t="s">
        <v>1096</v>
      </c>
      <c r="C221" s="662" t="s">
        <v>1097</v>
      </c>
      <c r="D221" s="662"/>
      <c r="E221" s="662"/>
      <c r="F221" s="662"/>
    </row>
    <row r="222" spans="2:8" ht="45" customHeight="1" x14ac:dyDescent="0.25">
      <c r="B222" s="748"/>
      <c r="C222" s="284"/>
      <c r="D222" s="285"/>
      <c r="E222" s="92"/>
      <c r="F222" s="284"/>
      <c r="H222" s="286"/>
    </row>
    <row r="223" spans="2:8" ht="14.25" customHeight="1" x14ac:dyDescent="0.2">
      <c r="B223" s="748"/>
      <c r="C223" s="663" t="s">
        <v>1098</v>
      </c>
      <c r="D223" s="663"/>
      <c r="E223" s="287">
        <f>E49*10^12+E46*10^6*(E47*10^3-E219)^2+E207*E189*(C27*10^3-E211-E219)^2+E207*E184*(E212-E219)^2-E201*(C27*10^3-E215-E219)^2-E204*(E214-E219)^2</f>
        <v>4762829514485.1855</v>
      </c>
      <c r="F223" s="287" t="s">
        <v>1099</v>
      </c>
    </row>
    <row r="224" spans="2:8" ht="15" x14ac:dyDescent="0.2">
      <c r="B224" s="748"/>
      <c r="C224" s="663" t="s">
        <v>1100</v>
      </c>
      <c r="D224" s="663"/>
      <c r="E224" s="287">
        <f>IF(A190="！",E209+E206*E177,E209+E206*(E177+E184))</f>
        <v>3987276.7582104974</v>
      </c>
      <c r="F224" s="287" t="s">
        <v>1101</v>
      </c>
      <c r="G224" s="196"/>
      <c r="H224" s="196"/>
    </row>
    <row r="225" spans="2:19" ht="16.5" customHeight="1" x14ac:dyDescent="0.15">
      <c r="B225" s="748"/>
      <c r="C225" s="731" t="s">
        <v>1102</v>
      </c>
      <c r="D225" s="731"/>
      <c r="E225" s="731"/>
      <c r="F225" s="731"/>
    </row>
    <row r="226" spans="2:19" ht="46.5" customHeight="1" x14ac:dyDescent="0.15">
      <c r="B226" s="748"/>
      <c r="C226" s="731"/>
      <c r="D226" s="731"/>
      <c r="E226" s="731"/>
      <c r="F226" s="731"/>
    </row>
    <row r="227" spans="2:19" ht="14.25" x14ac:dyDescent="0.2">
      <c r="B227" s="748"/>
      <c r="C227" s="663" t="s">
        <v>1103</v>
      </c>
      <c r="D227" s="663"/>
      <c r="E227" s="95">
        <f>(E209*E219+E206*E177*(C27*10^3-E215)+E206*E184*E214)/E224</f>
        <v>1985.6926643366533</v>
      </c>
      <c r="F227" s="288" t="s">
        <v>186</v>
      </c>
    </row>
    <row r="228" spans="2:19" ht="14.25" x14ac:dyDescent="0.2">
      <c r="B228" s="748"/>
      <c r="C228" s="663" t="s">
        <v>1104</v>
      </c>
      <c r="D228" s="663"/>
      <c r="E228" s="95">
        <f>C27*10^3-E227</f>
        <v>1414.3073356633467</v>
      </c>
      <c r="F228" s="288" t="s">
        <v>186</v>
      </c>
      <c r="H228" s="289"/>
      <c r="I228" s="256"/>
      <c r="J228" s="256"/>
      <c r="K228" s="256"/>
      <c r="M228" s="296"/>
      <c r="N228" s="296"/>
      <c r="O228" s="296"/>
      <c r="P228" s="296"/>
      <c r="Q228" s="296"/>
      <c r="R228" s="296"/>
      <c r="S228" s="296"/>
    </row>
    <row r="229" spans="2:19" x14ac:dyDescent="0.15">
      <c r="B229" s="748"/>
      <c r="C229" s="664" t="s">
        <v>1105</v>
      </c>
      <c r="D229" s="664"/>
      <c r="E229" s="664"/>
      <c r="F229" s="664"/>
      <c r="H229" s="256"/>
    </row>
    <row r="230" spans="2:19" ht="38.25" customHeight="1" x14ac:dyDescent="0.15">
      <c r="B230" s="748"/>
      <c r="C230" s="266"/>
      <c r="D230" s="266"/>
      <c r="E230" s="266"/>
      <c r="F230" s="266"/>
    </row>
    <row r="231" spans="2:19" ht="15" x14ac:dyDescent="0.2">
      <c r="B231" s="748"/>
      <c r="C231" s="663" t="s">
        <v>1106</v>
      </c>
      <c r="D231" s="663"/>
      <c r="E231" s="287">
        <f>E223+E209*(E227-E219)^2+E206*E177*(E228-E215)^2+E206*E184*(E214-E227)^2</f>
        <v>4864741023597.1475</v>
      </c>
      <c r="F231" s="287" t="s">
        <v>1099</v>
      </c>
      <c r="H231" s="289"/>
    </row>
    <row r="232" spans="2:19" ht="15" x14ac:dyDescent="0.2">
      <c r="B232" s="748"/>
      <c r="C232" s="663" t="s">
        <v>1107</v>
      </c>
      <c r="D232" s="663"/>
      <c r="E232" s="287">
        <f>E231/E228</f>
        <v>3439663290.2391458</v>
      </c>
      <c r="F232" s="287" t="s">
        <v>1108</v>
      </c>
    </row>
    <row r="233" spans="2:19" ht="15" x14ac:dyDescent="0.2">
      <c r="B233" s="748"/>
      <c r="C233" s="663" t="s">
        <v>1109</v>
      </c>
      <c r="D233" s="663"/>
      <c r="E233" s="287">
        <f>E231/(E228-(G23+G18)*1000)</f>
        <v>6810431281.7667904</v>
      </c>
      <c r="F233" s="287" t="s">
        <v>1108</v>
      </c>
    </row>
    <row r="234" spans="2:19" ht="15" x14ac:dyDescent="0.2">
      <c r="B234" s="749"/>
      <c r="C234" s="663" t="s">
        <v>1110</v>
      </c>
      <c r="D234" s="663"/>
      <c r="E234" s="287">
        <f>E231/E227</f>
        <v>2449896255.8348765</v>
      </c>
      <c r="F234" s="287" t="s">
        <v>1108</v>
      </c>
    </row>
    <row r="237" spans="2:19" x14ac:dyDescent="0.15">
      <c r="C237" s="665" t="s">
        <v>1111</v>
      </c>
      <c r="D237" s="586"/>
      <c r="E237" s="586"/>
      <c r="F237" s="290"/>
    </row>
    <row r="238" spans="2:19" ht="15.95" customHeight="1" x14ac:dyDescent="0.15">
      <c r="C238" s="75" t="s">
        <v>1112</v>
      </c>
      <c r="D238" s="87">
        <f>0.7*F73</f>
        <v>1302</v>
      </c>
      <c r="E238" s="72" t="s">
        <v>242</v>
      </c>
      <c r="H238" s="291" t="s">
        <v>1113</v>
      </c>
    </row>
    <row r="239" spans="2:19" ht="66" customHeight="1" x14ac:dyDescent="0.15">
      <c r="C239" s="666" t="s">
        <v>1114</v>
      </c>
      <c r="D239" s="666"/>
      <c r="E239" s="666"/>
      <c r="F239" s="292"/>
    </row>
    <row r="240" spans="2:19" ht="15.95" customHeight="1" x14ac:dyDescent="0.15">
      <c r="C240" s="83" t="s">
        <v>1115</v>
      </c>
      <c r="D240" s="79">
        <v>5</v>
      </c>
      <c r="E240" s="75" t="s">
        <v>186</v>
      </c>
      <c r="F240" s="292"/>
    </row>
    <row r="241" spans="1:19" ht="15.95" customHeight="1" x14ac:dyDescent="0.25">
      <c r="A241" s="196"/>
      <c r="C241" s="75" t="s">
        <v>1116</v>
      </c>
      <c r="D241" s="137">
        <f>D14*1000</f>
        <v>30000</v>
      </c>
      <c r="E241" s="75" t="s">
        <v>186</v>
      </c>
      <c r="F241" s="293"/>
    </row>
    <row r="242" spans="1:19" ht="15.95" customHeight="1" x14ac:dyDescent="0.15">
      <c r="A242" s="196"/>
      <c r="C242" s="138" t="s">
        <v>1117</v>
      </c>
      <c r="D242" s="77">
        <f>D240/D241*F76</f>
        <v>32.5</v>
      </c>
      <c r="E242" s="77" t="s">
        <v>242</v>
      </c>
    </row>
    <row r="243" spans="1:19" ht="15.95" customHeight="1" x14ac:dyDescent="0.25">
      <c r="C243" s="72" t="s">
        <v>1118</v>
      </c>
      <c r="D243" s="79">
        <v>0.155</v>
      </c>
      <c r="E243" s="72"/>
      <c r="F243" s="293"/>
    </row>
    <row r="244" spans="1:19" ht="15.95" customHeight="1" x14ac:dyDescent="0.15">
      <c r="C244" s="140" t="s">
        <v>1119</v>
      </c>
      <c r="D244" s="79">
        <v>0</v>
      </c>
      <c r="E244" s="72" t="s">
        <v>253</v>
      </c>
    </row>
    <row r="245" spans="1:19" ht="15.95" customHeight="1" x14ac:dyDescent="0.15">
      <c r="C245" s="140" t="s">
        <v>1120</v>
      </c>
      <c r="D245" s="79">
        <v>1.5E-3</v>
      </c>
      <c r="E245" s="72"/>
    </row>
    <row r="246" spans="1:19" ht="15.95" customHeight="1" x14ac:dyDescent="0.15">
      <c r="C246" s="72" t="s">
        <v>1121</v>
      </c>
      <c r="D246" s="72">
        <f>D241/2/1000</f>
        <v>15</v>
      </c>
      <c r="E246" s="72" t="s">
        <v>12</v>
      </c>
    </row>
    <row r="247" spans="1:19" ht="15.95" customHeight="1" x14ac:dyDescent="0.15">
      <c r="C247" s="72" t="s">
        <v>257</v>
      </c>
      <c r="D247" s="72">
        <f>D243*D244+D245*D246</f>
        <v>2.2499999999999999E-2</v>
      </c>
      <c r="E247" s="72"/>
    </row>
    <row r="248" spans="1:19" ht="15.95" customHeight="1" x14ac:dyDescent="0.15">
      <c r="C248" s="77" t="s">
        <v>1122</v>
      </c>
      <c r="D248" s="77">
        <f>IF(D247&lt;0.2,D247*D238,D238*(1-EXP(-D247)))</f>
        <v>29.294999999999998</v>
      </c>
      <c r="E248" s="77" t="s">
        <v>242</v>
      </c>
      <c r="H248" s="196"/>
      <c r="I248" s="196"/>
      <c r="J248" s="196"/>
      <c r="K248" s="196"/>
    </row>
    <row r="249" spans="1:19" ht="15.95" customHeight="1" x14ac:dyDescent="0.15">
      <c r="C249" s="72" t="s">
        <v>1123</v>
      </c>
      <c r="D249" s="72">
        <f>0.00001</f>
        <v>1.0000000000000001E-5</v>
      </c>
      <c r="E249" s="72" t="s">
        <v>1124</v>
      </c>
    </row>
    <row r="250" spans="1:19" ht="15.95" customHeight="1" x14ac:dyDescent="0.25">
      <c r="C250" s="140" t="s">
        <v>1125</v>
      </c>
      <c r="D250" s="79">
        <v>0</v>
      </c>
      <c r="E250" s="72" t="s">
        <v>1126</v>
      </c>
      <c r="F250" s="293"/>
      <c r="O250" s="297"/>
      <c r="P250" s="297"/>
      <c r="Q250" s="297"/>
      <c r="R250" s="297"/>
      <c r="S250" s="297"/>
    </row>
    <row r="251" spans="1:19" ht="15.95" customHeight="1" x14ac:dyDescent="0.15">
      <c r="C251" s="143" t="s">
        <v>1127</v>
      </c>
      <c r="D251" s="143">
        <f>D249*D250*F76</f>
        <v>0</v>
      </c>
      <c r="E251" s="143" t="s">
        <v>242</v>
      </c>
      <c r="O251" s="297"/>
      <c r="P251" s="297"/>
      <c r="Q251" s="297"/>
      <c r="R251" s="297"/>
      <c r="S251" s="297"/>
    </row>
    <row r="252" spans="1:19" ht="15.95" customHeight="1" x14ac:dyDescent="0.15">
      <c r="C252" s="667" t="s">
        <v>1128</v>
      </c>
      <c r="D252" s="668"/>
      <c r="E252" s="669"/>
      <c r="O252" s="297"/>
      <c r="P252" s="297"/>
      <c r="Q252" s="297"/>
      <c r="R252" s="297"/>
      <c r="S252" s="297"/>
    </row>
    <row r="253" spans="1:19" ht="15.95" customHeight="1" x14ac:dyDescent="0.15">
      <c r="B253" s="294"/>
      <c r="C253" s="644" t="s">
        <v>1129</v>
      </c>
      <c r="D253" s="670"/>
      <c r="E253" s="645"/>
      <c r="O253" s="297"/>
      <c r="P253" s="297"/>
      <c r="Q253" s="297"/>
      <c r="R253" s="297"/>
      <c r="S253" s="297"/>
    </row>
    <row r="254" spans="1:19" ht="15.95" customHeight="1" x14ac:dyDescent="0.15">
      <c r="C254" s="144" t="s">
        <v>1130</v>
      </c>
      <c r="D254" s="295">
        <f>0.4*(D238/F73-0.5)*D238</f>
        <v>104.15999999999998</v>
      </c>
      <c r="E254" s="143" t="s">
        <v>242</v>
      </c>
    </row>
    <row r="255" spans="1:19" ht="15.95" customHeight="1" x14ac:dyDescent="0.15">
      <c r="C255" s="674" t="s">
        <v>1131</v>
      </c>
      <c r="D255" s="675"/>
      <c r="E255" s="676"/>
    </row>
    <row r="256" spans="1:19" ht="15.95" customHeight="1" x14ac:dyDescent="0.15">
      <c r="C256" s="75" t="s">
        <v>1132</v>
      </c>
      <c r="D256" s="72">
        <v>0</v>
      </c>
      <c r="E256" s="72" t="s">
        <v>242</v>
      </c>
      <c r="F256" s="677" t="s">
        <v>1133</v>
      </c>
      <c r="G256" s="677"/>
      <c r="K256" s="196"/>
      <c r="L256" s="196"/>
      <c r="M256" s="196"/>
      <c r="N256" s="196"/>
      <c r="O256" s="196"/>
    </row>
    <row r="257" spans="1:15" ht="15.95" customHeight="1" x14ac:dyDescent="0.25">
      <c r="C257" s="75" t="s">
        <v>1134</v>
      </c>
      <c r="D257" s="72">
        <f>D238-D242-D248</f>
        <v>1240.2049999999999</v>
      </c>
      <c r="E257" s="72" t="s">
        <v>242</v>
      </c>
      <c r="F257" s="590" t="s">
        <v>717</v>
      </c>
      <c r="G257" s="590"/>
    </row>
    <row r="258" spans="1:15" ht="15.95" customHeight="1" x14ac:dyDescent="0.15">
      <c r="C258" s="72" t="s">
        <v>1135</v>
      </c>
      <c r="D258" s="72">
        <f>D257*E177+D257*E184-D256*E189-D256*E194</f>
        <v>15626583</v>
      </c>
      <c r="E258" s="72" t="s">
        <v>275</v>
      </c>
      <c r="K258" s="196"/>
      <c r="L258" s="321"/>
      <c r="M258" s="196"/>
      <c r="N258" s="196"/>
      <c r="O258" s="196"/>
    </row>
    <row r="259" spans="1:15" ht="15.95" customHeight="1" x14ac:dyDescent="0.15">
      <c r="C259" s="75" t="s">
        <v>276</v>
      </c>
      <c r="D259" s="72">
        <f>E220-E215</f>
        <v>1077.9193076813281</v>
      </c>
      <c r="E259" s="72" t="s">
        <v>186</v>
      </c>
    </row>
    <row r="260" spans="1:15" ht="15.95" customHeight="1" x14ac:dyDescent="0.15">
      <c r="C260" s="75" t="s">
        <v>277</v>
      </c>
      <c r="D260" s="72">
        <f>E219-E214</f>
        <v>1622.0806923186719</v>
      </c>
      <c r="E260" s="72" t="s">
        <v>186</v>
      </c>
    </row>
    <row r="261" spans="1:15" ht="15.95" customHeight="1" x14ac:dyDescent="0.15">
      <c r="C261" s="75" t="s">
        <v>278</v>
      </c>
      <c r="D261" s="72">
        <f>E220-E211</f>
        <v>1372.9193076813281</v>
      </c>
      <c r="E261" s="72" t="s">
        <v>186</v>
      </c>
    </row>
    <row r="262" spans="1:15" ht="15.95" customHeight="1" x14ac:dyDescent="0.15">
      <c r="A262" s="298"/>
      <c r="B262" s="298"/>
      <c r="C262" s="75" t="s">
        <v>279</v>
      </c>
      <c r="D262" s="72">
        <f>E219-E212</f>
        <v>1917.0806923186719</v>
      </c>
      <c r="E262" s="72" t="s">
        <v>186</v>
      </c>
      <c r="F262" s="299"/>
      <c r="G262" s="299"/>
      <c r="H262" s="299"/>
    </row>
    <row r="263" spans="1:15" ht="15.95" customHeight="1" x14ac:dyDescent="0.15">
      <c r="C263" s="78" t="s">
        <v>1136</v>
      </c>
      <c r="D263" s="78">
        <f>(D257*E177*D259-D257*E184*D260-D256*E189*D261+D256*E194*D262)/D258</f>
        <v>717.91930768132806</v>
      </c>
      <c r="E263" s="78" t="s">
        <v>186</v>
      </c>
    </row>
    <row r="264" spans="1:15" ht="15.95" customHeight="1" x14ac:dyDescent="0.15">
      <c r="C264" s="156" t="s">
        <v>1137</v>
      </c>
      <c r="D264" s="78">
        <f>D259</f>
        <v>1077.9193076813281</v>
      </c>
      <c r="E264" s="78" t="s">
        <v>186</v>
      </c>
      <c r="F264" s="300"/>
    </row>
    <row r="265" spans="1:15" ht="15.95" customHeight="1" x14ac:dyDescent="0.15">
      <c r="C265" s="301" t="s">
        <v>1138</v>
      </c>
      <c r="D265" s="78">
        <f>D258/E209+D258*D263*D264/E223</f>
        <v>6.533844698404252</v>
      </c>
      <c r="E265" s="78" t="s">
        <v>242</v>
      </c>
      <c r="F265" s="300"/>
    </row>
    <row r="266" spans="1:15" ht="15.95" customHeight="1" x14ac:dyDescent="0.15">
      <c r="C266" s="156" t="s">
        <v>1139</v>
      </c>
      <c r="D266" s="78">
        <f>D260</f>
        <v>1622.0806923186719</v>
      </c>
      <c r="E266" s="78" t="s">
        <v>186</v>
      </c>
    </row>
    <row r="267" spans="1:15" ht="15.95" customHeight="1" x14ac:dyDescent="0.15">
      <c r="C267" s="78" t="s">
        <v>1140</v>
      </c>
      <c r="D267" s="78">
        <f>D258/E209-D258*D263*D266/E223</f>
        <v>0.17411900182049234</v>
      </c>
      <c r="E267" s="78" t="s">
        <v>242</v>
      </c>
    </row>
    <row r="268" spans="1:15" ht="15.95" customHeight="1" x14ac:dyDescent="0.15">
      <c r="C268" s="78" t="s">
        <v>1141</v>
      </c>
      <c r="D268" s="78">
        <f>IF(D267&lt;0,0,D267)</f>
        <v>0.17411900182049234</v>
      </c>
      <c r="E268" s="78" t="s">
        <v>242</v>
      </c>
    </row>
    <row r="269" spans="1:15" ht="15.95" customHeight="1" x14ac:dyDescent="0.15">
      <c r="C269" s="75" t="s">
        <v>1142</v>
      </c>
      <c r="D269" s="72">
        <f>(E189)/E209</f>
        <v>4.0156598407520257E-3</v>
      </c>
      <c r="E269" s="72" t="s">
        <v>1143</v>
      </c>
    </row>
    <row r="270" spans="1:15" ht="15.95" customHeight="1" x14ac:dyDescent="0.25">
      <c r="C270" s="75" t="s">
        <v>1144</v>
      </c>
      <c r="D270" s="72">
        <f>(E184)/E209</f>
        <v>4.2948334022583235E-4</v>
      </c>
      <c r="E270" s="72"/>
      <c r="J270" s="678"/>
      <c r="K270" s="678"/>
      <c r="L270" s="322"/>
      <c r="N270" s="323"/>
    </row>
    <row r="271" spans="1:15" ht="15.95" customHeight="1" x14ac:dyDescent="0.15">
      <c r="C271" s="302" t="s">
        <v>1145</v>
      </c>
      <c r="D271" s="77">
        <f>(35+280*D265/F67)/(1+15*D269)*1.3</f>
        <v>154.51703402830287</v>
      </c>
      <c r="E271" s="77" t="s">
        <v>242</v>
      </c>
    </row>
    <row r="272" spans="1:15" ht="15.95" customHeight="1" x14ac:dyDescent="0.15">
      <c r="C272" s="138" t="s">
        <v>1146</v>
      </c>
      <c r="D272" s="77">
        <f>IF(D270&gt;0,(35+280*D268/F67)/(1+15*D270),0)*1.3</f>
        <v>48.341770060791085</v>
      </c>
      <c r="E272" s="77" t="s">
        <v>242</v>
      </c>
    </row>
    <row r="273" spans="2:17" ht="15.95" customHeight="1" x14ac:dyDescent="0.15">
      <c r="C273" s="77" t="s">
        <v>1147</v>
      </c>
      <c r="D273" s="303">
        <f>D242+D248+D251+D254+D271</f>
        <v>320.47203402830286</v>
      </c>
      <c r="E273" s="77" t="s">
        <v>242</v>
      </c>
      <c r="H273" s="196"/>
    </row>
    <row r="274" spans="2:17" ht="15.95" customHeight="1" x14ac:dyDescent="0.15">
      <c r="C274" s="679" t="str">
        <f>IF(D273&gt;80,"预应力损失计算结果基本合理","预应力损失计算结果偏小")</f>
        <v>预应力损失计算结果基本合理</v>
      </c>
      <c r="D274" s="680"/>
      <c r="E274" s="681"/>
      <c r="H274" s="196"/>
    </row>
    <row r="275" spans="2:17" ht="15.95" customHeight="1" x14ac:dyDescent="0.15">
      <c r="C275" s="682" t="s">
        <v>1148</v>
      </c>
      <c r="D275" s="682"/>
      <c r="E275" s="682"/>
      <c r="F275" s="304"/>
    </row>
    <row r="276" spans="2:17" ht="15.95" customHeight="1" x14ac:dyDescent="0.15">
      <c r="C276" s="75" t="s">
        <v>1149</v>
      </c>
      <c r="D276" s="72">
        <f>D238-D273</f>
        <v>981.52796597169709</v>
      </c>
      <c r="E276" s="72" t="s">
        <v>242</v>
      </c>
      <c r="M276" s="196"/>
      <c r="N276" s="196"/>
      <c r="O276" s="196"/>
      <c r="P276" s="196"/>
      <c r="Q276" s="196"/>
    </row>
    <row r="277" spans="2:17" ht="15.95" customHeight="1" x14ac:dyDescent="0.15">
      <c r="B277" s="196"/>
      <c r="C277" s="72" t="s">
        <v>1150</v>
      </c>
      <c r="D277" s="72">
        <f>D276*E177+D276*E184-D271*E189-D272*E194</f>
        <v>9551316.8932620399</v>
      </c>
      <c r="E277" s="72" t="s">
        <v>275</v>
      </c>
      <c r="F277" s="304"/>
      <c r="I277" s="196"/>
      <c r="J277" s="196"/>
    </row>
    <row r="278" spans="2:17" ht="15.95" customHeight="1" x14ac:dyDescent="0.15">
      <c r="B278" s="196"/>
      <c r="C278" s="156" t="s">
        <v>1151</v>
      </c>
      <c r="D278" s="72">
        <f>(D276*E177*D259-D276*E184*D260-D271*E189*D261+D272*E194*D262)/D277</f>
        <v>658.73096792748856</v>
      </c>
      <c r="E278" s="72" t="s">
        <v>186</v>
      </c>
      <c r="F278" s="304"/>
      <c r="I278" s="196"/>
      <c r="J278" s="196"/>
    </row>
    <row r="279" spans="2:17" ht="15.95" customHeight="1" x14ac:dyDescent="0.15">
      <c r="B279" s="196"/>
      <c r="C279" s="77" t="s">
        <v>1152</v>
      </c>
      <c r="D279" s="77">
        <f>D277/E209+D277*D278*E220/E223</f>
        <v>4.328041455919724</v>
      </c>
      <c r="E279" s="77" t="s">
        <v>1153</v>
      </c>
      <c r="F279" s="297"/>
      <c r="I279" s="196"/>
      <c r="J279" s="196"/>
    </row>
    <row r="280" spans="2:17" ht="15.95" customHeight="1" x14ac:dyDescent="0.15">
      <c r="B280" s="196"/>
      <c r="C280" s="152" t="s">
        <v>1154</v>
      </c>
      <c r="D280" s="305">
        <f>D277/E209+D277*D278*(E220-G23*1000)/E223</f>
        <v>3.7996372203328241</v>
      </c>
      <c r="E280" s="77" t="s">
        <v>1153</v>
      </c>
      <c r="F280" s="297"/>
      <c r="I280" s="196"/>
      <c r="J280" s="196"/>
    </row>
    <row r="281" spans="2:17" ht="15.95" customHeight="1" x14ac:dyDescent="0.15">
      <c r="B281" s="196"/>
      <c r="C281" s="77" t="s">
        <v>1155</v>
      </c>
      <c r="D281" s="77">
        <f>D277/E209-D277*D278*E219/E223</f>
        <v>-0.16339454656892549</v>
      </c>
      <c r="E281" s="77" t="s">
        <v>1153</v>
      </c>
      <c r="F281" s="304"/>
    </row>
    <row r="282" spans="2:17" ht="15.95" customHeight="1" x14ac:dyDescent="0.15">
      <c r="B282" s="196"/>
      <c r="C282" s="75" t="s">
        <v>304</v>
      </c>
      <c r="D282" s="72">
        <f>D238-D273+E206*D279</f>
        <v>1007.4962147072155</v>
      </c>
      <c r="E282" s="72" t="s">
        <v>242</v>
      </c>
      <c r="F282" s="306"/>
    </row>
    <row r="283" spans="2:17" ht="15.95" customHeight="1" x14ac:dyDescent="0.15">
      <c r="B283" s="196"/>
      <c r="C283" s="75" t="s">
        <v>305</v>
      </c>
      <c r="D283" s="72">
        <f>D238-D273+E206*D281</f>
        <v>980.54759869228349</v>
      </c>
      <c r="E283" s="72" t="s">
        <v>242</v>
      </c>
      <c r="F283" s="304"/>
      <c r="K283" s="196"/>
      <c r="L283" s="196"/>
      <c r="M283" s="196"/>
      <c r="N283" s="196"/>
      <c r="O283" s="196"/>
    </row>
    <row r="284" spans="2:17" ht="15.95" customHeight="1" x14ac:dyDescent="0.15">
      <c r="B284" s="196"/>
      <c r="C284" s="228"/>
      <c r="D284" s="225"/>
      <c r="E284" s="225"/>
      <c r="F284" s="304"/>
      <c r="K284" s="196"/>
      <c r="L284" s="196"/>
      <c r="M284" s="196"/>
      <c r="N284" s="196"/>
      <c r="O284" s="196"/>
    </row>
    <row r="285" spans="2:17" x14ac:dyDescent="0.15">
      <c r="C285" s="683" t="s">
        <v>1156</v>
      </c>
      <c r="D285" s="684"/>
      <c r="E285" s="685"/>
    </row>
    <row r="286" spans="2:17" ht="16.5" x14ac:dyDescent="0.15">
      <c r="C286" s="686" t="s">
        <v>1157</v>
      </c>
      <c r="D286" s="687"/>
      <c r="E286" s="688"/>
    </row>
    <row r="287" spans="2:17" x14ac:dyDescent="0.15">
      <c r="C287" s="732"/>
      <c r="D287" s="733"/>
      <c r="E287" s="734"/>
    </row>
    <row r="288" spans="2:17" x14ac:dyDescent="0.15">
      <c r="C288" s="735"/>
      <c r="D288" s="736"/>
      <c r="E288" s="737"/>
    </row>
    <row r="289" spans="1:15" x14ac:dyDescent="0.15">
      <c r="C289" s="735"/>
      <c r="D289" s="736"/>
      <c r="E289" s="737"/>
    </row>
    <row r="290" spans="1:15" x14ac:dyDescent="0.15">
      <c r="C290" s="735"/>
      <c r="D290" s="736"/>
      <c r="E290" s="737"/>
      <c r="K290" s="196"/>
      <c r="L290" s="196"/>
      <c r="M290" s="196"/>
      <c r="N290" s="196"/>
      <c r="O290" s="196"/>
    </row>
    <row r="291" spans="1:15" x14ac:dyDescent="0.15">
      <c r="C291" s="738"/>
      <c r="D291" s="739"/>
      <c r="E291" s="740"/>
    </row>
    <row r="292" spans="1:15" ht="14.25" x14ac:dyDescent="0.15">
      <c r="C292" s="689" t="s">
        <v>1158</v>
      </c>
      <c r="D292" s="690"/>
      <c r="E292" s="691"/>
    </row>
    <row r="293" spans="1:15" ht="14.25" x14ac:dyDescent="0.15">
      <c r="C293" s="689" t="s">
        <v>1159</v>
      </c>
      <c r="D293" s="690"/>
      <c r="E293" s="691"/>
    </row>
    <row r="294" spans="1:15" ht="14.25" x14ac:dyDescent="0.15">
      <c r="C294" s="689" t="s">
        <v>1160</v>
      </c>
      <c r="D294" s="690"/>
      <c r="E294" s="691"/>
    </row>
    <row r="295" spans="1:15" ht="14.25" x14ac:dyDescent="0.2">
      <c r="C295" s="73" t="s">
        <v>1161</v>
      </c>
      <c r="D295" s="307">
        <f>0.8/(1.6+(F74-D282)/(0.0033*F76))</f>
        <v>0.38357689296561709</v>
      </c>
      <c r="E295" s="82"/>
    </row>
    <row r="296" spans="1:15" ht="15" x14ac:dyDescent="0.25">
      <c r="A296" s="196"/>
      <c r="C296" s="308" t="s">
        <v>1162</v>
      </c>
      <c r="D296" s="309">
        <v>0.51800000000000002</v>
      </c>
      <c r="E296" s="186"/>
    </row>
    <row r="297" spans="1:15" ht="14.25" x14ac:dyDescent="0.2">
      <c r="A297" s="196"/>
      <c r="C297" s="75" t="s">
        <v>1163</v>
      </c>
      <c r="D297" s="307">
        <f>MIN(D295:D296)</f>
        <v>0.38357689296561709</v>
      </c>
      <c r="E297" s="82"/>
    </row>
    <row r="298" spans="1:15" ht="14.25" x14ac:dyDescent="0.2">
      <c r="C298" s="268" t="s">
        <v>1164</v>
      </c>
      <c r="D298" s="186"/>
      <c r="E298" s="186"/>
    </row>
    <row r="299" spans="1:15" ht="18.75" customHeight="1" x14ac:dyDescent="0.2">
      <c r="C299" s="186"/>
      <c r="D299" s="82">
        <f>F68*E189+F74*E177</f>
        <v>20069266.776461627</v>
      </c>
      <c r="E299" s="82" t="s">
        <v>275</v>
      </c>
      <c r="I299" s="196"/>
      <c r="J299" s="196"/>
      <c r="K299" s="196"/>
      <c r="L299" s="196"/>
      <c r="M299" s="196"/>
    </row>
    <row r="300" spans="1:15" ht="21" customHeight="1" x14ac:dyDescent="0.2">
      <c r="C300" s="186"/>
      <c r="D300" s="82">
        <f>F60*E195*E196+F69*E194-(D283-F75)*E184</f>
        <v>13697421.823745316</v>
      </c>
      <c r="E300" s="82" t="s">
        <v>275</v>
      </c>
    </row>
    <row r="301" spans="1:15" ht="15" x14ac:dyDescent="0.25">
      <c r="C301" s="310" t="s">
        <v>1165</v>
      </c>
      <c r="D301" s="679" t="str">
        <f>IF(D299&gt;D300,"第二类T形截面","第一类T行截面")</f>
        <v>第二类T形截面</v>
      </c>
      <c r="E301" s="681"/>
      <c r="F301" s="311" t="str">
        <f>IF(D301="第一类T行截面","x&lt;h'f","x&gt;h'f")</f>
        <v>x&gt;h'f</v>
      </c>
    </row>
    <row r="302" spans="1:15" x14ac:dyDescent="0.15">
      <c r="A302" s="312"/>
      <c r="B302" s="312"/>
      <c r="C302" s="75" t="s">
        <v>1166</v>
      </c>
      <c r="D302" s="72">
        <f>IF(D301="第一类T行截面",((F68*E189-F69*E194+F74*E177+(D283-F75)*E184)/(F60*E195)),((F68*E189-F69*E194+F74*E177+(D283-F75)*E184-F60*(E195-E197)*E196)/(F60*E197)))</f>
        <v>1031.0074129769905</v>
      </c>
      <c r="E302" s="72" t="s">
        <v>186</v>
      </c>
      <c r="F302"/>
      <c r="G302" s="312"/>
    </row>
    <row r="303" spans="1:15" ht="14.25" x14ac:dyDescent="0.15">
      <c r="C303" s="75" t="s">
        <v>1167</v>
      </c>
      <c r="D303" s="72">
        <f>0.85*D297*E217</f>
        <v>994.42309501336217</v>
      </c>
      <c r="E303" s="72" t="s">
        <v>186</v>
      </c>
      <c r="F303"/>
    </row>
    <row r="304" spans="1:15" x14ac:dyDescent="0.15">
      <c r="C304" s="679" t="str">
        <f>IF(D302&lt;D303,"x≤0.85ζbh0，满足条件","x&gt;0.85ζbh0，不满足条件")</f>
        <v>x&gt;0.85ζbh0，不满足条件</v>
      </c>
      <c r="D304" s="680"/>
      <c r="E304" s="681"/>
      <c r="F304" s="313"/>
      <c r="H304" s="196"/>
    </row>
    <row r="305" spans="3:8" ht="15.75" x14ac:dyDescent="0.15">
      <c r="C305" s="75" t="s">
        <v>1168</v>
      </c>
      <c r="D305" s="72">
        <f>2*E212</f>
        <v>110</v>
      </c>
      <c r="E305" s="72" t="s">
        <v>186</v>
      </c>
      <c r="F305"/>
    </row>
    <row r="306" spans="3:8" x14ac:dyDescent="0.15">
      <c r="C306" s="679" t="str">
        <f>IF(D302&gt;=D305,"x≥2a′，满足条件","不满足条件")</f>
        <v>x≥2a′，满足条件</v>
      </c>
      <c r="D306" s="680"/>
      <c r="E306" s="681"/>
      <c r="F306"/>
    </row>
    <row r="307" spans="3:8" x14ac:dyDescent="0.15">
      <c r="C307" s="75" t="s">
        <v>1169</v>
      </c>
      <c r="D307" s="314">
        <f>IF(D301="第一类T行截面",(F60*E195*D302*(E217-1/2*D302)+F69*E194*(E217-E212)-(D283-F75)*E184*(E217-E214)),(F60*E197*D302*(E217-1/2*D302)+F60*(E195-E197)*E196*(E217-1/2*E196)+F69*E194*(E217-E212)-(D283-F75)*E184*(E217-E214)))</f>
        <v>53800107366.248466</v>
      </c>
      <c r="E307" s="72" t="s">
        <v>1170</v>
      </c>
      <c r="F307"/>
      <c r="H307" s="297"/>
    </row>
    <row r="308" spans="3:8" ht="14.25" x14ac:dyDescent="0.2">
      <c r="C308" s="75" t="s">
        <v>1171</v>
      </c>
      <c r="D308" s="315">
        <f>D145</f>
        <v>2</v>
      </c>
      <c r="E308" s="82"/>
      <c r="F308"/>
    </row>
    <row r="309" spans="3:8" ht="14.25" x14ac:dyDescent="0.2">
      <c r="C309" s="75" t="s">
        <v>1172</v>
      </c>
      <c r="D309" s="316">
        <f>D166*10^6</f>
        <v>18392450862.607906</v>
      </c>
      <c r="E309" s="82" t="s">
        <v>319</v>
      </c>
      <c r="F309"/>
    </row>
    <row r="310" spans="3:8" ht="14.25" x14ac:dyDescent="0.2">
      <c r="C310" s="75" t="s">
        <v>322</v>
      </c>
      <c r="D310" s="316">
        <f>D308*D309</f>
        <v>36784901725.215813</v>
      </c>
      <c r="E310" s="82" t="s">
        <v>319</v>
      </c>
      <c r="F310"/>
    </row>
    <row r="311" spans="3:8" ht="14.25" x14ac:dyDescent="0.2">
      <c r="C311" s="75" t="s">
        <v>323</v>
      </c>
      <c r="D311" s="316" t="str">
        <f>IF(D310&lt;D307,"≤","&gt;")</f>
        <v>≤</v>
      </c>
      <c r="E311" s="75" t="s">
        <v>324</v>
      </c>
      <c r="F311" s="196"/>
      <c r="G311" s="196"/>
      <c r="H311" s="317"/>
    </row>
    <row r="312" spans="3:8" ht="14.25" x14ac:dyDescent="0.2">
      <c r="C312" s="672" t="str">
        <f>IF(D311="≤","满足承载力设计要求","不满足承载力设计要求")</f>
        <v>满足承载力设计要求</v>
      </c>
      <c r="D312" s="672"/>
      <c r="E312" s="672"/>
      <c r="F312" s="277"/>
      <c r="G312" s="277"/>
      <c r="H312" s="277"/>
    </row>
    <row r="313" spans="3:8" ht="14.25" x14ac:dyDescent="0.2">
      <c r="C313" s="318"/>
      <c r="D313" s="318"/>
      <c r="E313" s="318"/>
      <c r="F313" s="277"/>
      <c r="G313" s="277"/>
      <c r="H313" s="277"/>
    </row>
    <row r="314" spans="3:8" x14ac:dyDescent="0.15">
      <c r="C314" s="671" t="s">
        <v>1173</v>
      </c>
      <c r="D314" s="671"/>
      <c r="E314" s="671"/>
      <c r="F314" s="319"/>
      <c r="G314" s="277"/>
      <c r="H314" s="277"/>
    </row>
    <row r="315" spans="3:8" x14ac:dyDescent="0.15">
      <c r="C315" s="83" t="s">
        <v>1171</v>
      </c>
      <c r="D315" s="79">
        <v>1.35</v>
      </c>
      <c r="E315" s="320" t="s">
        <v>1174</v>
      </c>
      <c r="G315" s="277"/>
      <c r="H315" s="277"/>
    </row>
    <row r="316" spans="3:8" x14ac:dyDescent="0.15">
      <c r="C316" s="75" t="s">
        <v>1175</v>
      </c>
      <c r="D316" s="88">
        <f>D167*10^3</f>
        <v>2451305.4044292094</v>
      </c>
      <c r="E316" s="72" t="s">
        <v>275</v>
      </c>
      <c r="G316" s="277"/>
      <c r="H316" s="277"/>
    </row>
    <row r="317" spans="3:8" x14ac:dyDescent="0.15">
      <c r="C317" s="75" t="s">
        <v>327</v>
      </c>
      <c r="D317" s="88">
        <f>D315*D316</f>
        <v>3309262.2959794328</v>
      </c>
      <c r="E317" s="72" t="s">
        <v>275</v>
      </c>
      <c r="G317" s="277"/>
      <c r="H317" s="277"/>
    </row>
    <row r="318" spans="3:8" ht="14.25" x14ac:dyDescent="0.15">
      <c r="C318" s="75" t="s">
        <v>1176</v>
      </c>
      <c r="D318" s="72">
        <f>E217-E196</f>
        <v>2575</v>
      </c>
      <c r="E318" s="72" t="s">
        <v>186</v>
      </c>
      <c r="G318" s="277"/>
      <c r="H318" s="277"/>
    </row>
    <row r="319" spans="3:8" x14ac:dyDescent="0.15">
      <c r="C319" s="75" t="s">
        <v>1177</v>
      </c>
      <c r="D319" s="72">
        <f>E197</f>
        <v>600</v>
      </c>
      <c r="E319" s="72" t="s">
        <v>186</v>
      </c>
      <c r="G319" s="277"/>
      <c r="H319" s="277"/>
    </row>
    <row r="320" spans="3:8" ht="14.25" x14ac:dyDescent="0.15">
      <c r="C320" s="75" t="s">
        <v>1178</v>
      </c>
      <c r="D320" s="72">
        <f>D318/D319</f>
        <v>4.291666666666667</v>
      </c>
      <c r="E320" s="72"/>
      <c r="G320" s="277"/>
      <c r="H320" s="277"/>
    </row>
    <row r="321" spans="2:8" ht="14.25" x14ac:dyDescent="0.15">
      <c r="B321" s="324"/>
      <c r="C321" s="325" t="s">
        <v>1179</v>
      </c>
      <c r="D321" s="88">
        <f>(IF(D320&lt;4,0.25,IF(D320&lt;6,((0.25-0.2)/(4-6)*(D320-4)+0.25),0.2)))*F60*E197*E217</f>
        <v>8483384.375</v>
      </c>
      <c r="E321" s="72" t="s">
        <v>275</v>
      </c>
      <c r="F321" s="326"/>
      <c r="G321" s="277"/>
      <c r="H321" s="277"/>
    </row>
    <row r="322" spans="2:8" ht="14.25" x14ac:dyDescent="0.2">
      <c r="C322" s="672" t="str">
        <f>IF(D317&lt;D321,"截面尺寸满足要求","截面尺寸不满足要求")</f>
        <v>截面尺寸满足要求</v>
      </c>
      <c r="D322" s="672"/>
      <c r="E322" s="672"/>
    </row>
    <row r="323" spans="2:8" s="196" customFormat="1" x14ac:dyDescent="0.15">
      <c r="C323" s="327" t="s">
        <v>1180</v>
      </c>
      <c r="D323" s="213"/>
      <c r="E323" s="213"/>
      <c r="F323" s="304"/>
    </row>
    <row r="324" spans="2:8" ht="14.25" x14ac:dyDescent="0.15">
      <c r="B324" s="294"/>
      <c r="C324" s="75" t="s">
        <v>1181</v>
      </c>
      <c r="D324" s="328">
        <f>0.7*F61*E197*E217</f>
        <v>2190510</v>
      </c>
      <c r="E324" s="72" t="s">
        <v>275</v>
      </c>
      <c r="F324" s="329">
        <f>D324-D317</f>
        <v>-1118752.2959794328</v>
      </c>
    </row>
    <row r="325" spans="2:8" ht="14.25" x14ac:dyDescent="0.15">
      <c r="B325" s="289"/>
      <c r="C325" s="75" t="s">
        <v>334</v>
      </c>
      <c r="D325" s="328">
        <f>D282*E177+D283*E184-D271*E189-D272*E194</f>
        <v>9833243.1524244882</v>
      </c>
      <c r="E325" s="72" t="s">
        <v>275</v>
      </c>
    </row>
    <row r="326" spans="2:8" ht="14.25" x14ac:dyDescent="0.15">
      <c r="C326" s="72" t="s">
        <v>1182</v>
      </c>
      <c r="D326" s="328">
        <f>0.3*F60*E224</f>
        <v>22847095.824546151</v>
      </c>
      <c r="E326" s="72" t="s">
        <v>275</v>
      </c>
    </row>
    <row r="327" spans="2:8" ht="14.25" x14ac:dyDescent="0.15">
      <c r="C327" s="72" t="s">
        <v>1183</v>
      </c>
      <c r="D327" s="328">
        <f>IF(D325&gt;D326,D326,D325)</f>
        <v>9833243.1524244882</v>
      </c>
      <c r="E327" s="72" t="s">
        <v>275</v>
      </c>
      <c r="H327" s="297" t="s">
        <v>779</v>
      </c>
    </row>
    <row r="328" spans="2:8" ht="14.25" x14ac:dyDescent="0.15">
      <c r="B328" s="294"/>
      <c r="C328" s="75" t="s">
        <v>1184</v>
      </c>
      <c r="D328" s="328">
        <f>0.05*D327</f>
        <v>491662.15762122441</v>
      </c>
      <c r="E328" s="72" t="s">
        <v>275</v>
      </c>
      <c r="H328" s="196"/>
    </row>
    <row r="329" spans="2:8" x14ac:dyDescent="0.15">
      <c r="C329" s="75" t="s">
        <v>339</v>
      </c>
      <c r="D329" s="328">
        <f>D324+D328</f>
        <v>2682172.1576212244</v>
      </c>
      <c r="E329" s="72" t="s">
        <v>275</v>
      </c>
    </row>
    <row r="330" spans="2:8" x14ac:dyDescent="0.15">
      <c r="C330" s="673" t="str">
        <f>IF(D329&lt;D317,"需按计算配置箍筋","按构造配置箍筋")</f>
        <v>需按计算配置箍筋</v>
      </c>
      <c r="D330" s="673"/>
      <c r="E330" s="673"/>
    </row>
    <row r="331" spans="2:8" ht="14.25" x14ac:dyDescent="0.2">
      <c r="C331" s="721" t="s">
        <v>1185</v>
      </c>
      <c r="D331" s="722"/>
      <c r="E331" s="723"/>
      <c r="F331" s="304"/>
      <c r="G331" s="196"/>
    </row>
    <row r="332" spans="2:8" ht="14.25" x14ac:dyDescent="0.2">
      <c r="C332" s="172" t="s">
        <v>1186</v>
      </c>
      <c r="D332" s="84">
        <v>14</v>
      </c>
      <c r="E332" s="82" t="s">
        <v>186</v>
      </c>
      <c r="H332" s="330"/>
    </row>
    <row r="333" spans="2:8" s="196" customFormat="1" ht="16.5" x14ac:dyDescent="0.25">
      <c r="C333" s="85" t="s">
        <v>1187</v>
      </c>
      <c r="D333" s="82">
        <f>1/4*PI()*D332^2</f>
        <v>153.93804002589985</v>
      </c>
      <c r="E333" s="82" t="s">
        <v>1188</v>
      </c>
    </row>
    <row r="334" spans="2:8" ht="15" x14ac:dyDescent="0.25">
      <c r="C334" s="172" t="s">
        <v>1189</v>
      </c>
      <c r="D334" s="84">
        <v>4</v>
      </c>
      <c r="E334" s="82"/>
    </row>
    <row r="335" spans="2:8" ht="16.5" x14ac:dyDescent="0.25">
      <c r="C335" s="82" t="s">
        <v>1190</v>
      </c>
      <c r="D335" s="82">
        <f>D333*D334</f>
        <v>615.75216010359941</v>
      </c>
      <c r="E335" s="82" t="s">
        <v>1188</v>
      </c>
    </row>
    <row r="336" spans="2:8" ht="14.25" x14ac:dyDescent="0.2">
      <c r="C336" s="207" t="s">
        <v>1191</v>
      </c>
      <c r="D336" s="84">
        <v>100</v>
      </c>
      <c r="E336" s="82" t="s">
        <v>186</v>
      </c>
    </row>
    <row r="337" spans="1:8" ht="15" x14ac:dyDescent="0.25">
      <c r="C337" s="85" t="s">
        <v>1192</v>
      </c>
      <c r="D337" s="82">
        <f>F72</f>
        <v>300</v>
      </c>
      <c r="E337" s="82" t="s">
        <v>242</v>
      </c>
    </row>
    <row r="338" spans="1:8" ht="15" x14ac:dyDescent="0.25">
      <c r="C338" s="85" t="s">
        <v>1193</v>
      </c>
      <c r="D338" s="82">
        <f>1.25*D337*D335*E217/D336</f>
        <v>7042665.3311849181</v>
      </c>
      <c r="E338" s="82" t="s">
        <v>275</v>
      </c>
    </row>
    <row r="339" spans="1:8" ht="15" x14ac:dyDescent="0.25">
      <c r="A339" s="294"/>
      <c r="B339" s="294"/>
      <c r="C339" s="85" t="s">
        <v>1194</v>
      </c>
      <c r="D339" s="82">
        <f>D329+D338</f>
        <v>9724837.4888061434</v>
      </c>
      <c r="E339" s="82" t="s">
        <v>275</v>
      </c>
      <c r="F339" s="326"/>
    </row>
    <row r="340" spans="1:8" ht="14.25" x14ac:dyDescent="0.2">
      <c r="C340" s="724" t="str">
        <f>IF(D339&gt;D317,"满足斜截面承载力要求","不满足斜截面承载力要求")</f>
        <v>满足斜截面承载力要求</v>
      </c>
      <c r="D340" s="725"/>
      <c r="E340" s="726"/>
    </row>
    <row r="341" spans="1:8" ht="15" x14ac:dyDescent="0.25">
      <c r="C341" s="82" t="s">
        <v>1195</v>
      </c>
      <c r="D341" s="331">
        <f>D335/(E197*D336)</f>
        <v>1.0262536001726656E-2</v>
      </c>
      <c r="E341" s="82" t="str">
        <f>IF(D341&gt;F342,"&gt;","&lt;")</f>
        <v>&gt;</v>
      </c>
    </row>
    <row r="342" spans="1:8" ht="14.25" x14ac:dyDescent="0.2">
      <c r="C342" s="724" t="str">
        <f>IF(D341&gt;0.001,"满足最小配筋率要求","不满足最小配筋率要求")</f>
        <v>满足最小配筋率要求</v>
      </c>
      <c r="D342" s="725"/>
      <c r="E342" s="726"/>
      <c r="F342" s="332">
        <f>0.1/100</f>
        <v>1E-3</v>
      </c>
      <c r="G342" s="333" t="s">
        <v>791</v>
      </c>
      <c r="H342" s="330"/>
    </row>
    <row r="344" spans="1:8" ht="14.25" x14ac:dyDescent="0.15">
      <c r="C344" s="654" t="s">
        <v>1196</v>
      </c>
      <c r="D344" s="654"/>
      <c r="E344" s="654"/>
    </row>
    <row r="345" spans="1:8" x14ac:dyDescent="0.15">
      <c r="C345" s="682" t="s">
        <v>1197</v>
      </c>
      <c r="D345" s="682"/>
      <c r="E345" s="682"/>
    </row>
    <row r="346" spans="1:8" ht="15.75" x14ac:dyDescent="0.15">
      <c r="C346" s="73" t="s">
        <v>1198</v>
      </c>
      <c r="D346" s="71">
        <f>E233</f>
        <v>6810431281.7667904</v>
      </c>
      <c r="E346" s="72" t="s">
        <v>1199</v>
      </c>
    </row>
    <row r="347" spans="1:8" ht="14.25" x14ac:dyDescent="0.15">
      <c r="C347" s="73" t="s">
        <v>1200</v>
      </c>
      <c r="D347" s="71">
        <f>D164*10^6/D346</f>
        <v>2.5699882496442656</v>
      </c>
      <c r="E347" s="72" t="s">
        <v>1153</v>
      </c>
    </row>
    <row r="348" spans="1:8" ht="26.25" x14ac:dyDescent="0.15">
      <c r="C348" s="74" t="s">
        <v>1201</v>
      </c>
      <c r="D348" s="71">
        <f>D280</f>
        <v>3.7996372203328241</v>
      </c>
      <c r="E348" s="72" t="s">
        <v>242</v>
      </c>
    </row>
    <row r="349" spans="1:8" ht="14.25" x14ac:dyDescent="0.15">
      <c r="C349" s="75" t="s">
        <v>1202</v>
      </c>
      <c r="D349" s="76">
        <f>D347-D348</f>
        <v>-1.2296489706885585</v>
      </c>
      <c r="E349" s="72" t="s">
        <v>242</v>
      </c>
    </row>
    <row r="350" spans="1:8" x14ac:dyDescent="0.15">
      <c r="C350" s="699" t="str">
        <f>IF(D349&lt;0,"正截面抗裂满足要求","正截面抗裂不满足要求")</f>
        <v>正截面抗裂满足要求</v>
      </c>
      <c r="D350" s="699"/>
      <c r="E350" s="699"/>
    </row>
    <row r="351" spans="1:8" s="196" customFormat="1" x14ac:dyDescent="0.15">
      <c r="C351" s="682" t="s">
        <v>1203</v>
      </c>
      <c r="D351" s="682"/>
      <c r="E351" s="682"/>
      <c r="F351" s="304"/>
    </row>
    <row r="352" spans="1:8" ht="15.75" x14ac:dyDescent="0.15">
      <c r="B352" s="289"/>
      <c r="C352" s="75" t="s">
        <v>1204</v>
      </c>
      <c r="D352" s="72">
        <f>E232</f>
        <v>3439663290.2391458</v>
      </c>
      <c r="E352" s="72" t="s">
        <v>1199</v>
      </c>
    </row>
    <row r="353" spans="2:12" ht="14.25" x14ac:dyDescent="0.15">
      <c r="C353" s="75" t="s">
        <v>1205</v>
      </c>
      <c r="D353" s="72">
        <f>D164*10^6/D352</f>
        <v>5.088500499109462</v>
      </c>
      <c r="E353" s="72" t="s">
        <v>1153</v>
      </c>
    </row>
    <row r="354" spans="2:12" ht="32.25" customHeight="1" x14ac:dyDescent="0.15">
      <c r="C354" s="78" t="s">
        <v>354</v>
      </c>
      <c r="D354" s="72">
        <f>D279</f>
        <v>4.328041455919724</v>
      </c>
      <c r="E354" s="72" t="s">
        <v>242</v>
      </c>
    </row>
    <row r="355" spans="2:12" x14ac:dyDescent="0.15">
      <c r="C355" s="72" t="s">
        <v>355</v>
      </c>
      <c r="D355" s="72">
        <f>0.7+300/(C27*1000)</f>
        <v>0.78823529411764703</v>
      </c>
      <c r="E355" s="72"/>
      <c r="F355"/>
    </row>
    <row r="356" spans="2:12" x14ac:dyDescent="0.15">
      <c r="C356" s="72" t="s">
        <v>1206</v>
      </c>
      <c r="D356" s="72">
        <f>IF(D355&lt;1.1,D355,1.1)</f>
        <v>0.78823529411764703</v>
      </c>
      <c r="E356" s="72"/>
    </row>
    <row r="357" spans="2:12" x14ac:dyDescent="0.15">
      <c r="C357" s="83" t="s">
        <v>1207</v>
      </c>
      <c r="D357" s="79">
        <v>1.35</v>
      </c>
      <c r="E357" s="72"/>
    </row>
    <row r="358" spans="2:12" x14ac:dyDescent="0.15">
      <c r="C358" s="75" t="s">
        <v>1208</v>
      </c>
      <c r="D358" s="72">
        <f>D357*D356</f>
        <v>1.0641176470588236</v>
      </c>
      <c r="E358" s="72"/>
      <c r="L358" s="196"/>
    </row>
    <row r="359" spans="2:12" ht="14.25" x14ac:dyDescent="0.15">
      <c r="B359" s="196"/>
      <c r="C359" s="140" t="s">
        <v>1209</v>
      </c>
      <c r="D359" s="79">
        <v>0.7</v>
      </c>
      <c r="E359" s="72"/>
      <c r="F359" s="334" t="s">
        <v>800</v>
      </c>
    </row>
    <row r="360" spans="2:12" ht="14.25" x14ac:dyDescent="0.15">
      <c r="C360" s="75" t="s">
        <v>1202</v>
      </c>
      <c r="D360" s="72">
        <f>D353-D354</f>
        <v>0.760459043189738</v>
      </c>
      <c r="E360" s="72" t="s">
        <v>242</v>
      </c>
    </row>
    <row r="361" spans="2:12" ht="14.25" x14ac:dyDescent="0.15">
      <c r="C361" s="75" t="s">
        <v>1210</v>
      </c>
      <c r="D361" s="72">
        <f>D359*D358*F62</f>
        <v>1.7802688235294117</v>
      </c>
      <c r="E361" s="72" t="s">
        <v>242</v>
      </c>
    </row>
    <row r="362" spans="2:12" ht="14.25" x14ac:dyDescent="0.15">
      <c r="C362" s="75" t="s">
        <v>1211</v>
      </c>
      <c r="D362" s="72" t="str">
        <f>IF(D360&lt;D361,"≤","&gt;")</f>
        <v>≤</v>
      </c>
      <c r="E362" s="75" t="s">
        <v>1212</v>
      </c>
      <c r="G362" s="190"/>
    </row>
    <row r="363" spans="2:12" x14ac:dyDescent="0.15">
      <c r="C363" s="699" t="str">
        <f>IF(D362="≤","正截面抗裂满足要求","正截面抗裂不满足要求")</f>
        <v>正截面抗裂满足要求</v>
      </c>
      <c r="D363" s="699"/>
      <c r="E363" s="699"/>
      <c r="G363" s="196"/>
    </row>
    <row r="364" spans="2:12" x14ac:dyDescent="0.15">
      <c r="C364" s="727" t="str">
        <f>IF(VALUE(COUNTIF(C350,"*不*")+COUNTIF(C363,"*不*"))&gt;0,"正截面抗裂不满足要求","正截面抗裂满足要求")</f>
        <v>正截面抗裂满足要求</v>
      </c>
      <c r="D364" s="727"/>
      <c r="E364" s="727"/>
    </row>
    <row r="365" spans="2:12" s="196" customFormat="1" ht="14.25" x14ac:dyDescent="0.15">
      <c r="C365" s="654" t="s">
        <v>1213</v>
      </c>
      <c r="D365" s="654"/>
      <c r="E365" s="654"/>
      <c r="F365" s="304"/>
    </row>
    <row r="366" spans="2:12" s="196" customFormat="1" ht="14.25" x14ac:dyDescent="0.2">
      <c r="C366" s="75" t="s">
        <v>1024</v>
      </c>
      <c r="D366" s="81">
        <f>D162</f>
        <v>29.4</v>
      </c>
      <c r="E366" s="82" t="s">
        <v>12</v>
      </c>
    </row>
    <row r="367" spans="2:12" ht="14.25" x14ac:dyDescent="0.2">
      <c r="C367" s="83" t="s">
        <v>1214</v>
      </c>
      <c r="D367" s="84">
        <v>0.2</v>
      </c>
      <c r="E367" s="82" t="s">
        <v>12</v>
      </c>
      <c r="F367" s="297" t="s">
        <v>808</v>
      </c>
    </row>
    <row r="368" spans="2:12" ht="14.25" x14ac:dyDescent="0.2">
      <c r="C368" s="75" t="s">
        <v>1215</v>
      </c>
      <c r="D368" s="81">
        <f>D149</f>
        <v>161.9948018802387</v>
      </c>
      <c r="E368" s="82" t="s">
        <v>108</v>
      </c>
      <c r="F368"/>
    </row>
    <row r="369" spans="3:15" ht="15.75" x14ac:dyDescent="0.2">
      <c r="C369" s="75" t="s">
        <v>1216</v>
      </c>
      <c r="D369" s="82">
        <f>0.5*D368*D366*D367-1/2*D368*D367^2</f>
        <v>473.02482149029703</v>
      </c>
      <c r="E369" s="85" t="s">
        <v>156</v>
      </c>
      <c r="F369"/>
    </row>
    <row r="370" spans="3:15" ht="14.25" x14ac:dyDescent="0.2">
      <c r="C370" s="75" t="s">
        <v>1217</v>
      </c>
      <c r="D370" s="82">
        <f>0.5*D368*D366-D368*D367</f>
        <v>2348.9246272634609</v>
      </c>
      <c r="E370" s="85" t="s">
        <v>158</v>
      </c>
      <c r="F370"/>
    </row>
    <row r="371" spans="3:15" x14ac:dyDescent="0.15">
      <c r="C371" s="695" t="s">
        <v>1218</v>
      </c>
      <c r="D371" s="682"/>
      <c r="E371" s="682"/>
      <c r="F371"/>
    </row>
    <row r="372" spans="3:15" ht="15.75" x14ac:dyDescent="0.15">
      <c r="C372" s="75" t="s">
        <v>1219</v>
      </c>
      <c r="D372" s="72">
        <f>E195*E196*(E227-1/2*E196)+E197*(E227-E196)^2/2</f>
        <v>1764166668.0520558</v>
      </c>
      <c r="E372" s="72" t="s">
        <v>1199</v>
      </c>
      <c r="F372"/>
    </row>
    <row r="373" spans="3:15" ht="14.25" x14ac:dyDescent="0.15">
      <c r="C373" s="75" t="s">
        <v>1220</v>
      </c>
      <c r="D373" s="72">
        <f>D370*10^3*D372/(E231*E197)</f>
        <v>1.4197037119016964</v>
      </c>
      <c r="E373" s="72" t="s">
        <v>242</v>
      </c>
      <c r="F373"/>
    </row>
    <row r="374" spans="3:15" ht="14.25" x14ac:dyDescent="0.15">
      <c r="C374" s="75" t="s">
        <v>1221</v>
      </c>
      <c r="D374" s="72">
        <v>0</v>
      </c>
      <c r="E374" s="72" t="s">
        <v>186</v>
      </c>
      <c r="F374"/>
      <c r="G374" s="196"/>
      <c r="H374" s="196"/>
      <c r="J374" s="196"/>
      <c r="K374" s="196"/>
      <c r="L374" s="196"/>
      <c r="M374" s="196"/>
      <c r="N374" s="196"/>
      <c r="O374" s="196"/>
    </row>
    <row r="375" spans="3:15" ht="14.25" x14ac:dyDescent="0.15">
      <c r="C375" s="75" t="s">
        <v>1222</v>
      </c>
      <c r="D375" s="72">
        <f>E219-E227</f>
        <v>-13.611972017981316</v>
      </c>
      <c r="E375" s="72" t="s">
        <v>186</v>
      </c>
      <c r="F375"/>
      <c r="G375" s="196"/>
      <c r="H375" s="196"/>
      <c r="J375" s="196"/>
      <c r="K375" s="196"/>
      <c r="L375" s="196"/>
      <c r="M375" s="196"/>
      <c r="N375" s="196"/>
      <c r="O375" s="196"/>
    </row>
    <row r="376" spans="3:15" ht="14.25" x14ac:dyDescent="0.15">
      <c r="C376" s="75" t="s">
        <v>377</v>
      </c>
      <c r="D376" s="72">
        <f>D277/E209-D277*D278*D375/E223</f>
        <v>2.4597264894543844</v>
      </c>
      <c r="E376" s="72" t="s">
        <v>242</v>
      </c>
      <c r="F376" s="297" t="s">
        <v>819</v>
      </c>
      <c r="G376" s="297"/>
    </row>
    <row r="377" spans="3:15" ht="14.25" x14ac:dyDescent="0.15">
      <c r="C377" s="83" t="s">
        <v>1223</v>
      </c>
      <c r="D377" s="87">
        <f>(D376+D369*10^6*D374/E231)*-1</f>
        <v>-2.4597264894543844</v>
      </c>
      <c r="E377" s="72" t="s">
        <v>242</v>
      </c>
      <c r="F377" s="297" t="s">
        <v>821</v>
      </c>
      <c r="G377" s="297"/>
      <c r="H377" s="297"/>
    </row>
    <row r="378" spans="3:15" ht="14.25" x14ac:dyDescent="0.15">
      <c r="C378" s="75" t="s">
        <v>1224</v>
      </c>
      <c r="D378" s="72">
        <v>0</v>
      </c>
      <c r="E378" s="72" t="s">
        <v>242</v>
      </c>
      <c r="F378"/>
    </row>
    <row r="379" spans="3:15" ht="14.25" x14ac:dyDescent="0.15">
      <c r="C379" s="72" t="s">
        <v>1225</v>
      </c>
      <c r="D379" s="88">
        <f>(D377+D378)/2+((1/2*D377-1/2*D378)^2+D373^2)^0.5</f>
        <v>0.64846639362661729</v>
      </c>
      <c r="E379" s="72" t="s">
        <v>242</v>
      </c>
      <c r="F379" s="297" t="s">
        <v>823</v>
      </c>
    </row>
    <row r="380" spans="3:15" ht="14.25" x14ac:dyDescent="0.15">
      <c r="C380" s="72" t="s">
        <v>1226</v>
      </c>
      <c r="D380" s="88">
        <f>(D377+D378)/2-((D377/2-D378/2)^2+D373^2)^0.5</f>
        <v>-3.1081928830810019</v>
      </c>
      <c r="E380" s="72" t="s">
        <v>242</v>
      </c>
      <c r="F380" s="297" t="s">
        <v>824</v>
      </c>
    </row>
    <row r="381" spans="3:15" ht="14.25" x14ac:dyDescent="0.15">
      <c r="C381" s="75" t="s">
        <v>1227</v>
      </c>
      <c r="D381" s="88">
        <f>0.85*F62</f>
        <v>2.0314999999999999</v>
      </c>
      <c r="E381" s="72" t="s">
        <v>242</v>
      </c>
      <c r="F381" s="334" t="s">
        <v>826</v>
      </c>
    </row>
    <row r="382" spans="3:15" ht="14.25" x14ac:dyDescent="0.15">
      <c r="C382" s="75" t="s">
        <v>1228</v>
      </c>
      <c r="D382" s="88">
        <f>0.6*F63</f>
        <v>16.079999999999998</v>
      </c>
      <c r="E382" s="72" t="s">
        <v>242</v>
      </c>
      <c r="F382"/>
    </row>
    <row r="383" spans="3:15" ht="14.25" x14ac:dyDescent="0.2">
      <c r="C383" s="696" t="str">
        <f>IF(ABS(D379)&lt;D381,"主拉应力σtp≤0.85ftk,满足斜截面一级裂缝控制要求","主拉应力σtp&gt;0.85ftk,不满足斜截面一级裂缝控制要求")</f>
        <v>主拉应力σtp≤0.85ftk,满足斜截面一级裂缝控制要求</v>
      </c>
      <c r="D383" s="696"/>
      <c r="E383" s="696"/>
      <c r="F383" s="196"/>
      <c r="H383" s="196"/>
      <c r="J383" s="335"/>
      <c r="K383" s="196"/>
      <c r="L383" s="196"/>
    </row>
    <row r="384" spans="3:15" ht="14.25" x14ac:dyDescent="0.2">
      <c r="C384" s="697" t="s">
        <v>1229</v>
      </c>
      <c r="D384" s="698"/>
      <c r="E384" s="698"/>
      <c r="F384"/>
    </row>
    <row r="385" spans="3:10" ht="15.75" x14ac:dyDescent="0.15">
      <c r="C385" s="75" t="s">
        <v>1230</v>
      </c>
      <c r="D385" s="72">
        <f>E195*E196*(E227-1/2*E196)</f>
        <v>1079508970.2278831</v>
      </c>
      <c r="E385" s="72" t="s">
        <v>1199</v>
      </c>
      <c r="F385"/>
    </row>
    <row r="386" spans="3:10" ht="14.25" x14ac:dyDescent="0.15">
      <c r="C386" s="75" t="s">
        <v>1220</v>
      </c>
      <c r="D386" s="72">
        <f>D370*10^3*D385/(E231*E197)</f>
        <v>0.86872908315172914</v>
      </c>
      <c r="E386" s="72" t="s">
        <v>242</v>
      </c>
      <c r="F386"/>
    </row>
    <row r="387" spans="3:10" ht="14.25" x14ac:dyDescent="0.15">
      <c r="C387" s="75" t="s">
        <v>1231</v>
      </c>
      <c r="D387" s="72">
        <f>E227-E196</f>
        <v>1510.6926643366533</v>
      </c>
      <c r="E387" s="72" t="s">
        <v>186</v>
      </c>
      <c r="F387"/>
    </row>
    <row r="388" spans="3:10" ht="14.25" x14ac:dyDescent="0.15">
      <c r="C388" s="75" t="s">
        <v>1232</v>
      </c>
      <c r="D388" s="72">
        <f>E219-E196</f>
        <v>1497.0806923186719</v>
      </c>
      <c r="E388" s="72" t="s">
        <v>186</v>
      </c>
      <c r="F388"/>
    </row>
    <row r="389" spans="3:10" ht="14.25" x14ac:dyDescent="0.15">
      <c r="C389" s="75" t="s">
        <v>377</v>
      </c>
      <c r="D389" s="72">
        <f>D277/E209-D277*D278*D388/E223</f>
        <v>0.4640854831905179</v>
      </c>
      <c r="E389" s="72"/>
      <c r="F389" s="297" t="s">
        <v>832</v>
      </c>
    </row>
    <row r="390" spans="3:10" ht="14.25" x14ac:dyDescent="0.15">
      <c r="C390" s="83" t="s">
        <v>1233</v>
      </c>
      <c r="D390" s="72">
        <f>-D389-D369*10^6*D387/E231</f>
        <v>-0.61097822103787647</v>
      </c>
      <c r="E390" s="72"/>
      <c r="F390" t="s">
        <v>747</v>
      </c>
      <c r="G390" s="297" t="s">
        <v>821</v>
      </c>
      <c r="H390" s="297"/>
      <c r="J390" s="297"/>
    </row>
    <row r="391" spans="3:10" ht="14.25" x14ac:dyDescent="0.15">
      <c r="C391" s="75" t="s">
        <v>1224</v>
      </c>
      <c r="D391" s="72">
        <v>0</v>
      </c>
      <c r="E391" s="72" t="s">
        <v>242</v>
      </c>
      <c r="F391"/>
    </row>
    <row r="392" spans="3:10" ht="14.25" x14ac:dyDescent="0.15">
      <c r="C392" s="72" t="s">
        <v>1225</v>
      </c>
      <c r="D392" s="72">
        <f>(D390+D391)/2+((D390/2-D391/2)^2+D386^2)^0.5</f>
        <v>0.61538754602052248</v>
      </c>
      <c r="E392" s="72" t="s">
        <v>242</v>
      </c>
      <c r="F392"/>
    </row>
    <row r="393" spans="3:10" ht="14.25" x14ac:dyDescent="0.15">
      <c r="C393" s="72" t="s">
        <v>1226</v>
      </c>
      <c r="D393" s="72">
        <f>(D390+D391)/2-((D390/2-D391/2)^2+D386^2)^0.5</f>
        <v>-1.2263657670583989</v>
      </c>
      <c r="E393" s="72" t="s">
        <v>242</v>
      </c>
      <c r="F393"/>
    </row>
    <row r="394" spans="3:10" x14ac:dyDescent="0.15">
      <c r="C394" s="699" t="str">
        <f>IF(ABS(D392)&lt;D381,"满足斜截面一级裂缝控制要求","不满足斜截面一级裂缝控制要求")</f>
        <v>满足斜截面一级裂缝控制要求</v>
      </c>
      <c r="D394" s="699"/>
      <c r="E394" s="699"/>
      <c r="F394" s="196"/>
      <c r="G394" s="196"/>
      <c r="H394" s="196"/>
    </row>
    <row r="395" spans="3:10" x14ac:dyDescent="0.15">
      <c r="C395" s="89"/>
      <c r="D395" s="90"/>
      <c r="E395" s="91"/>
      <c r="F395" s="196"/>
      <c r="G395" s="196"/>
      <c r="H395" s="196"/>
    </row>
    <row r="396" spans="3:10" x14ac:dyDescent="0.15">
      <c r="C396" s="700" t="s">
        <v>1234</v>
      </c>
      <c r="D396" s="701"/>
      <c r="E396" s="702"/>
      <c r="F396" s="196"/>
      <c r="G396" s="196"/>
      <c r="H396" s="196"/>
    </row>
    <row r="397" spans="3:10" ht="14.25" x14ac:dyDescent="0.2">
      <c r="C397" s="703" t="s">
        <v>1235</v>
      </c>
      <c r="D397" s="703"/>
      <c r="E397" s="703"/>
      <c r="F397" s="196"/>
      <c r="G397" s="196"/>
      <c r="H397" s="196"/>
    </row>
    <row r="398" spans="3:10" ht="14.25" x14ac:dyDescent="0.15">
      <c r="C398" s="93" t="s">
        <v>1236</v>
      </c>
      <c r="D398" s="94">
        <f>0.85*F64*E231</f>
        <v>1.343884707768712E+17</v>
      </c>
      <c r="E398" s="93" t="s">
        <v>1237</v>
      </c>
      <c r="F398" s="297" t="s">
        <v>1238</v>
      </c>
      <c r="H398" s="297"/>
    </row>
    <row r="399" spans="3:10" ht="14.25" x14ac:dyDescent="0.2">
      <c r="C399" s="703" t="s">
        <v>1239</v>
      </c>
      <c r="D399" s="703"/>
      <c r="E399" s="703"/>
      <c r="F399"/>
    </row>
    <row r="400" spans="3:10" ht="14.25" x14ac:dyDescent="0.15">
      <c r="C400" s="93" t="s">
        <v>1240</v>
      </c>
      <c r="D400" s="94">
        <f>0.65*D398</f>
        <v>8.7352506004966288E+16</v>
      </c>
      <c r="E400" s="93" t="s">
        <v>1237</v>
      </c>
      <c r="F400"/>
    </row>
    <row r="401" spans="3:8" x14ac:dyDescent="0.15">
      <c r="C401" s="704" t="s">
        <v>841</v>
      </c>
      <c r="D401" s="704"/>
      <c r="E401" s="704"/>
      <c r="F401"/>
    </row>
    <row r="402" spans="3:8" ht="40.5" customHeight="1" x14ac:dyDescent="0.15">
      <c r="C402" s="94" t="s">
        <v>1241</v>
      </c>
      <c r="D402" s="94">
        <f>5/48*D164*10^6*D162^2*10^6/D400</f>
        <v>18.040717749388698</v>
      </c>
      <c r="E402" s="94" t="s">
        <v>186</v>
      </c>
      <c r="F402" s="297" t="s">
        <v>843</v>
      </c>
      <c r="G402" s="297"/>
    </row>
    <row r="403" spans="3:8" ht="15" x14ac:dyDescent="0.15">
      <c r="C403" s="93" t="s">
        <v>1242</v>
      </c>
      <c r="D403" s="94">
        <f>D277*D278*D162^2*10^6/(8*F64*E231)</f>
        <v>4.299648197618648</v>
      </c>
      <c r="E403" s="94" t="s">
        <v>186</v>
      </c>
      <c r="F403"/>
    </row>
    <row r="404" spans="3:8" x14ac:dyDescent="0.15">
      <c r="C404" s="94" t="s">
        <v>1243</v>
      </c>
      <c r="D404" s="94">
        <f>D402-2*D403</f>
        <v>9.4414213541514016</v>
      </c>
      <c r="E404" s="94" t="s">
        <v>186</v>
      </c>
      <c r="F404"/>
    </row>
    <row r="405" spans="3:8" x14ac:dyDescent="0.15">
      <c r="C405" s="93" t="s">
        <v>1244</v>
      </c>
      <c r="D405" s="94">
        <f>D162*10^3/600</f>
        <v>49</v>
      </c>
      <c r="E405" s="94" t="s">
        <v>186</v>
      </c>
      <c r="F405" s="297" t="s">
        <v>847</v>
      </c>
      <c r="G405" s="297"/>
    </row>
    <row r="406" spans="3:8" x14ac:dyDescent="0.15">
      <c r="C406" s="709" t="str">
        <f>IF(D404&lt;D405,"挠度满足要求","挠度不满足要求")</f>
        <v>挠度满足要求</v>
      </c>
      <c r="D406" s="709"/>
      <c r="E406" s="709"/>
      <c r="F406"/>
    </row>
    <row r="407" spans="3:8" x14ac:dyDescent="0.15">
      <c r="C407" s="336"/>
      <c r="D407" s="336"/>
      <c r="E407" s="336"/>
      <c r="F407" s="196"/>
      <c r="G407" s="196"/>
      <c r="H407" s="196"/>
    </row>
    <row r="408" spans="3:8" x14ac:dyDescent="0.15">
      <c r="C408" s="710" t="s">
        <v>1245</v>
      </c>
      <c r="D408" s="710"/>
      <c r="E408" s="710"/>
      <c r="F408" s="196"/>
      <c r="G408" s="196"/>
      <c r="H408" s="196"/>
    </row>
    <row r="409" spans="3:8" x14ac:dyDescent="0.15">
      <c r="C409" s="75" t="s">
        <v>1246</v>
      </c>
      <c r="D409" s="72">
        <f>D258</f>
        <v>15626583</v>
      </c>
      <c r="E409" s="72" t="s">
        <v>275</v>
      </c>
      <c r="F409" s="337"/>
      <c r="G409" s="337"/>
      <c r="H409" s="196"/>
    </row>
    <row r="410" spans="3:8" ht="14.25" x14ac:dyDescent="0.15">
      <c r="C410" s="72" t="s">
        <v>1247</v>
      </c>
      <c r="D410" s="72">
        <f>D409/E209+D409*D263*E220/E223</f>
        <v>7.3582535849984438</v>
      </c>
      <c r="E410" s="72" t="s">
        <v>242</v>
      </c>
      <c r="F410" s="337"/>
      <c r="G410" s="337"/>
      <c r="H410" s="196"/>
    </row>
    <row r="411" spans="3:8" ht="14.25" x14ac:dyDescent="0.15">
      <c r="C411" s="72" t="s">
        <v>1248</v>
      </c>
      <c r="D411" s="72">
        <f>D409/E209-D409*D263*E219/E223</f>
        <v>-0.65028988477369865</v>
      </c>
      <c r="E411" s="72" t="s">
        <v>242</v>
      </c>
      <c r="F411" s="337"/>
      <c r="G411" s="337"/>
      <c r="H411" s="196"/>
    </row>
    <row r="412" spans="3:8" x14ac:dyDescent="0.15">
      <c r="C412" s="667" t="s">
        <v>1249</v>
      </c>
      <c r="D412" s="668"/>
      <c r="E412" s="669"/>
      <c r="F412" s="337"/>
      <c r="G412" s="337"/>
      <c r="H412" s="196"/>
    </row>
    <row r="413" spans="3:8" ht="14.25" x14ac:dyDescent="0.15">
      <c r="C413" s="72" t="s">
        <v>1250</v>
      </c>
      <c r="D413" s="72">
        <f>D410</f>
        <v>7.3582535849984438</v>
      </c>
      <c r="E413" s="72" t="s">
        <v>242</v>
      </c>
      <c r="F413" s="337"/>
      <c r="G413" s="337">
        <v>2</v>
      </c>
      <c r="H413" s="196"/>
    </row>
    <row r="414" spans="3:8" ht="14.25" x14ac:dyDescent="0.15">
      <c r="C414" s="72" t="s">
        <v>1251</v>
      </c>
      <c r="D414" s="72">
        <f>D411</f>
        <v>-0.65028988477369865</v>
      </c>
      <c r="E414" s="72" t="s">
        <v>242</v>
      </c>
      <c r="F414" s="337"/>
      <c r="G414" s="337">
        <v>3</v>
      </c>
      <c r="H414" s="196"/>
    </row>
    <row r="415" spans="3:8" ht="16.5" x14ac:dyDescent="0.15">
      <c r="C415" s="75" t="s">
        <v>1252</v>
      </c>
      <c r="D415" s="72">
        <f>F66</f>
        <v>1.2825</v>
      </c>
      <c r="E415" s="72" t="s">
        <v>242</v>
      </c>
      <c r="F415" s="338" t="s">
        <v>856</v>
      </c>
      <c r="G415" s="337">
        <v>3.5</v>
      </c>
      <c r="H415" s="196"/>
    </row>
    <row r="416" spans="3:8" ht="15.75" x14ac:dyDescent="0.15">
      <c r="C416" s="75" t="s">
        <v>1253</v>
      </c>
      <c r="D416" s="72">
        <f>0.8*F65</f>
        <v>11.46</v>
      </c>
      <c r="E416" s="72" t="s">
        <v>242</v>
      </c>
      <c r="F416" s="337"/>
      <c r="G416" s="337"/>
      <c r="H416" s="196"/>
    </row>
    <row r="417" spans="3:8" x14ac:dyDescent="0.15">
      <c r="C417" s="711" t="str">
        <f>IF(AND(ABS(D414)&lt;D415,D413&lt;D416),"施工阶段满足要求","施工阶段不满足要求")</f>
        <v>施工阶段满足要求</v>
      </c>
      <c r="D417" s="712"/>
      <c r="E417" s="713"/>
      <c r="F417" s="337"/>
      <c r="G417" s="337" t="str">
        <f>IF(AND(G413&lt;G415,G414&lt;G415),"施工阶段满足要求","施工阶段不满足要求")</f>
        <v>施工阶段满足要求</v>
      </c>
      <c r="H417" s="196"/>
    </row>
    <row r="418" spans="3:8" ht="15" hidden="1" x14ac:dyDescent="0.15">
      <c r="C418" s="714" t="s">
        <v>1254</v>
      </c>
      <c r="D418" s="715"/>
      <c r="E418" s="716"/>
      <c r="F418" s="337"/>
      <c r="G418" s="337"/>
      <c r="H418" s="196"/>
    </row>
    <row r="419" spans="3:8" ht="16.5" hidden="1" x14ac:dyDescent="0.15">
      <c r="C419" s="339" t="s">
        <v>418</v>
      </c>
      <c r="D419" s="340">
        <f>D82</f>
        <v>95.198292558750708</v>
      </c>
      <c r="E419" s="339" t="s">
        <v>108</v>
      </c>
      <c r="F419" s="337"/>
      <c r="G419" s="337"/>
      <c r="H419" s="196"/>
    </row>
    <row r="420" spans="3:8" ht="15" hidden="1" x14ac:dyDescent="0.15">
      <c r="C420" s="339" t="s">
        <v>419</v>
      </c>
      <c r="D420" s="339">
        <v>1.5</v>
      </c>
      <c r="E420" s="339"/>
      <c r="F420" s="337"/>
      <c r="G420" s="337"/>
      <c r="H420" s="196"/>
    </row>
    <row r="421" spans="3:8" ht="16.5" hidden="1" x14ac:dyDescent="0.15">
      <c r="C421" s="339" t="s">
        <v>420</v>
      </c>
      <c r="D421" s="339">
        <f>0.1*D14</f>
        <v>3</v>
      </c>
      <c r="E421" s="339" t="s">
        <v>12</v>
      </c>
      <c r="F421" s="337"/>
      <c r="G421" s="337"/>
      <c r="H421" s="196"/>
    </row>
    <row r="422" spans="3:8" ht="16.5" hidden="1" x14ac:dyDescent="0.15">
      <c r="C422" s="339" t="s">
        <v>421</v>
      </c>
      <c r="D422" s="339">
        <f>D420*1/2*D419*D421^2</f>
        <v>642.58847477156723</v>
      </c>
      <c r="E422" s="339" t="s">
        <v>156</v>
      </c>
      <c r="F422" s="337"/>
      <c r="G422" s="337"/>
      <c r="H422" s="196"/>
    </row>
    <row r="423" spans="3:8" ht="16.5" hidden="1" x14ac:dyDescent="0.15">
      <c r="C423" s="339" t="s">
        <v>422</v>
      </c>
      <c r="D423" s="339">
        <v>0</v>
      </c>
      <c r="E423" s="339" t="s">
        <v>158</v>
      </c>
      <c r="F423" s="337"/>
      <c r="G423" s="337"/>
      <c r="H423" s="196"/>
    </row>
    <row r="424" spans="3:8" ht="16.5" hidden="1" x14ac:dyDescent="0.15">
      <c r="C424" s="339" t="s">
        <v>411</v>
      </c>
      <c r="D424" s="339">
        <f>D410+D423*10^3/E224-D422*10^6/E232</f>
        <v>7.1714363239615677</v>
      </c>
      <c r="E424" s="339" t="s">
        <v>242</v>
      </c>
      <c r="F424" s="337"/>
      <c r="G424" s="337"/>
    </row>
    <row r="425" spans="3:8" s="192" customFormat="1" ht="16.5" hidden="1" x14ac:dyDescent="0.15">
      <c r="C425" s="339" t="s">
        <v>412</v>
      </c>
      <c r="D425" s="339">
        <f>D414+D423*10^3/E224+D422*10^6/E234</f>
        <v>-0.38799776801931563</v>
      </c>
      <c r="E425" s="339" t="s">
        <v>242</v>
      </c>
      <c r="F425" s="337"/>
      <c r="G425" s="337"/>
    </row>
    <row r="426" spans="3:8" ht="15" hidden="1" x14ac:dyDescent="0.15">
      <c r="C426" s="717" t="str">
        <f>IF(ABS(D425&lt;D415)+(D424&lt;D416),"施工阶段满足要求","施工阶段不满足要求")</f>
        <v>施工阶段满足要求</v>
      </c>
      <c r="D426" s="718"/>
      <c r="E426" s="719"/>
      <c r="F426" s="337"/>
      <c r="G426" s="337"/>
    </row>
    <row r="427" spans="3:8" x14ac:dyDescent="0.15">
      <c r="C427" s="720" t="s">
        <v>1255</v>
      </c>
      <c r="D427" s="641"/>
      <c r="E427" s="631"/>
    </row>
    <row r="428" spans="3:8" ht="14.25" x14ac:dyDescent="0.2">
      <c r="C428" s="172" t="s">
        <v>1256</v>
      </c>
      <c r="D428" s="82">
        <v>1.2</v>
      </c>
      <c r="E428" s="82"/>
      <c r="F428" s="341" t="s">
        <v>867</v>
      </c>
    </row>
    <row r="429" spans="3:8" ht="14.25" x14ac:dyDescent="0.2">
      <c r="C429" s="85" t="s">
        <v>1257</v>
      </c>
      <c r="D429" s="82">
        <f>(D238-D273)*E175</f>
        <v>824483.49141622556</v>
      </c>
      <c r="E429" s="82" t="s">
        <v>275</v>
      </c>
      <c r="F429"/>
    </row>
    <row r="430" spans="3:8" ht="14.25" x14ac:dyDescent="0.2">
      <c r="C430" s="342" t="s">
        <v>1258</v>
      </c>
      <c r="D430" s="84" t="s">
        <v>1259</v>
      </c>
      <c r="E430" s="82"/>
      <c r="F430"/>
    </row>
    <row r="431" spans="3:8" ht="14.25" x14ac:dyDescent="0.2">
      <c r="C431" s="85" t="s">
        <v>1260</v>
      </c>
      <c r="D431" s="82"/>
      <c r="E431" s="82"/>
      <c r="F431"/>
    </row>
    <row r="432" spans="3:8" ht="14.25" x14ac:dyDescent="0.2">
      <c r="C432" s="172" t="s">
        <v>1261</v>
      </c>
      <c r="D432" s="82">
        <v>0.16500000000000001</v>
      </c>
      <c r="E432" s="82" t="s">
        <v>12</v>
      </c>
      <c r="F432"/>
    </row>
    <row r="433" spans="3:11" ht="14.25" x14ac:dyDescent="0.2">
      <c r="C433" s="172" t="s">
        <v>1262</v>
      </c>
      <c r="D433" s="82">
        <v>0.16500000000000001</v>
      </c>
      <c r="E433" s="82" t="s">
        <v>12</v>
      </c>
      <c r="F433"/>
    </row>
    <row r="434" spans="3:11" ht="16.5" x14ac:dyDescent="0.25">
      <c r="C434" s="85" t="s">
        <v>1263</v>
      </c>
      <c r="D434" s="82">
        <f>D433*D432</f>
        <v>2.7225000000000003E-2</v>
      </c>
      <c r="E434" s="82" t="s">
        <v>980</v>
      </c>
      <c r="F434"/>
    </row>
    <row r="435" spans="3:11" ht="16.5" x14ac:dyDescent="0.25">
      <c r="C435" s="85" t="s">
        <v>1264</v>
      </c>
      <c r="D435" s="82">
        <f>(D432+2*D433)*3*D433</f>
        <v>0.24502499999999999</v>
      </c>
      <c r="E435" s="82" t="s">
        <v>980</v>
      </c>
      <c r="F435" s="297" t="s">
        <v>875</v>
      </c>
      <c r="G435" s="297"/>
    </row>
    <row r="436" spans="3:11" s="192" customFormat="1" ht="16.5" x14ac:dyDescent="0.25">
      <c r="C436" s="85" t="s">
        <v>1265</v>
      </c>
      <c r="D436" s="82">
        <f>(D435/D434)^0.5</f>
        <v>2.9999999999999996</v>
      </c>
      <c r="E436" s="82"/>
      <c r="F436"/>
      <c r="G436"/>
    </row>
    <row r="437" spans="3:11" ht="14.25" x14ac:dyDescent="0.2">
      <c r="C437" s="308" t="s">
        <v>1266</v>
      </c>
      <c r="D437" s="343">
        <f>F60</f>
        <v>19.100000000000001</v>
      </c>
      <c r="E437" s="82" t="s">
        <v>242</v>
      </c>
      <c r="F437"/>
    </row>
    <row r="438" spans="3:11" ht="15" x14ac:dyDescent="0.25">
      <c r="C438" s="308" t="s">
        <v>1267</v>
      </c>
      <c r="D438" s="343">
        <v>210</v>
      </c>
      <c r="E438" s="82" t="s">
        <v>242</v>
      </c>
      <c r="F438" s="297" t="s">
        <v>879</v>
      </c>
      <c r="G438" s="297"/>
      <c r="J438" s="297" t="s">
        <v>747</v>
      </c>
    </row>
    <row r="439" spans="3:11" ht="14.25" x14ac:dyDescent="0.2">
      <c r="C439" s="308" t="s">
        <v>1268</v>
      </c>
      <c r="D439" s="343">
        <v>1.2E-2</v>
      </c>
      <c r="E439" s="82" t="s">
        <v>12</v>
      </c>
      <c r="F439"/>
      <c r="J439" s="297" t="s">
        <v>832</v>
      </c>
    </row>
    <row r="440" spans="3:11" ht="16.5" x14ac:dyDescent="0.25">
      <c r="C440" s="344" t="s">
        <v>1269</v>
      </c>
      <c r="D440" s="82">
        <f>1/4*PI()*D439^2</f>
        <v>1.1309733552923255E-4</v>
      </c>
      <c r="E440" s="82" t="s">
        <v>980</v>
      </c>
      <c r="F440"/>
    </row>
    <row r="441" spans="3:11" ht="16.5" x14ac:dyDescent="0.25">
      <c r="C441" s="85" t="s">
        <v>1270</v>
      </c>
      <c r="D441" s="82">
        <f>D435*0.5</f>
        <v>0.1225125</v>
      </c>
      <c r="E441" s="82" t="s">
        <v>980</v>
      </c>
      <c r="F441"/>
    </row>
    <row r="442" spans="3:11" ht="16.5" x14ac:dyDescent="0.25">
      <c r="C442" s="308" t="s">
        <v>1271</v>
      </c>
      <c r="D442" s="343">
        <v>0.05</v>
      </c>
      <c r="E442" s="82" t="s">
        <v>12</v>
      </c>
      <c r="F442"/>
      <c r="I442" s="297" t="s">
        <v>857</v>
      </c>
      <c r="J442" s="297"/>
      <c r="K442" s="297"/>
    </row>
    <row r="443" spans="3:11" ht="15" x14ac:dyDescent="0.25">
      <c r="C443" s="344" t="s">
        <v>1272</v>
      </c>
      <c r="D443" s="82">
        <f>2*4*D440/D441/D442</f>
        <v>0.14770389702828043</v>
      </c>
      <c r="E443" s="82"/>
      <c r="F443" s="330" t="s">
        <v>886</v>
      </c>
    </row>
    <row r="444" spans="3:11" ht="15" x14ac:dyDescent="0.25">
      <c r="C444" s="85" t="s">
        <v>1273</v>
      </c>
      <c r="D444" s="82"/>
      <c r="E444" s="82"/>
      <c r="F444"/>
    </row>
    <row r="445" spans="3:11" ht="16.5" x14ac:dyDescent="0.25">
      <c r="C445" s="85" t="s">
        <v>1274</v>
      </c>
      <c r="D445" s="82">
        <f>(D441/D434)^0.5</f>
        <v>2.1213203435596424</v>
      </c>
      <c r="E445" s="82" t="s">
        <v>275</v>
      </c>
      <c r="F445"/>
    </row>
    <row r="446" spans="3:11" ht="15" x14ac:dyDescent="0.25">
      <c r="C446" s="85" t="s">
        <v>1275</v>
      </c>
      <c r="D446" s="82">
        <f>(D436*D437+2*D443*D445*D438)*D434*10^6</f>
        <v>5142733.3013309063</v>
      </c>
      <c r="E446" s="82" t="s">
        <v>275</v>
      </c>
      <c r="F446"/>
    </row>
    <row r="447" spans="3:11" ht="14.25" x14ac:dyDescent="0.2">
      <c r="C447" s="85" t="s">
        <v>445</v>
      </c>
      <c r="D447" s="82">
        <f>D428*D429</f>
        <v>989380.18969947065</v>
      </c>
      <c r="E447" s="82" t="s">
        <v>275</v>
      </c>
      <c r="F447"/>
    </row>
    <row r="448" spans="3:11" ht="14.25" x14ac:dyDescent="0.2">
      <c r="C448" s="692" t="str">
        <f>IF(D447&lt;D446,"满足局部受压承载力要求","不满足局部受压承载力要求")</f>
        <v>满足局部受压承载力要求</v>
      </c>
      <c r="D448" s="693"/>
      <c r="E448" s="694"/>
      <c r="F448"/>
    </row>
    <row r="449" spans="3:6" ht="15" x14ac:dyDescent="0.25">
      <c r="C449" s="85" t="s">
        <v>1276</v>
      </c>
      <c r="D449" s="82">
        <f>1.5*D436*D437*D434*10^6</f>
        <v>2339988.75</v>
      </c>
      <c r="E449" s="82" t="s">
        <v>275</v>
      </c>
      <c r="F449"/>
    </row>
    <row r="450" spans="3:6" ht="14.25" x14ac:dyDescent="0.2">
      <c r="C450" s="692" t="str">
        <f>IF(D447&lt;D449,"局部受压区截面尺寸符合要求","局部受压区截面尺寸不符合要求")</f>
        <v>局部受压区截面尺寸符合要求</v>
      </c>
      <c r="D450" s="693"/>
      <c r="E450" s="694"/>
      <c r="F450" s="196"/>
    </row>
    <row r="455" spans="3:6" s="192" customFormat="1" x14ac:dyDescent="0.15">
      <c r="F455" s="345"/>
    </row>
    <row r="456" spans="3:6" x14ac:dyDescent="0.15">
      <c r="C456" s="346"/>
      <c r="D456" s="294"/>
    </row>
    <row r="480" spans="5:6" x14ac:dyDescent="0.15">
      <c r="E480" s="347"/>
      <c r="F480" s="304"/>
    </row>
  </sheetData>
  <mergeCells count="235">
    <mergeCell ref="K14:K15"/>
    <mergeCell ref="K17:K18"/>
    <mergeCell ref="K21:K24"/>
    <mergeCell ref="O23:O24"/>
    <mergeCell ref="P23:P24"/>
    <mergeCell ref="C225:F226"/>
    <mergeCell ref="C287:E291"/>
    <mergeCell ref="B172:B178"/>
    <mergeCell ref="B179:B184"/>
    <mergeCell ref="B186:B189"/>
    <mergeCell ref="B191:B194"/>
    <mergeCell ref="B195:B197"/>
    <mergeCell ref="B199:B220"/>
    <mergeCell ref="B221:B234"/>
    <mergeCell ref="H14:H15"/>
    <mergeCell ref="H61:H64"/>
    <mergeCell ref="H65:H67"/>
    <mergeCell ref="B65:B67"/>
    <mergeCell ref="B68:B72"/>
    <mergeCell ref="B73:B76"/>
    <mergeCell ref="B145:B146"/>
    <mergeCell ref="B147:B148"/>
    <mergeCell ref="B149:B150"/>
    <mergeCell ref="B151:B152"/>
    <mergeCell ref="C331:E331"/>
    <mergeCell ref="C340:E340"/>
    <mergeCell ref="C342:E342"/>
    <mergeCell ref="C344:E344"/>
    <mergeCell ref="C345:E345"/>
    <mergeCell ref="C350:E350"/>
    <mergeCell ref="C351:E351"/>
    <mergeCell ref="C363:E363"/>
    <mergeCell ref="C364:E364"/>
    <mergeCell ref="C448:E448"/>
    <mergeCell ref="C450:E450"/>
    <mergeCell ref="C365:E365"/>
    <mergeCell ref="C371:E371"/>
    <mergeCell ref="C383:E383"/>
    <mergeCell ref="C384:E384"/>
    <mergeCell ref="C394:E394"/>
    <mergeCell ref="C396:E396"/>
    <mergeCell ref="C397:E397"/>
    <mergeCell ref="C399:E399"/>
    <mergeCell ref="C401:E401"/>
    <mergeCell ref="C406:E406"/>
    <mergeCell ref="C408:E408"/>
    <mergeCell ref="C412:E412"/>
    <mergeCell ref="C417:E417"/>
    <mergeCell ref="C418:E418"/>
    <mergeCell ref="C426:E426"/>
    <mergeCell ref="C427:E427"/>
    <mergeCell ref="C330:E330"/>
    <mergeCell ref="C255:E255"/>
    <mergeCell ref="F256:G256"/>
    <mergeCell ref="F257:G257"/>
    <mergeCell ref="J270:K270"/>
    <mergeCell ref="C274:E274"/>
    <mergeCell ref="C275:E275"/>
    <mergeCell ref="C285:E285"/>
    <mergeCell ref="C286:E286"/>
    <mergeCell ref="C292:E292"/>
    <mergeCell ref="C293:E293"/>
    <mergeCell ref="C294:E294"/>
    <mergeCell ref="D301:E301"/>
    <mergeCell ref="C304:E304"/>
    <mergeCell ref="C306:E306"/>
    <mergeCell ref="C312:E312"/>
    <mergeCell ref="C232:D232"/>
    <mergeCell ref="C233:D233"/>
    <mergeCell ref="C234:D234"/>
    <mergeCell ref="C237:E237"/>
    <mergeCell ref="C239:E239"/>
    <mergeCell ref="C252:E252"/>
    <mergeCell ref="C253:E253"/>
    <mergeCell ref="C314:E314"/>
    <mergeCell ref="C322:E322"/>
    <mergeCell ref="C219:D219"/>
    <mergeCell ref="C220:D220"/>
    <mergeCell ref="C221:F221"/>
    <mergeCell ref="C223:D223"/>
    <mergeCell ref="C224:D224"/>
    <mergeCell ref="C227:D227"/>
    <mergeCell ref="C228:D228"/>
    <mergeCell ref="C229:F229"/>
    <mergeCell ref="C231:D231"/>
    <mergeCell ref="C194:D194"/>
    <mergeCell ref="C210:D210"/>
    <mergeCell ref="C211:D211"/>
    <mergeCell ref="C212:D212"/>
    <mergeCell ref="C213:D213"/>
    <mergeCell ref="C214:D214"/>
    <mergeCell ref="C215:D215"/>
    <mergeCell ref="C216:D216"/>
    <mergeCell ref="C217:D217"/>
    <mergeCell ref="C183:D183"/>
    <mergeCell ref="C184:D184"/>
    <mergeCell ref="C186:D186"/>
    <mergeCell ref="C187:D187"/>
    <mergeCell ref="C188:D188"/>
    <mergeCell ref="C189:D189"/>
    <mergeCell ref="C191:D191"/>
    <mergeCell ref="C192:D192"/>
    <mergeCell ref="C193:D193"/>
    <mergeCell ref="C174:D174"/>
    <mergeCell ref="C175:D175"/>
    <mergeCell ref="C176:D176"/>
    <mergeCell ref="C177:D177"/>
    <mergeCell ref="C178:D178"/>
    <mergeCell ref="C179:D179"/>
    <mergeCell ref="C180:D180"/>
    <mergeCell ref="C181:D181"/>
    <mergeCell ref="C182:D182"/>
    <mergeCell ref="B162:C162"/>
    <mergeCell ref="B163:C163"/>
    <mergeCell ref="B164:C164"/>
    <mergeCell ref="B165:C165"/>
    <mergeCell ref="B166:C166"/>
    <mergeCell ref="B167:C167"/>
    <mergeCell ref="B170:F170"/>
    <mergeCell ref="C172:D172"/>
    <mergeCell ref="C173:D173"/>
    <mergeCell ref="B138:C138"/>
    <mergeCell ref="B139:C139"/>
    <mergeCell ref="B140:C140"/>
    <mergeCell ref="B141:C141"/>
    <mergeCell ref="B142:C142"/>
    <mergeCell ref="B143:C143"/>
    <mergeCell ref="B144:C144"/>
    <mergeCell ref="C160:E160"/>
    <mergeCell ref="B161:C161"/>
    <mergeCell ref="B153:B154"/>
    <mergeCell ref="B155:B160"/>
    <mergeCell ref="B129:C129"/>
    <mergeCell ref="B130:C130"/>
    <mergeCell ref="B131:C131"/>
    <mergeCell ref="B132:E132"/>
    <mergeCell ref="B133:C133"/>
    <mergeCell ref="B134:C134"/>
    <mergeCell ref="B135:C135"/>
    <mergeCell ref="B136:C136"/>
    <mergeCell ref="B137:E137"/>
    <mergeCell ref="B120:C120"/>
    <mergeCell ref="B121:C121"/>
    <mergeCell ref="B122:C122"/>
    <mergeCell ref="B123:C123"/>
    <mergeCell ref="B124:C124"/>
    <mergeCell ref="B125:E125"/>
    <mergeCell ref="B126:C126"/>
    <mergeCell ref="B127:C127"/>
    <mergeCell ref="B128:C128"/>
    <mergeCell ref="B111:C111"/>
    <mergeCell ref="B112:C112"/>
    <mergeCell ref="B113:C113"/>
    <mergeCell ref="B114:C114"/>
    <mergeCell ref="B115:C115"/>
    <mergeCell ref="B116:C116"/>
    <mergeCell ref="B117:E117"/>
    <mergeCell ref="B118:C118"/>
    <mergeCell ref="B119:C119"/>
    <mergeCell ref="B102:C102"/>
    <mergeCell ref="B103:C103"/>
    <mergeCell ref="B104:C104"/>
    <mergeCell ref="B105:C105"/>
    <mergeCell ref="B106:C106"/>
    <mergeCell ref="B107:C107"/>
    <mergeCell ref="B108:C108"/>
    <mergeCell ref="B109:E109"/>
    <mergeCell ref="B110:C110"/>
    <mergeCell ref="B93:C93"/>
    <mergeCell ref="B94:C94"/>
    <mergeCell ref="B95:E95"/>
    <mergeCell ref="B96:C96"/>
    <mergeCell ref="B97:C97"/>
    <mergeCell ref="B98:C98"/>
    <mergeCell ref="B99:C99"/>
    <mergeCell ref="B100:E100"/>
    <mergeCell ref="B101:E101"/>
    <mergeCell ref="B84:E84"/>
    <mergeCell ref="B85:C85"/>
    <mergeCell ref="B86:C86"/>
    <mergeCell ref="B87:C87"/>
    <mergeCell ref="B88:C88"/>
    <mergeCell ref="B89:C89"/>
    <mergeCell ref="B90:E90"/>
    <mergeCell ref="B91:C91"/>
    <mergeCell ref="B92:C92"/>
    <mergeCell ref="C74:E74"/>
    <mergeCell ref="C75:E75"/>
    <mergeCell ref="C76:E76"/>
    <mergeCell ref="B78:E78"/>
    <mergeCell ref="B79:E79"/>
    <mergeCell ref="B80:C80"/>
    <mergeCell ref="B81:C81"/>
    <mergeCell ref="B82:C82"/>
    <mergeCell ref="B83:C83"/>
    <mergeCell ref="C65:E65"/>
    <mergeCell ref="C66:E66"/>
    <mergeCell ref="C67:E67"/>
    <mergeCell ref="C68:E68"/>
    <mergeCell ref="C69:E69"/>
    <mergeCell ref="C70:E70"/>
    <mergeCell ref="C71:E71"/>
    <mergeCell ref="C72:E72"/>
    <mergeCell ref="C73:E73"/>
    <mergeCell ref="B54:F54"/>
    <mergeCell ref="B55:D55"/>
    <mergeCell ref="B56:F56"/>
    <mergeCell ref="B57:D57"/>
    <mergeCell ref="B58:D58"/>
    <mergeCell ref="B59:H59"/>
    <mergeCell ref="C60:E60"/>
    <mergeCell ref="C61:E61"/>
    <mergeCell ref="C62:E62"/>
    <mergeCell ref="B60:B64"/>
    <mergeCell ref="C63:E63"/>
    <mergeCell ref="C64:E64"/>
    <mergeCell ref="B35:H35"/>
    <mergeCell ref="B46:D46"/>
    <mergeCell ref="B47:D47"/>
    <mergeCell ref="B48:D48"/>
    <mergeCell ref="B49:D49"/>
    <mergeCell ref="B50:D50"/>
    <mergeCell ref="B51:D51"/>
    <mergeCell ref="B52:D52"/>
    <mergeCell ref="B53:D53"/>
    <mergeCell ref="B1:H1"/>
    <mergeCell ref="B12:H12"/>
    <mergeCell ref="B13:C13"/>
    <mergeCell ref="B14:C14"/>
    <mergeCell ref="B15:C15"/>
    <mergeCell ref="B16:C16"/>
    <mergeCell ref="E17:F17"/>
    <mergeCell ref="C25:F25"/>
    <mergeCell ref="B34:H34"/>
    <mergeCell ref="B30:B33"/>
  </mergeCells>
  <phoneticPr fontId="143" type="noConversion"/>
  <dataValidations disablePrompts="1" count="3">
    <dataValidation type="list" allowBlank="1" showInputMessage="1" showErrorMessage="1" sqref="L18" xr:uid="{00000000-0002-0000-0200-000000000000}">
      <formula1>"C15,C20,C25,C30,C40"</formula1>
    </dataValidation>
    <dataValidation type="list" allowBlank="1" showInputMessage="1" showErrorMessage="1" sqref="N20" xr:uid="{00000000-0002-0000-0200-000001000000}">
      <formula1>"常数（K法）,三角分布（m法）"</formula1>
    </dataValidation>
    <dataValidation type="list" allowBlank="1" showInputMessage="1" showErrorMessage="1" sqref="N24" xr:uid="{00000000-0002-0000-0200-000002000000}">
      <formula1>"矩形,三角形,梯形"</formula1>
    </dataValidation>
  </dataValidations>
  <pageMargins left="0.25" right="0.25" top="0.75" bottom="0.75" header="0.3" footer="0.3"/>
  <pageSetup paperSize="8" scale="92" fitToHeight="0" orientation="portrait" r:id="rId1"/>
  <rowBreaks count="3" manualBreakCount="3">
    <brk id="77" max="7" man="1"/>
    <brk id="136" max="4" man="1"/>
    <brk id="395" max="4" man="1"/>
  </rowBreaks>
  <drawing r:id="rId2"/>
  <legacyDrawing r:id="rId3"/>
  <oleObjects>
    <mc:AlternateContent xmlns:mc="http://schemas.openxmlformats.org/markup-compatibility/2006">
      <mc:Choice Requires="x14">
        <oleObject progId="Equation.3" shapeId="7169" r:id="rId4">
          <objectPr defaultSize="0" altText="" r:id="rId5">
            <anchor moveWithCells="1" sizeWithCells="1">
              <from>
                <xdr:col>3</xdr:col>
                <xdr:colOff>619125</xdr:colOff>
                <xdr:row>53</xdr:row>
                <xdr:rowOff>85725</xdr:rowOff>
              </from>
              <to>
                <xdr:col>5</xdr:col>
                <xdr:colOff>133350</xdr:colOff>
                <xdr:row>53</xdr:row>
                <xdr:rowOff>400050</xdr:rowOff>
              </to>
            </anchor>
          </objectPr>
        </oleObject>
      </mc:Choice>
      <mc:Fallback>
        <oleObject progId="Equation.3" shapeId="7169" r:id="rId4"/>
      </mc:Fallback>
    </mc:AlternateContent>
    <mc:AlternateContent xmlns:mc="http://schemas.openxmlformats.org/markup-compatibility/2006">
      <mc:Choice Requires="x14">
        <oleObject progId="Equation.3" shapeId="7170" r:id="rId6">
          <objectPr defaultSize="0" altText="" r:id="rId7">
            <anchor moveWithCells="1" sizeWithCells="1">
              <from>
                <xdr:col>3</xdr:col>
                <xdr:colOff>619125</xdr:colOff>
                <xdr:row>55</xdr:row>
                <xdr:rowOff>66675</xdr:rowOff>
              </from>
              <to>
                <xdr:col>5</xdr:col>
                <xdr:colOff>142875</xdr:colOff>
                <xdr:row>55</xdr:row>
                <xdr:rowOff>504825</xdr:rowOff>
              </to>
            </anchor>
          </objectPr>
        </oleObject>
      </mc:Choice>
      <mc:Fallback>
        <oleObject progId="Equation.3" shapeId="7170" r:id="rId6"/>
      </mc:Fallback>
    </mc:AlternateContent>
    <mc:AlternateContent xmlns:mc="http://schemas.openxmlformats.org/markup-compatibility/2006">
      <mc:Choice Requires="x14">
        <oleObject progId="Equation.3" shapeId="7172" r:id="rId8">
          <objectPr defaultSize="0" altText="" r:id="rId9">
            <anchor moveWithCells="1" sizeWithCells="1">
              <from>
                <xdr:col>2</xdr:col>
                <xdr:colOff>714375</xdr:colOff>
                <xdr:row>221</xdr:row>
                <xdr:rowOff>85725</xdr:rowOff>
              </from>
              <to>
                <xdr:col>5</xdr:col>
                <xdr:colOff>1562100</xdr:colOff>
                <xdr:row>221</xdr:row>
                <xdr:rowOff>514350</xdr:rowOff>
              </to>
            </anchor>
          </objectPr>
        </oleObject>
      </mc:Choice>
      <mc:Fallback>
        <oleObject progId="Equation.3" shapeId="7172" r:id="rId8"/>
      </mc:Fallback>
    </mc:AlternateContent>
    <mc:AlternateContent xmlns:mc="http://schemas.openxmlformats.org/markup-compatibility/2006">
      <mc:Choice Requires="x14">
        <oleObject progId="Equation.3" shapeId="7173" r:id="rId10">
          <objectPr defaultSize="0" altText="" r:id="rId11">
            <anchor moveWithCells="1" sizeWithCells="1">
              <from>
                <xdr:col>2</xdr:col>
                <xdr:colOff>19050</xdr:colOff>
                <xdr:row>229</xdr:row>
                <xdr:rowOff>28575</xdr:rowOff>
              </from>
              <to>
                <xdr:col>5</xdr:col>
                <xdr:colOff>1524000</xdr:colOff>
                <xdr:row>229</xdr:row>
                <xdr:rowOff>457200</xdr:rowOff>
              </to>
            </anchor>
          </objectPr>
        </oleObject>
      </mc:Choice>
      <mc:Fallback>
        <oleObject progId="Equation.3" shapeId="7173" r:id="rId10"/>
      </mc:Fallback>
    </mc:AlternateContent>
    <mc:AlternateContent xmlns:mc="http://schemas.openxmlformats.org/markup-compatibility/2006">
      <mc:Choice Requires="x14">
        <oleObject progId="Equation.3" shapeId="7174" r:id="rId12">
          <objectPr defaultSize="0" altText="" r:id="rId13">
            <anchor moveWithCells="1">
              <from>
                <xdr:col>7</xdr:col>
                <xdr:colOff>352425</xdr:colOff>
                <xdr:row>238</xdr:row>
                <xdr:rowOff>819150</xdr:rowOff>
              </from>
              <to>
                <xdr:col>8</xdr:col>
                <xdr:colOff>685800</xdr:colOff>
                <xdr:row>241</xdr:row>
                <xdr:rowOff>180975</xdr:rowOff>
              </to>
            </anchor>
          </objectPr>
        </oleObject>
      </mc:Choice>
      <mc:Fallback>
        <oleObject progId="Equation.3" shapeId="7174" r:id="rId12"/>
      </mc:Fallback>
    </mc:AlternateContent>
    <mc:AlternateContent xmlns:mc="http://schemas.openxmlformats.org/markup-compatibility/2006">
      <mc:Choice Requires="x14">
        <oleObject progId="Equation.3" shapeId="7177" r:id="rId14">
          <objectPr defaultSize="0" altText="" r:id="rId15">
            <anchor moveWithCells="1" sizeWithCells="1">
              <from>
                <xdr:col>7</xdr:col>
                <xdr:colOff>142875</xdr:colOff>
                <xdr:row>256</xdr:row>
                <xdr:rowOff>152400</xdr:rowOff>
              </from>
              <to>
                <xdr:col>10</xdr:col>
                <xdr:colOff>419100</xdr:colOff>
                <xdr:row>258</xdr:row>
                <xdr:rowOff>9525</xdr:rowOff>
              </to>
            </anchor>
          </objectPr>
        </oleObject>
      </mc:Choice>
      <mc:Fallback>
        <oleObject progId="Equation.3" shapeId="7177" r:id="rId14"/>
      </mc:Fallback>
    </mc:AlternateContent>
    <mc:AlternateContent xmlns:mc="http://schemas.openxmlformats.org/markup-compatibility/2006">
      <mc:Choice Requires="x14">
        <oleObject progId="Equation.3" shapeId="7179" r:id="rId16">
          <objectPr defaultSize="0" altText="" r:id="rId17">
            <anchor moveWithCells="1" sizeWithCells="1">
              <from>
                <xdr:col>7</xdr:col>
                <xdr:colOff>161925</xdr:colOff>
                <xdr:row>263</xdr:row>
                <xdr:rowOff>19050</xdr:rowOff>
              </from>
              <to>
                <xdr:col>8</xdr:col>
                <xdr:colOff>590550</xdr:colOff>
                <xdr:row>264</xdr:row>
                <xdr:rowOff>152400</xdr:rowOff>
              </to>
            </anchor>
          </objectPr>
        </oleObject>
      </mc:Choice>
      <mc:Fallback>
        <oleObject progId="Equation.3" shapeId="7179" r:id="rId16"/>
      </mc:Fallback>
    </mc:AlternateContent>
    <mc:AlternateContent xmlns:mc="http://schemas.openxmlformats.org/markup-compatibility/2006">
      <mc:Choice Requires="x14">
        <oleObject progId="Equation.3" shapeId="7180" r:id="rId18">
          <objectPr defaultSize="0" altText="" r:id="rId19">
            <anchor moveWithCells="1" sizeWithCells="1">
              <from>
                <xdr:col>7</xdr:col>
                <xdr:colOff>180975</xdr:colOff>
                <xdr:row>265</xdr:row>
                <xdr:rowOff>28575</xdr:rowOff>
              </from>
              <to>
                <xdr:col>8</xdr:col>
                <xdr:colOff>581025</xdr:colOff>
                <xdr:row>267</xdr:row>
                <xdr:rowOff>152400</xdr:rowOff>
              </to>
            </anchor>
          </objectPr>
        </oleObject>
      </mc:Choice>
      <mc:Fallback>
        <oleObject progId="Equation.3" shapeId="7180" r:id="rId18"/>
      </mc:Fallback>
    </mc:AlternateContent>
    <mc:AlternateContent xmlns:mc="http://schemas.openxmlformats.org/markup-compatibility/2006">
      <mc:Choice Requires="x14">
        <oleObject progId="Equation.3" shapeId="7181" r:id="rId20">
          <objectPr defaultSize="0" altText="" r:id="rId21">
            <anchor moveWithCells="1" sizeWithCells="1">
              <from>
                <xdr:col>7</xdr:col>
                <xdr:colOff>180975</xdr:colOff>
                <xdr:row>267</xdr:row>
                <xdr:rowOff>190500</xdr:rowOff>
              </from>
              <to>
                <xdr:col>8</xdr:col>
                <xdr:colOff>0</xdr:colOff>
                <xdr:row>269</xdr:row>
                <xdr:rowOff>190500</xdr:rowOff>
              </to>
            </anchor>
          </objectPr>
        </oleObject>
      </mc:Choice>
      <mc:Fallback>
        <oleObject progId="Equation.3" shapeId="7181" r:id="rId20"/>
      </mc:Fallback>
    </mc:AlternateContent>
    <mc:AlternateContent xmlns:mc="http://schemas.openxmlformats.org/markup-compatibility/2006">
      <mc:Choice Requires="x14">
        <oleObject progId="Equation.3" shapeId="7183" r:id="rId22">
          <objectPr defaultSize="0" altText="" r:id="rId23">
            <anchor moveWithCells="1" sizeWithCells="1">
              <from>
                <xdr:col>7</xdr:col>
                <xdr:colOff>180975</xdr:colOff>
                <xdr:row>269</xdr:row>
                <xdr:rowOff>200025</xdr:rowOff>
              </from>
              <to>
                <xdr:col>8</xdr:col>
                <xdr:colOff>0</xdr:colOff>
                <xdr:row>272</xdr:row>
                <xdr:rowOff>123825</xdr:rowOff>
              </to>
            </anchor>
          </objectPr>
        </oleObject>
      </mc:Choice>
      <mc:Fallback>
        <oleObject progId="Equation.3" shapeId="7183" r:id="rId22"/>
      </mc:Fallback>
    </mc:AlternateContent>
    <mc:AlternateContent xmlns:mc="http://schemas.openxmlformats.org/markup-compatibility/2006">
      <mc:Choice Requires="x14">
        <oleObject progId="Equation.3" shapeId="7184" r:id="rId24">
          <objectPr defaultSize="0" altText="" r:id="rId25">
            <anchor moveWithCells="1" sizeWithCells="1">
              <from>
                <xdr:col>8</xdr:col>
                <xdr:colOff>0</xdr:colOff>
                <xdr:row>269</xdr:row>
                <xdr:rowOff>200025</xdr:rowOff>
              </from>
              <to>
                <xdr:col>9</xdr:col>
                <xdr:colOff>0</xdr:colOff>
                <xdr:row>272</xdr:row>
                <xdr:rowOff>133350</xdr:rowOff>
              </to>
            </anchor>
          </objectPr>
        </oleObject>
      </mc:Choice>
      <mc:Fallback>
        <oleObject progId="Equation.3" shapeId="7184" r:id="rId24"/>
      </mc:Fallback>
    </mc:AlternateContent>
    <mc:AlternateContent xmlns:mc="http://schemas.openxmlformats.org/markup-compatibility/2006">
      <mc:Choice Requires="x14">
        <oleObject progId="Equation.3" shapeId="7185" r:id="rId26">
          <objectPr defaultSize="0" altText="" r:id="rId27">
            <anchor moveWithCells="1" sizeWithCells="1">
              <from>
                <xdr:col>7</xdr:col>
                <xdr:colOff>180975</xdr:colOff>
                <xdr:row>272</xdr:row>
                <xdr:rowOff>171450</xdr:rowOff>
              </from>
              <to>
                <xdr:col>8</xdr:col>
                <xdr:colOff>228600</xdr:colOff>
                <xdr:row>274</xdr:row>
                <xdr:rowOff>142875</xdr:rowOff>
              </to>
            </anchor>
          </objectPr>
        </oleObject>
      </mc:Choice>
      <mc:Fallback>
        <oleObject progId="Equation.3" shapeId="7185" r:id="rId26"/>
      </mc:Fallback>
    </mc:AlternateContent>
    <mc:AlternateContent xmlns:mc="http://schemas.openxmlformats.org/markup-compatibility/2006">
      <mc:Choice Requires="x14">
        <oleObject progId="Equation.3" shapeId="7186" r:id="rId28">
          <objectPr defaultSize="0" altText="" r:id="rId29">
            <anchor moveWithCells="1" sizeWithCells="1">
              <from>
                <xdr:col>7</xdr:col>
                <xdr:colOff>142875</xdr:colOff>
                <xdr:row>275</xdr:row>
                <xdr:rowOff>47625</xdr:rowOff>
              </from>
              <to>
                <xdr:col>11</xdr:col>
                <xdr:colOff>438150</xdr:colOff>
                <xdr:row>276</xdr:row>
                <xdr:rowOff>133350</xdr:rowOff>
              </to>
            </anchor>
          </objectPr>
        </oleObject>
      </mc:Choice>
      <mc:Fallback>
        <oleObject progId="Equation.3" shapeId="7186" r:id="rId28"/>
      </mc:Fallback>
    </mc:AlternateContent>
    <mc:AlternateContent xmlns:mc="http://schemas.openxmlformats.org/markup-compatibility/2006">
      <mc:Choice Requires="x14">
        <oleObject progId="Equation.3" shapeId="7187" r:id="rId30">
          <objectPr defaultSize="0" altText="" r:id="rId31">
            <anchor moveWithCells="1" sizeWithCells="1">
              <from>
                <xdr:col>7</xdr:col>
                <xdr:colOff>152400</xdr:colOff>
                <xdr:row>276</xdr:row>
                <xdr:rowOff>200025</xdr:rowOff>
              </from>
              <to>
                <xdr:col>11</xdr:col>
                <xdr:colOff>485775</xdr:colOff>
                <xdr:row>280</xdr:row>
                <xdr:rowOff>38100</xdr:rowOff>
              </to>
            </anchor>
          </objectPr>
        </oleObject>
      </mc:Choice>
      <mc:Fallback>
        <oleObject progId="Equation.3" shapeId="7187" r:id="rId30"/>
      </mc:Fallback>
    </mc:AlternateContent>
    <mc:AlternateContent xmlns:mc="http://schemas.openxmlformats.org/markup-compatibility/2006">
      <mc:Choice Requires="x14">
        <oleObject progId="Equation.3" shapeId="7188" r:id="rId32">
          <objectPr defaultSize="0" altText="" r:id="rId33">
            <anchor moveWithCells="1" sizeWithCells="1">
              <from>
                <xdr:col>7</xdr:col>
                <xdr:colOff>123825</xdr:colOff>
                <xdr:row>280</xdr:row>
                <xdr:rowOff>114300</xdr:rowOff>
              </from>
              <to>
                <xdr:col>8</xdr:col>
                <xdr:colOff>476250</xdr:colOff>
                <xdr:row>284</xdr:row>
                <xdr:rowOff>114300</xdr:rowOff>
              </to>
            </anchor>
          </objectPr>
        </oleObject>
      </mc:Choice>
      <mc:Fallback>
        <oleObject progId="Equation.3" shapeId="7188" r:id="rId32"/>
      </mc:Fallback>
    </mc:AlternateContent>
    <mc:AlternateContent xmlns:mc="http://schemas.openxmlformats.org/markup-compatibility/2006">
      <mc:Choice Requires="x14">
        <oleObject progId="Equation.3" shapeId="7189" r:id="rId34">
          <objectPr defaultSize="0" altText="" r:id="rId35">
            <anchor moveWithCells="1" sizeWithCells="1">
              <from>
                <xdr:col>8</xdr:col>
                <xdr:colOff>495300</xdr:colOff>
                <xdr:row>280</xdr:row>
                <xdr:rowOff>114300</xdr:rowOff>
              </from>
              <to>
                <xdr:col>11</xdr:col>
                <xdr:colOff>438150</xdr:colOff>
                <xdr:row>284</xdr:row>
                <xdr:rowOff>133350</xdr:rowOff>
              </to>
            </anchor>
          </objectPr>
        </oleObject>
      </mc:Choice>
      <mc:Fallback>
        <oleObject progId="Equation.3" shapeId="7189" r:id="rId34"/>
      </mc:Fallback>
    </mc:AlternateContent>
    <mc:AlternateContent xmlns:mc="http://schemas.openxmlformats.org/markup-compatibility/2006">
      <mc:Choice Requires="x14">
        <oleObject progId="Equation.3" shapeId="7193" r:id="rId36">
          <objectPr defaultSize="0" altText="" r:id="rId37">
            <anchor moveWithCells="1">
              <from>
                <xdr:col>4</xdr:col>
                <xdr:colOff>85725</xdr:colOff>
                <xdr:row>224</xdr:row>
                <xdr:rowOff>114300</xdr:rowOff>
              </from>
              <to>
                <xdr:col>5</xdr:col>
                <xdr:colOff>247650</xdr:colOff>
                <xdr:row>226</xdr:row>
                <xdr:rowOff>0</xdr:rowOff>
              </to>
            </anchor>
          </objectPr>
        </oleObject>
      </mc:Choice>
      <mc:Fallback>
        <oleObject progId="Equation.3" shapeId="7193" r:id="rId36"/>
      </mc:Fallback>
    </mc:AlternateContent>
    <mc:AlternateContent xmlns:mc="http://schemas.openxmlformats.org/markup-compatibility/2006">
      <mc:Choice Requires="x14">
        <oleObject progId="Equation.3" shapeId="7195" r:id="rId38">
          <objectPr defaultSize="0" altText="" r:id="rId39">
            <anchor moveWithCells="1" sizeWithCells="1">
              <from>
                <xdr:col>7</xdr:col>
                <xdr:colOff>361950</xdr:colOff>
                <xdr:row>304</xdr:row>
                <xdr:rowOff>114300</xdr:rowOff>
              </from>
              <to>
                <xdr:col>13</xdr:col>
                <xdr:colOff>600075</xdr:colOff>
                <xdr:row>306</xdr:row>
                <xdr:rowOff>104775</xdr:rowOff>
              </to>
            </anchor>
          </objectPr>
        </oleObject>
      </mc:Choice>
      <mc:Fallback>
        <oleObject progId="Equation.3" shapeId="7195" r:id="rId38"/>
      </mc:Fallback>
    </mc:AlternateContent>
    <mc:AlternateContent xmlns:mc="http://schemas.openxmlformats.org/markup-compatibility/2006">
      <mc:Choice Requires="x14">
        <oleObject progId="Equation.3" shapeId="7201" r:id="rId40">
          <objectPr defaultSize="0" altText="" r:id="rId41">
            <anchor moveWithCells="1" sizeWithCells="1">
              <from>
                <xdr:col>8</xdr:col>
                <xdr:colOff>542925</xdr:colOff>
                <xdr:row>384</xdr:row>
                <xdr:rowOff>0</xdr:rowOff>
              </from>
              <to>
                <xdr:col>14</xdr:col>
                <xdr:colOff>838200</xdr:colOff>
                <xdr:row>390</xdr:row>
                <xdr:rowOff>123825</xdr:rowOff>
              </to>
            </anchor>
          </objectPr>
        </oleObject>
      </mc:Choice>
      <mc:Fallback>
        <oleObject progId="Equation.3" shapeId="7201" r:id="rId40"/>
      </mc:Fallback>
    </mc:AlternateContent>
    <mc:AlternateContent xmlns:mc="http://schemas.openxmlformats.org/markup-compatibility/2006">
      <mc:Choice Requires="x14">
        <oleObject progId="Equation.3" shapeId="7202" r:id="rId42">
          <objectPr defaultSize="0" altText="" r:id="rId43">
            <anchor moveWithCells="1" sizeWithCells="1">
              <from>
                <xdr:col>7</xdr:col>
                <xdr:colOff>28575</xdr:colOff>
                <xdr:row>376</xdr:row>
                <xdr:rowOff>152400</xdr:rowOff>
              </from>
              <to>
                <xdr:col>10</xdr:col>
                <xdr:colOff>638175</xdr:colOff>
                <xdr:row>382</xdr:row>
                <xdr:rowOff>9525</xdr:rowOff>
              </to>
            </anchor>
          </objectPr>
        </oleObject>
      </mc:Choice>
      <mc:Fallback>
        <oleObject progId="Equation.3" shapeId="7202" r:id="rId42"/>
      </mc:Fallback>
    </mc:AlternateContent>
    <mc:AlternateContent xmlns:mc="http://schemas.openxmlformats.org/markup-compatibility/2006">
      <mc:Choice Requires="x14">
        <oleObject progId="Equation.3" shapeId="7203" r:id="rId44">
          <objectPr defaultSize="0" altText="" r:id="rId45">
            <anchor moveWithCells="1">
              <from>
                <xdr:col>7</xdr:col>
                <xdr:colOff>1190625</xdr:colOff>
                <xdr:row>402</xdr:row>
                <xdr:rowOff>0</xdr:rowOff>
              </from>
              <to>
                <xdr:col>8</xdr:col>
                <xdr:colOff>733425</xdr:colOff>
                <xdr:row>404</xdr:row>
                <xdr:rowOff>142875</xdr:rowOff>
              </to>
            </anchor>
          </objectPr>
        </oleObject>
      </mc:Choice>
      <mc:Fallback>
        <oleObject progId="Equation.3" shapeId="7203" r:id="rId44"/>
      </mc:Fallback>
    </mc:AlternateContent>
    <mc:AlternateContent xmlns:mc="http://schemas.openxmlformats.org/markup-compatibility/2006">
      <mc:Choice Requires="x14">
        <oleObject progId="Equation.3" shapeId="7204" r:id="rId46">
          <objectPr defaultSize="0" altText="" r:id="rId47">
            <anchor moveWithCells="1">
              <from>
                <xdr:col>7</xdr:col>
                <xdr:colOff>171450</xdr:colOff>
                <xdr:row>402</xdr:row>
                <xdr:rowOff>28575</xdr:rowOff>
              </from>
              <to>
                <xdr:col>7</xdr:col>
                <xdr:colOff>981075</xdr:colOff>
                <xdr:row>404</xdr:row>
                <xdr:rowOff>123825</xdr:rowOff>
              </to>
            </anchor>
          </objectPr>
        </oleObject>
      </mc:Choice>
      <mc:Fallback>
        <oleObject progId="Equation.3" shapeId="7204" r:id="rId46"/>
      </mc:Fallback>
    </mc:AlternateContent>
    <mc:AlternateContent xmlns:mc="http://schemas.openxmlformats.org/markup-compatibility/2006">
      <mc:Choice Requires="x14">
        <oleObject progId="Equation.3" shapeId="7207" r:id="rId48">
          <objectPr defaultSize="0" altText="" r:id="rId49">
            <anchor moveWithCells="1">
              <from>
                <xdr:col>7</xdr:col>
                <xdr:colOff>247650</xdr:colOff>
                <xdr:row>408</xdr:row>
                <xdr:rowOff>152400</xdr:rowOff>
              </from>
              <to>
                <xdr:col>8</xdr:col>
                <xdr:colOff>581025</xdr:colOff>
                <xdr:row>411</xdr:row>
                <xdr:rowOff>114300</xdr:rowOff>
              </to>
            </anchor>
          </objectPr>
        </oleObject>
      </mc:Choice>
      <mc:Fallback>
        <oleObject progId="Equation.3" shapeId="7207" r:id="rId48"/>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O114"/>
  <sheetViews>
    <sheetView tabSelected="1" zoomScale="70" zoomScaleNormal="70" workbookViewId="0">
      <selection activeCell="S25" sqref="S25"/>
    </sheetView>
  </sheetViews>
  <sheetFormatPr defaultColWidth="9" defaultRowHeight="13.5" x14ac:dyDescent="0.15"/>
  <cols>
    <col min="2" max="4" width="25.625" customWidth="1"/>
    <col min="5" max="5" width="20.625" customWidth="1"/>
    <col min="6" max="6" width="12.75" customWidth="1"/>
    <col min="8" max="8" width="20.625" customWidth="1"/>
    <col min="15" max="15" width="50.625" customWidth="1"/>
    <col min="16" max="16" width="12.5" customWidth="1"/>
  </cols>
  <sheetData>
    <row r="2" spans="2:11" ht="14.25" x14ac:dyDescent="0.15">
      <c r="B2" s="620" t="s">
        <v>1277</v>
      </c>
      <c r="C2" s="620"/>
      <c r="D2" s="620"/>
      <c r="E2" s="620"/>
      <c r="F2" s="620"/>
      <c r="G2" s="620"/>
      <c r="H2" s="620"/>
    </row>
    <row r="3" spans="2:11" ht="15" x14ac:dyDescent="0.25">
      <c r="B3" s="622" t="s">
        <v>944</v>
      </c>
      <c r="C3" s="759" t="s">
        <v>1278</v>
      </c>
      <c r="D3" s="760"/>
      <c r="E3" s="760"/>
      <c r="F3" s="3" t="s">
        <v>1588</v>
      </c>
      <c r="G3" s="160"/>
      <c r="H3" s="161" t="s">
        <v>946</v>
      </c>
    </row>
    <row r="4" spans="2:11" ht="16.5" x14ac:dyDescent="0.3">
      <c r="B4" s="622"/>
      <c r="C4" s="760" t="s">
        <v>53</v>
      </c>
      <c r="D4" s="760"/>
      <c r="E4" s="760"/>
      <c r="F4" s="159">
        <f>LOOKUP(F3,{"C15","C20","C25","C30","C40","C50"},{7.2,9.6,11.9,14.3,19.1,23.1})</f>
        <v>23.1</v>
      </c>
      <c r="G4" s="160" t="s">
        <v>945</v>
      </c>
      <c r="H4" s="161"/>
    </row>
    <row r="5" spans="2:11" ht="15" x14ac:dyDescent="0.25">
      <c r="B5" s="622"/>
      <c r="C5" s="760" t="s">
        <v>56</v>
      </c>
      <c r="D5" s="760"/>
      <c r="E5" s="760"/>
      <c r="F5" s="159">
        <f>LOOKUP(F3,{"C15","C20","C25","C30","C40","C50"},{0.91,1.1,1.27,1.43,1.71,1.89})</f>
        <v>1.89</v>
      </c>
      <c r="G5" s="160" t="s">
        <v>945</v>
      </c>
      <c r="H5" s="752" t="s">
        <v>1280</v>
      </c>
      <c r="I5" s="165"/>
      <c r="J5" s="165"/>
      <c r="K5" s="165"/>
    </row>
    <row r="6" spans="2:11" ht="15" x14ac:dyDescent="0.25">
      <c r="B6" s="622"/>
      <c r="C6" s="760" t="s">
        <v>57</v>
      </c>
      <c r="D6" s="760"/>
      <c r="E6" s="760"/>
      <c r="F6" s="159">
        <f>LOOKUP(F3,{"C15","C20","C25","C30","C40","C50"},{1.27,1.54,1.78,2.01,2.39,2.64})</f>
        <v>2.64</v>
      </c>
      <c r="G6" s="160" t="s">
        <v>945</v>
      </c>
      <c r="H6" s="752"/>
      <c r="I6" s="166"/>
      <c r="J6" s="166"/>
      <c r="K6" s="166"/>
    </row>
    <row r="7" spans="2:11" ht="15" x14ac:dyDescent="0.25">
      <c r="B7" s="622"/>
      <c r="C7" s="760" t="s">
        <v>58</v>
      </c>
      <c r="D7" s="760"/>
      <c r="E7" s="760"/>
      <c r="F7" s="159">
        <f>LOOKUP(F3,{"C15","C20","C25","C30","C40","C50"},{10,13.4,16.7,20.1,26.8,32.4})</f>
        <v>32.4</v>
      </c>
      <c r="G7" s="160" t="s">
        <v>945</v>
      </c>
      <c r="H7" s="752"/>
      <c r="I7" s="168"/>
      <c r="J7" s="168"/>
      <c r="K7" s="168"/>
    </row>
    <row r="8" spans="2:11" ht="16.5" customHeight="1" x14ac:dyDescent="0.25">
      <c r="B8" s="622"/>
      <c r="C8" s="760" t="s">
        <v>947</v>
      </c>
      <c r="D8" s="760"/>
      <c r="E8" s="760"/>
      <c r="F8" s="159">
        <f>LOOKUP(F3,{"C15","C20","C25","C30","C40","C50"},{22000,25500,28000,30000,32500,34500})</f>
        <v>34500</v>
      </c>
      <c r="G8" s="160" t="s">
        <v>945</v>
      </c>
      <c r="H8" s="752"/>
      <c r="I8" s="170"/>
      <c r="J8" s="170"/>
      <c r="K8" s="170"/>
    </row>
    <row r="9" spans="2:11" ht="16.5" customHeight="1" x14ac:dyDescent="0.25">
      <c r="B9" s="780" t="s">
        <v>948</v>
      </c>
      <c r="C9" s="761" t="s">
        <v>1281</v>
      </c>
      <c r="D9" s="762"/>
      <c r="E9" s="763"/>
      <c r="F9" s="162">
        <v>1</v>
      </c>
      <c r="G9" s="160"/>
      <c r="H9" s="161"/>
      <c r="I9" s="170"/>
      <c r="J9" s="170"/>
      <c r="K9" s="170"/>
    </row>
    <row r="10" spans="2:11" ht="16.5" x14ac:dyDescent="0.3">
      <c r="B10" s="781"/>
      <c r="C10" s="764" t="s">
        <v>949</v>
      </c>
      <c r="D10" s="764"/>
      <c r="E10" s="764"/>
      <c r="F10" s="163">
        <f>$F$9*F4</f>
        <v>23.1</v>
      </c>
      <c r="G10" s="160" t="s">
        <v>945</v>
      </c>
      <c r="H10" s="778" t="s">
        <v>1282</v>
      </c>
      <c r="I10" s="170"/>
      <c r="J10" s="170"/>
      <c r="K10" s="170"/>
    </row>
    <row r="11" spans="2:11" ht="16.5" x14ac:dyDescent="0.3">
      <c r="B11" s="781"/>
      <c r="C11" s="764" t="s">
        <v>951</v>
      </c>
      <c r="D11" s="764"/>
      <c r="E11" s="764"/>
      <c r="F11" s="163">
        <f>F5*F9</f>
        <v>1.89</v>
      </c>
      <c r="G11" s="160" t="s">
        <v>945</v>
      </c>
      <c r="H11" s="779"/>
      <c r="I11" s="170"/>
      <c r="J11" s="170"/>
      <c r="K11" s="170"/>
    </row>
    <row r="12" spans="2:11" ht="16.5" x14ac:dyDescent="0.3">
      <c r="B12" s="782"/>
      <c r="C12" s="764" t="s">
        <v>952</v>
      </c>
      <c r="D12" s="764"/>
      <c r="E12" s="764"/>
      <c r="F12" s="164">
        <f>F9*F7</f>
        <v>32.4</v>
      </c>
      <c r="G12" s="160" t="s">
        <v>945</v>
      </c>
      <c r="H12" s="779"/>
      <c r="I12" s="170"/>
      <c r="J12" s="170"/>
      <c r="K12" s="170"/>
    </row>
    <row r="13" spans="2:11" ht="16.5" x14ac:dyDescent="0.3">
      <c r="B13" s="622" t="s">
        <v>953</v>
      </c>
      <c r="C13" s="760" t="s">
        <v>64</v>
      </c>
      <c r="D13" s="760"/>
      <c r="E13" s="760"/>
      <c r="F13" s="159">
        <v>360</v>
      </c>
      <c r="G13" s="160" t="s">
        <v>945</v>
      </c>
      <c r="H13" s="160"/>
      <c r="I13" s="170"/>
      <c r="J13" s="170"/>
      <c r="K13" s="170"/>
    </row>
    <row r="14" spans="2:11" ht="18" x14ac:dyDescent="0.3">
      <c r="B14" s="622"/>
      <c r="C14" s="760" t="s">
        <v>65</v>
      </c>
      <c r="D14" s="760"/>
      <c r="E14" s="760"/>
      <c r="F14" s="159">
        <v>360</v>
      </c>
      <c r="G14" s="160" t="s">
        <v>945</v>
      </c>
      <c r="H14" s="160"/>
      <c r="I14" s="168"/>
      <c r="J14" s="168"/>
      <c r="K14" s="168"/>
    </row>
    <row r="15" spans="2:11" ht="16.5" x14ac:dyDescent="0.3">
      <c r="B15" s="622"/>
      <c r="C15" s="760" t="s">
        <v>66</v>
      </c>
      <c r="D15" s="760"/>
      <c r="E15" s="760"/>
      <c r="F15" s="159">
        <v>200000</v>
      </c>
      <c r="G15" s="160" t="s">
        <v>945</v>
      </c>
      <c r="H15" s="160"/>
      <c r="I15" s="168"/>
      <c r="J15" s="168"/>
      <c r="K15" s="168"/>
    </row>
    <row r="16" spans="2:11" ht="16.5" x14ac:dyDescent="0.3">
      <c r="B16" s="622"/>
      <c r="C16" s="760" t="s">
        <v>70</v>
      </c>
      <c r="D16" s="760"/>
      <c r="E16" s="760"/>
      <c r="F16" s="159">
        <v>300</v>
      </c>
      <c r="G16" s="160" t="s">
        <v>945</v>
      </c>
      <c r="H16" s="160"/>
      <c r="I16" s="168"/>
      <c r="J16" s="168"/>
      <c r="K16" s="168"/>
    </row>
    <row r="17" spans="2:15" ht="16.5" x14ac:dyDescent="0.3">
      <c r="B17" s="622" t="s">
        <v>954</v>
      </c>
      <c r="C17" s="765" t="s">
        <v>1283</v>
      </c>
      <c r="D17" s="760"/>
      <c r="E17" s="760"/>
      <c r="F17" s="159">
        <v>1860</v>
      </c>
      <c r="G17" s="160" t="s">
        <v>945</v>
      </c>
      <c r="H17" s="160"/>
      <c r="I17" s="168"/>
      <c r="J17" s="168"/>
      <c r="K17" s="168"/>
    </row>
    <row r="18" spans="2:15" ht="16.5" x14ac:dyDescent="0.3">
      <c r="B18" s="622"/>
      <c r="C18" s="760" t="s">
        <v>72</v>
      </c>
      <c r="D18" s="760"/>
      <c r="E18" s="760"/>
      <c r="F18" s="159">
        <v>1320</v>
      </c>
      <c r="G18" s="160" t="s">
        <v>945</v>
      </c>
      <c r="H18" s="160"/>
      <c r="I18" s="168"/>
      <c r="J18" s="168"/>
      <c r="K18" s="168"/>
    </row>
    <row r="19" spans="2:15" ht="18" x14ac:dyDescent="0.3">
      <c r="B19" s="622"/>
      <c r="C19" s="760" t="s">
        <v>955</v>
      </c>
      <c r="D19" s="760"/>
      <c r="E19" s="760"/>
      <c r="F19" s="159">
        <v>390</v>
      </c>
      <c r="G19" s="160" t="s">
        <v>945</v>
      </c>
      <c r="H19" s="160"/>
      <c r="I19" s="176"/>
      <c r="J19" s="176"/>
      <c r="K19" s="176"/>
    </row>
    <row r="20" spans="2:15" ht="16.5" x14ac:dyDescent="0.3">
      <c r="B20" s="622"/>
      <c r="C20" s="760" t="s">
        <v>75</v>
      </c>
      <c r="D20" s="760"/>
      <c r="E20" s="760"/>
      <c r="F20" s="159">
        <v>195000</v>
      </c>
      <c r="G20" s="160" t="s">
        <v>945</v>
      </c>
      <c r="H20" s="160"/>
      <c r="I20" s="170"/>
      <c r="J20" s="170"/>
      <c r="K20" s="170"/>
    </row>
    <row r="21" spans="2:15" ht="14.25" x14ac:dyDescent="0.2">
      <c r="I21" s="168"/>
      <c r="J21" s="168"/>
      <c r="K21" s="168"/>
    </row>
    <row r="22" spans="2:15" ht="14.25" x14ac:dyDescent="0.2">
      <c r="I22" s="168"/>
      <c r="J22" s="168"/>
      <c r="K22" s="168"/>
    </row>
    <row r="23" spans="2:15" ht="14.25" x14ac:dyDescent="0.2">
      <c r="B23" s="766" t="s">
        <v>1284</v>
      </c>
      <c r="C23" s="767"/>
      <c r="D23" s="767"/>
      <c r="E23" s="767"/>
      <c r="F23" s="768"/>
      <c r="G23" s="165"/>
      <c r="H23" s="165"/>
      <c r="I23" s="168"/>
      <c r="J23" s="168"/>
      <c r="K23" s="168"/>
    </row>
    <row r="24" spans="2:15" ht="14.25" x14ac:dyDescent="0.2">
      <c r="B24" s="606" t="s">
        <v>1031</v>
      </c>
      <c r="C24" s="607"/>
      <c r="D24" s="607"/>
      <c r="E24" s="607"/>
      <c r="F24" s="608"/>
      <c r="G24" s="166"/>
      <c r="H24" s="166"/>
      <c r="I24" s="176"/>
      <c r="J24" s="176"/>
      <c r="K24" s="840"/>
      <c r="L24" s="840"/>
      <c r="M24" s="840"/>
      <c r="N24" s="840"/>
      <c r="O24" s="840"/>
    </row>
    <row r="25" spans="2:15" ht="15.75" x14ac:dyDescent="0.2">
      <c r="B25" s="783" t="s">
        <v>1285</v>
      </c>
      <c r="C25" s="655" t="s">
        <v>1033</v>
      </c>
      <c r="D25" s="655"/>
      <c r="E25" s="79" t="s">
        <v>1034</v>
      </c>
      <c r="F25" s="167" t="s">
        <v>1035</v>
      </c>
      <c r="G25" s="168"/>
      <c r="H25" s="168"/>
      <c r="I25" s="178"/>
      <c r="J25" s="178"/>
      <c r="K25" s="178"/>
    </row>
    <row r="26" spans="2:15" ht="15.75" x14ac:dyDescent="0.15">
      <c r="B26" s="784"/>
      <c r="C26" s="655" t="s">
        <v>1036</v>
      </c>
      <c r="D26" s="655"/>
      <c r="E26" s="79">
        <v>140</v>
      </c>
      <c r="F26" s="169" t="s">
        <v>1037</v>
      </c>
      <c r="G26" s="170"/>
      <c r="H26" s="170"/>
      <c r="I26" s="181"/>
      <c r="J26" s="181"/>
      <c r="K26" s="181"/>
    </row>
    <row r="27" spans="2:15" x14ac:dyDescent="0.15">
      <c r="B27" s="784"/>
      <c r="C27" s="655" t="s">
        <v>1038</v>
      </c>
      <c r="D27" s="655"/>
      <c r="E27" s="79">
        <v>6</v>
      </c>
      <c r="F27" s="169" t="s">
        <v>1039</v>
      </c>
      <c r="G27" s="170"/>
      <c r="H27" s="170"/>
      <c r="I27" s="181"/>
      <c r="J27" s="181"/>
      <c r="K27" s="181"/>
    </row>
    <row r="28" spans="2:15" ht="15.75" x14ac:dyDescent="0.15">
      <c r="B28" s="784"/>
      <c r="C28" s="655" t="s">
        <v>1040</v>
      </c>
      <c r="D28" s="655"/>
      <c r="E28" s="75">
        <f>E26*E27</f>
        <v>840</v>
      </c>
      <c r="F28" s="169" t="s">
        <v>1037</v>
      </c>
      <c r="G28" s="170"/>
      <c r="H28" s="170"/>
      <c r="I28" s="181"/>
      <c r="J28" s="181"/>
      <c r="K28" s="181"/>
    </row>
    <row r="29" spans="2:15" x14ac:dyDescent="0.15">
      <c r="B29" s="784"/>
      <c r="C29" s="769" t="s">
        <v>1286</v>
      </c>
      <c r="D29" s="653"/>
      <c r="E29" s="75">
        <f>(E28/0.785/3.14)^2/64*3.14</f>
        <v>5697.8319555605303</v>
      </c>
      <c r="F29" s="171" t="s">
        <v>1287</v>
      </c>
      <c r="G29" s="170"/>
      <c r="H29" s="170"/>
      <c r="I29" s="181"/>
      <c r="J29" s="181"/>
      <c r="K29" s="181"/>
    </row>
    <row r="30" spans="2:15" ht="14.25" x14ac:dyDescent="0.2">
      <c r="B30" s="784"/>
      <c r="C30" s="770" t="s">
        <v>1288</v>
      </c>
      <c r="D30" s="655"/>
      <c r="E30" s="139">
        <v>6</v>
      </c>
      <c r="F30" s="169" t="s">
        <v>1042</v>
      </c>
      <c r="G30" s="170"/>
      <c r="H30" s="170"/>
      <c r="I30" s="168"/>
      <c r="J30" s="168"/>
      <c r="K30" s="168"/>
    </row>
    <row r="31" spans="2:15" ht="15.75" x14ac:dyDescent="0.2">
      <c r="B31" s="784"/>
      <c r="C31" s="770" t="s">
        <v>1289</v>
      </c>
      <c r="D31" s="655"/>
      <c r="E31" s="75">
        <f>E28*E30</f>
        <v>5040</v>
      </c>
      <c r="F31" s="169" t="s">
        <v>1568</v>
      </c>
      <c r="G31" s="170"/>
      <c r="H31" s="170"/>
      <c r="I31" s="168"/>
      <c r="J31" s="168"/>
      <c r="K31" s="168"/>
    </row>
    <row r="32" spans="2:15" ht="14.25" x14ac:dyDescent="0.2">
      <c r="B32" s="784"/>
      <c r="C32" s="656" t="s">
        <v>1290</v>
      </c>
      <c r="D32" s="771"/>
      <c r="E32" s="75">
        <v>250</v>
      </c>
      <c r="F32" s="169" t="s">
        <v>186</v>
      </c>
      <c r="G32" s="170"/>
      <c r="H32" s="170"/>
      <c r="I32" s="168"/>
      <c r="J32" s="168"/>
      <c r="K32" s="168"/>
    </row>
    <row r="33" spans="2:11" ht="14.25" x14ac:dyDescent="0.2">
      <c r="B33" s="784"/>
      <c r="C33" s="770" t="s">
        <v>1291</v>
      </c>
      <c r="D33" s="655"/>
      <c r="E33" s="139">
        <v>2</v>
      </c>
      <c r="F33" s="169" t="s">
        <v>1042</v>
      </c>
      <c r="G33" s="170"/>
      <c r="H33" s="170"/>
      <c r="I33" s="168"/>
      <c r="J33" s="168"/>
      <c r="K33" s="168"/>
    </row>
    <row r="34" spans="2:11" ht="15.75" x14ac:dyDescent="0.2">
      <c r="B34" s="784"/>
      <c r="C34" s="770" t="s">
        <v>1292</v>
      </c>
      <c r="D34" s="655"/>
      <c r="E34" s="75">
        <f>E28*E33</f>
        <v>1680</v>
      </c>
      <c r="F34" s="169" t="s">
        <v>1037</v>
      </c>
      <c r="G34" s="170"/>
      <c r="H34" s="170"/>
      <c r="I34" s="168"/>
      <c r="J34" s="168"/>
      <c r="K34" s="168"/>
    </row>
    <row r="35" spans="2:11" ht="14.25" x14ac:dyDescent="0.2">
      <c r="B35" s="785"/>
      <c r="C35" s="656" t="s">
        <v>1293</v>
      </c>
      <c r="D35" s="771"/>
      <c r="E35" s="75">
        <v>450</v>
      </c>
      <c r="F35" s="169" t="s">
        <v>186</v>
      </c>
      <c r="G35" s="170"/>
      <c r="H35" s="170"/>
      <c r="I35" s="168"/>
      <c r="J35" s="168"/>
      <c r="K35" s="168"/>
    </row>
    <row r="36" spans="2:11" ht="15.75" x14ac:dyDescent="0.2">
      <c r="B36" s="783" t="s">
        <v>1294</v>
      </c>
      <c r="C36" s="655" t="s">
        <v>1033</v>
      </c>
      <c r="D36" s="655"/>
      <c r="E36" s="79" t="s">
        <v>1034</v>
      </c>
      <c r="F36" s="167" t="s">
        <v>1035</v>
      </c>
      <c r="G36" s="168"/>
      <c r="H36" s="168"/>
      <c r="I36" s="168"/>
      <c r="J36" s="168"/>
      <c r="K36" s="168"/>
    </row>
    <row r="37" spans="2:11" ht="16.5" x14ac:dyDescent="0.25">
      <c r="B37" s="784"/>
      <c r="C37" s="657" t="s">
        <v>1049</v>
      </c>
      <c r="D37" s="657"/>
      <c r="E37" s="84">
        <v>140</v>
      </c>
      <c r="F37" s="167" t="s">
        <v>1037</v>
      </c>
      <c r="G37" s="168"/>
      <c r="H37" s="168"/>
      <c r="I37" s="178"/>
      <c r="J37" s="178"/>
      <c r="K37" s="178"/>
    </row>
    <row r="38" spans="2:11" ht="14.25" x14ac:dyDescent="0.2">
      <c r="B38" s="784"/>
      <c r="C38" s="657" t="s">
        <v>1051</v>
      </c>
      <c r="D38" s="657"/>
      <c r="E38" s="84">
        <v>6</v>
      </c>
      <c r="F38" s="167" t="s">
        <v>1039</v>
      </c>
      <c r="G38" s="168"/>
      <c r="H38" s="168"/>
    </row>
    <row r="39" spans="2:11" ht="16.5" x14ac:dyDescent="0.25">
      <c r="B39" s="784"/>
      <c r="C39" s="657" t="s">
        <v>1053</v>
      </c>
      <c r="D39" s="657"/>
      <c r="E39" s="85">
        <f>E37*E38</f>
        <v>840</v>
      </c>
      <c r="F39" s="167" t="s">
        <v>1037</v>
      </c>
      <c r="G39" s="168"/>
      <c r="H39" s="168"/>
    </row>
    <row r="40" spans="2:11" ht="14.25" x14ac:dyDescent="0.2">
      <c r="B40" s="784"/>
      <c r="C40" s="769" t="s">
        <v>1286</v>
      </c>
      <c r="D40" s="653"/>
      <c r="E40" s="75">
        <f>(E39/0.785/3.14)^2/64*3.14</f>
        <v>5697.8319555605303</v>
      </c>
      <c r="F40" s="171" t="s">
        <v>1287</v>
      </c>
      <c r="G40" s="168"/>
      <c r="H40" s="168"/>
    </row>
    <row r="41" spans="2:11" ht="14.25" x14ac:dyDescent="0.2">
      <c r="B41" s="784"/>
      <c r="C41" s="657" t="s">
        <v>181</v>
      </c>
      <c r="D41" s="657"/>
      <c r="E41" s="173">
        <v>2</v>
      </c>
      <c r="F41" s="167" t="s">
        <v>1042</v>
      </c>
      <c r="G41" s="168"/>
      <c r="H41" s="168"/>
    </row>
    <row r="42" spans="2:11" ht="16.5" x14ac:dyDescent="0.25">
      <c r="B42" s="784"/>
      <c r="C42" s="657" t="s">
        <v>1055</v>
      </c>
      <c r="D42" s="657"/>
      <c r="E42" s="85">
        <f>E39*E41</f>
        <v>1680</v>
      </c>
      <c r="F42" s="167" t="s">
        <v>1037</v>
      </c>
      <c r="G42" s="168"/>
      <c r="H42" s="168"/>
    </row>
    <row r="43" spans="2:11" ht="14.25" x14ac:dyDescent="0.2">
      <c r="B43" s="785"/>
      <c r="C43" s="656" t="s">
        <v>1295</v>
      </c>
      <c r="D43" s="771"/>
      <c r="E43" s="85">
        <v>400</v>
      </c>
      <c r="F43" s="167" t="s">
        <v>186</v>
      </c>
      <c r="G43" s="168"/>
      <c r="H43" s="168"/>
    </row>
    <row r="44" spans="2:11" x14ac:dyDescent="0.15">
      <c r="B44" s="174" t="s">
        <v>628</v>
      </c>
      <c r="C44" s="174"/>
      <c r="D44" s="175"/>
      <c r="E44" s="86"/>
      <c r="F44" s="175"/>
      <c r="G44" s="176"/>
      <c r="H44" s="176"/>
    </row>
    <row r="45" spans="2:11" ht="13.5" customHeight="1" x14ac:dyDescent="0.15">
      <c r="B45" s="786" t="s">
        <v>1056</v>
      </c>
      <c r="C45" s="655" t="s">
        <v>1057</v>
      </c>
      <c r="D45" s="655"/>
      <c r="E45" s="79">
        <v>20</v>
      </c>
      <c r="F45" s="169" t="s">
        <v>186</v>
      </c>
      <c r="G45" s="170"/>
      <c r="H45" s="170"/>
    </row>
    <row r="46" spans="2:11" ht="16.5" x14ac:dyDescent="0.25">
      <c r="B46" s="787"/>
      <c r="C46" s="657" t="s">
        <v>1058</v>
      </c>
      <c r="D46" s="657"/>
      <c r="E46" s="177">
        <f>1/4*PI()*E45^2</f>
        <v>314.15926535897933</v>
      </c>
      <c r="F46" s="167" t="s">
        <v>1037</v>
      </c>
      <c r="G46" s="168"/>
      <c r="H46" s="168"/>
    </row>
    <row r="47" spans="2:11" ht="15" x14ac:dyDescent="0.25">
      <c r="B47" s="787"/>
      <c r="C47" s="657" t="s">
        <v>1059</v>
      </c>
      <c r="D47" s="657"/>
      <c r="E47" s="84">
        <v>50</v>
      </c>
      <c r="F47" s="167" t="s">
        <v>1039</v>
      </c>
      <c r="G47" s="168"/>
      <c r="H47" s="168"/>
    </row>
    <row r="48" spans="2:11" ht="16.5" x14ac:dyDescent="0.25">
      <c r="B48" s="787"/>
      <c r="C48" s="657" t="s">
        <v>1060</v>
      </c>
      <c r="D48" s="657"/>
      <c r="E48" s="177">
        <f>E46*E47</f>
        <v>15707.963267948966</v>
      </c>
      <c r="F48" s="167" t="s">
        <v>1037</v>
      </c>
      <c r="G48" s="168"/>
      <c r="H48" s="168"/>
    </row>
    <row r="49" spans="2:8" ht="14.25" x14ac:dyDescent="0.2">
      <c r="B49" s="788"/>
      <c r="C49" s="772" t="s">
        <v>1296</v>
      </c>
      <c r="D49" s="773"/>
      <c r="E49" s="177">
        <v>600</v>
      </c>
      <c r="F49" s="167" t="s">
        <v>186</v>
      </c>
      <c r="G49" s="168"/>
      <c r="H49" s="168"/>
    </row>
    <row r="50" spans="2:8" x14ac:dyDescent="0.15">
      <c r="B50" s="174" t="s">
        <v>633</v>
      </c>
      <c r="C50" s="174"/>
      <c r="D50" s="175"/>
      <c r="E50" s="86"/>
      <c r="F50" s="175"/>
      <c r="G50" s="176"/>
      <c r="H50" s="176"/>
    </row>
    <row r="51" spans="2:8" ht="14.25" customHeight="1" x14ac:dyDescent="0.2">
      <c r="B51" s="789" t="s">
        <v>1062</v>
      </c>
      <c r="C51" s="655" t="s">
        <v>1057</v>
      </c>
      <c r="D51" s="655"/>
      <c r="E51" s="84">
        <v>16</v>
      </c>
      <c r="F51" s="171" t="s">
        <v>186</v>
      </c>
      <c r="G51" s="178"/>
      <c r="H51" s="178"/>
    </row>
    <row r="52" spans="2:8" ht="15" x14ac:dyDescent="0.2">
      <c r="B52" s="790"/>
      <c r="C52" s="658" t="s">
        <v>1063</v>
      </c>
      <c r="D52" s="658"/>
      <c r="E52" s="177">
        <f>1/4*PI()*E51^2</f>
        <v>201.06192982974676</v>
      </c>
      <c r="F52" s="180" t="s">
        <v>1064</v>
      </c>
      <c r="G52" s="181"/>
      <c r="H52" s="181"/>
    </row>
    <row r="53" spans="2:8" ht="14.25" x14ac:dyDescent="0.2">
      <c r="B53" s="790"/>
      <c r="C53" s="658" t="s">
        <v>1065</v>
      </c>
      <c r="D53" s="658"/>
      <c r="E53" s="84">
        <v>40</v>
      </c>
      <c r="F53" s="180" t="s">
        <v>618</v>
      </c>
      <c r="G53" s="181"/>
      <c r="H53" s="181"/>
    </row>
    <row r="54" spans="2:8" ht="15" x14ac:dyDescent="0.2">
      <c r="B54" s="790"/>
      <c r="C54" s="658" t="s">
        <v>1066</v>
      </c>
      <c r="D54" s="658"/>
      <c r="E54" s="177">
        <f>E52*E53</f>
        <v>8042.4771931898704</v>
      </c>
      <c r="F54" s="180" t="s">
        <v>1064</v>
      </c>
      <c r="G54" s="181"/>
      <c r="H54" s="181"/>
    </row>
    <row r="55" spans="2:8" ht="14.25" x14ac:dyDescent="0.2">
      <c r="B55" s="791"/>
      <c r="C55" s="772" t="s">
        <v>1297</v>
      </c>
      <c r="D55" s="773"/>
      <c r="E55" s="177">
        <v>300</v>
      </c>
      <c r="F55" s="180" t="s">
        <v>186</v>
      </c>
      <c r="G55" s="181"/>
      <c r="H55" s="181"/>
    </row>
    <row r="56" spans="2:8" x14ac:dyDescent="0.15">
      <c r="B56" s="746" t="s">
        <v>1298</v>
      </c>
      <c r="C56" s="775" t="s">
        <v>1075</v>
      </c>
      <c r="D56" s="775"/>
      <c r="E56" s="79">
        <v>60</v>
      </c>
      <c r="F56" s="171" t="s">
        <v>186</v>
      </c>
      <c r="G56" s="181"/>
      <c r="H56" s="181"/>
    </row>
    <row r="57" spans="2:8" ht="14.25" x14ac:dyDescent="0.15">
      <c r="B57" s="746"/>
      <c r="C57" s="758" t="s">
        <v>1299</v>
      </c>
      <c r="D57" s="758"/>
      <c r="E57" s="183">
        <f>1/4*PI()*E56^2</f>
        <v>2827.4333882308138</v>
      </c>
      <c r="F57" s="171" t="s">
        <v>1064</v>
      </c>
      <c r="G57" s="181"/>
      <c r="H57" s="181"/>
    </row>
    <row r="58" spans="2:8" x14ac:dyDescent="0.15">
      <c r="B58" s="746"/>
      <c r="C58" s="776" t="s">
        <v>1286</v>
      </c>
      <c r="D58" s="777"/>
      <c r="E58" s="183">
        <f>3.14/64*E56^4</f>
        <v>635850</v>
      </c>
      <c r="F58" s="171" t="s">
        <v>1287</v>
      </c>
      <c r="G58" s="181"/>
      <c r="H58" s="181"/>
    </row>
    <row r="59" spans="2:8" x14ac:dyDescent="0.15">
      <c r="B59" s="746"/>
      <c r="C59" s="758" t="s">
        <v>1078</v>
      </c>
      <c r="D59" s="758"/>
      <c r="E59" s="79">
        <v>60</v>
      </c>
      <c r="F59" s="171" t="s">
        <v>186</v>
      </c>
      <c r="G59" s="181"/>
      <c r="H59" s="181"/>
    </row>
    <row r="60" spans="2:8" ht="14.25" x14ac:dyDescent="0.15">
      <c r="B60" s="746"/>
      <c r="C60" s="758" t="s">
        <v>1079</v>
      </c>
      <c r="D60" s="758"/>
      <c r="E60" s="183">
        <f>1/4*PI()*E59^2</f>
        <v>2827.4333882308138</v>
      </c>
      <c r="F60" s="171" t="s">
        <v>1064</v>
      </c>
      <c r="G60" s="181"/>
      <c r="H60" s="181"/>
    </row>
    <row r="61" spans="2:8" x14ac:dyDescent="0.15">
      <c r="B61" s="746"/>
      <c r="C61" s="776" t="s">
        <v>1286</v>
      </c>
      <c r="D61" s="777"/>
      <c r="E61" s="183">
        <f>3.14/64*E59^4</f>
        <v>635850</v>
      </c>
      <c r="F61" s="171" t="s">
        <v>1287</v>
      </c>
      <c r="G61" s="181"/>
      <c r="H61" s="181"/>
    </row>
    <row r="62" spans="2:8" x14ac:dyDescent="0.15">
      <c r="B62" s="746"/>
      <c r="C62" s="758" t="s">
        <v>1081</v>
      </c>
      <c r="D62" s="758"/>
      <c r="E62" s="184">
        <f>F15/F8</f>
        <v>5.7971014492753623</v>
      </c>
      <c r="F62" s="171"/>
      <c r="G62" s="181"/>
      <c r="H62" s="181"/>
    </row>
    <row r="63" spans="2:8" x14ac:dyDescent="0.15">
      <c r="B63" s="746"/>
      <c r="C63" s="758" t="s">
        <v>1082</v>
      </c>
      <c r="D63" s="758"/>
      <c r="E63" s="184">
        <f>F20/F8</f>
        <v>5.6521739130434785</v>
      </c>
      <c r="F63" s="185"/>
      <c r="G63" s="181"/>
      <c r="H63" s="181"/>
    </row>
    <row r="65" spans="2:6" ht="14.25" x14ac:dyDescent="0.15">
      <c r="B65" s="766" t="s">
        <v>1300</v>
      </c>
      <c r="C65" s="767"/>
      <c r="D65" s="767"/>
      <c r="E65" s="767"/>
      <c r="F65" s="768"/>
    </row>
    <row r="66" spans="2:6" ht="14.25" x14ac:dyDescent="0.2">
      <c r="B66" s="783" t="s">
        <v>1301</v>
      </c>
      <c r="C66" s="73" t="s">
        <v>1302</v>
      </c>
      <c r="D66" s="82">
        <f>3.8063*10^6</f>
        <v>3806300</v>
      </c>
      <c r="E66" s="186" t="s">
        <v>1303</v>
      </c>
      <c r="F66" s="186">
        <v>3400</v>
      </c>
    </row>
    <row r="67" spans="2:6" ht="15.75" x14ac:dyDescent="0.2">
      <c r="B67" s="784"/>
      <c r="C67" s="75" t="s">
        <v>1304</v>
      </c>
      <c r="D67" s="75">
        <v>1439.1</v>
      </c>
      <c r="E67" s="186" t="s">
        <v>1305</v>
      </c>
      <c r="F67" s="186">
        <f>4.5228*10^12</f>
        <v>4522800000000</v>
      </c>
    </row>
    <row r="68" spans="2:6" x14ac:dyDescent="0.15">
      <c r="B68" s="784"/>
      <c r="C68" s="75" t="s">
        <v>1306</v>
      </c>
      <c r="D68" s="183">
        <f>D66-(E48+E54)-E30*E57-E33*E57-E41*E60</f>
        <v>3754275.2256565532</v>
      </c>
      <c r="E68" s="79" t="s">
        <v>1307</v>
      </c>
      <c r="F68" s="169">
        <f>D68+E63*(E54+E48)</f>
        <v>3888516.8456542944</v>
      </c>
    </row>
    <row r="69" spans="2:6" x14ac:dyDescent="0.15">
      <c r="B69" s="784"/>
      <c r="C69" s="80" t="s">
        <v>1308</v>
      </c>
      <c r="D69" s="75">
        <f>F67-(E30*(E58+E57*'part2-预应力损失估算'!D21^2)+E33*(E58+E57*'part2-预应力损失估算'!D22^2)+E41*(E61+E60*'part2-预应力损失估算'!D23^2))+(E30*(E29+E62*E28*'part2-预应力损失估算'!D21^2)+E33*(E29+E62*E28*'part2-预应力损失估算'!D22^2)+E41*(E40+E62*E39*'part2-预应力损失估算'!D23^2))</f>
        <v>4554065288145.8877</v>
      </c>
      <c r="E69" s="75" t="s">
        <v>1309</v>
      </c>
      <c r="F69" s="169">
        <f>F68+E62*(E31+E34+E42)</f>
        <v>3937212.4978282074</v>
      </c>
    </row>
    <row r="70" spans="2:6" x14ac:dyDescent="0.15">
      <c r="B70" s="784"/>
      <c r="C70" s="75" t="s">
        <v>1310</v>
      </c>
      <c r="D70" s="75">
        <f>D69+(1/64*3.14*(SQRT(4*E28/3.14))^4+E28*(D67-E32)^2)*E30+(1/64*3.14*(SQRT(4*E28/3.14))^4+E28*(D67-E35)^2)*E33+(1/64*3.14*(SQRT(4*E39/3.14))^4+E39*(F66-D67-E43)^2)*E41</f>
        <v>4566928944733.3281</v>
      </c>
      <c r="E70" s="87"/>
      <c r="F70" s="169"/>
    </row>
    <row r="71" spans="2:6" x14ac:dyDescent="0.15">
      <c r="B71" s="785"/>
      <c r="C71" s="187"/>
      <c r="D71" s="187"/>
      <c r="E71" s="75"/>
      <c r="F71" s="169"/>
    </row>
    <row r="72" spans="2:6" x14ac:dyDescent="0.15">
      <c r="B72" s="792" t="s">
        <v>1311</v>
      </c>
      <c r="C72" s="774" t="s">
        <v>1312</v>
      </c>
      <c r="D72" s="655"/>
      <c r="E72" s="79">
        <v>30</v>
      </c>
      <c r="F72" s="188" t="s">
        <v>12</v>
      </c>
    </row>
    <row r="73" spans="2:6" x14ac:dyDescent="0.15">
      <c r="B73" s="793"/>
      <c r="C73" s="774" t="s">
        <v>1313</v>
      </c>
      <c r="D73" s="655"/>
      <c r="E73" s="189" t="s">
        <v>1314</v>
      </c>
      <c r="F73" s="169"/>
    </row>
    <row r="93" spans="5:5" x14ac:dyDescent="0.15">
      <c r="E93" s="190"/>
    </row>
    <row r="94" spans="5:5" x14ac:dyDescent="0.15">
      <c r="E94" s="190"/>
    </row>
    <row r="95" spans="5:5" x14ac:dyDescent="0.15">
      <c r="E95" s="190"/>
    </row>
    <row r="96" spans="5:5" x14ac:dyDescent="0.15">
      <c r="E96" s="190"/>
    </row>
    <row r="97" spans="5:5" x14ac:dyDescent="0.15">
      <c r="E97" s="190"/>
    </row>
    <row r="98" spans="5:5" x14ac:dyDescent="0.15">
      <c r="E98" s="190"/>
    </row>
    <row r="99" spans="5:5" x14ac:dyDescent="0.15">
      <c r="E99" s="190"/>
    </row>
    <row r="100" spans="5:5" x14ac:dyDescent="0.15">
      <c r="E100" s="190"/>
    </row>
    <row r="101" spans="5:5" x14ac:dyDescent="0.15">
      <c r="E101" s="190"/>
    </row>
    <row r="102" spans="5:5" x14ac:dyDescent="0.15">
      <c r="E102" s="190"/>
    </row>
    <row r="103" spans="5:5" x14ac:dyDescent="0.15">
      <c r="E103" s="190"/>
    </row>
    <row r="104" spans="5:5" x14ac:dyDescent="0.15">
      <c r="E104" s="190"/>
    </row>
    <row r="105" spans="5:5" x14ac:dyDescent="0.15">
      <c r="E105" s="190"/>
    </row>
    <row r="106" spans="5:5" x14ac:dyDescent="0.15">
      <c r="E106" s="190"/>
    </row>
    <row r="107" spans="5:5" x14ac:dyDescent="0.15">
      <c r="E107" s="190"/>
    </row>
    <row r="110" spans="5:5" x14ac:dyDescent="0.15">
      <c r="E110" s="190"/>
    </row>
    <row r="114" spans="7:7" x14ac:dyDescent="0.15">
      <c r="G114" s="191"/>
    </row>
  </sheetData>
  <mergeCells count="75">
    <mergeCell ref="K24:O24"/>
    <mergeCell ref="H10:H12"/>
    <mergeCell ref="C73:D73"/>
    <mergeCell ref="B3:B8"/>
    <mergeCell ref="B9:B12"/>
    <mergeCell ref="B13:B16"/>
    <mergeCell ref="B17:B20"/>
    <mergeCell ref="B25:B35"/>
    <mergeCell ref="B36:B43"/>
    <mergeCell ref="B45:B49"/>
    <mergeCell ref="B51:B55"/>
    <mergeCell ref="B56:B63"/>
    <mergeCell ref="B66:B71"/>
    <mergeCell ref="B72:B73"/>
    <mergeCell ref="C61:D61"/>
    <mergeCell ref="C62:D62"/>
    <mergeCell ref="C63:D63"/>
    <mergeCell ref="C53:D53"/>
    <mergeCell ref="C54:D54"/>
    <mergeCell ref="C55:D55"/>
    <mergeCell ref="B65:F65"/>
    <mergeCell ref="C72:D72"/>
    <mergeCell ref="C56:D56"/>
    <mergeCell ref="C57:D57"/>
    <mergeCell ref="C58:D58"/>
    <mergeCell ref="C59:D59"/>
    <mergeCell ref="C60:D60"/>
    <mergeCell ref="C47:D47"/>
    <mergeCell ref="C48:D48"/>
    <mergeCell ref="C49:D49"/>
    <mergeCell ref="C51:D51"/>
    <mergeCell ref="C52:D52"/>
    <mergeCell ref="C41:D41"/>
    <mergeCell ref="C42:D42"/>
    <mergeCell ref="C43:D43"/>
    <mergeCell ref="C45:D45"/>
    <mergeCell ref="C46:D46"/>
    <mergeCell ref="C36:D36"/>
    <mergeCell ref="C37:D37"/>
    <mergeCell ref="C38:D38"/>
    <mergeCell ref="C39:D39"/>
    <mergeCell ref="C40:D40"/>
    <mergeCell ref="C31:D31"/>
    <mergeCell ref="C32:D32"/>
    <mergeCell ref="C33:D33"/>
    <mergeCell ref="C34:D34"/>
    <mergeCell ref="C35:D35"/>
    <mergeCell ref="C26:D26"/>
    <mergeCell ref="C27:D27"/>
    <mergeCell ref="C28:D28"/>
    <mergeCell ref="C29:D29"/>
    <mergeCell ref="C30:D30"/>
    <mergeCell ref="C19:E19"/>
    <mergeCell ref="C20:E20"/>
    <mergeCell ref="B23:F23"/>
    <mergeCell ref="B24:F24"/>
    <mergeCell ref="C25:D25"/>
    <mergeCell ref="C14:E14"/>
    <mergeCell ref="C15:E15"/>
    <mergeCell ref="C16:E16"/>
    <mergeCell ref="C17:E17"/>
    <mergeCell ref="C18:E18"/>
    <mergeCell ref="C9:E9"/>
    <mergeCell ref="C10:E10"/>
    <mergeCell ref="C11:E11"/>
    <mergeCell ref="C12:E12"/>
    <mergeCell ref="C13:E13"/>
    <mergeCell ref="B2:H2"/>
    <mergeCell ref="C3:E3"/>
    <mergeCell ref="C4:E4"/>
    <mergeCell ref="C5:E5"/>
    <mergeCell ref="C6:E6"/>
    <mergeCell ref="H5:H8"/>
    <mergeCell ref="C7:E7"/>
    <mergeCell ref="C8:E8"/>
  </mergeCells>
  <phoneticPr fontId="143" type="noConversion"/>
  <dataValidations disablePrompts="1" count="2">
    <dataValidation type="list" allowBlank="1" showInputMessage="1" showErrorMessage="1" sqref="E73" xr:uid="{00000000-0002-0000-0300-000000000000}">
      <formula1>"单侧张拉,双侧张拉"</formula1>
    </dataValidation>
    <dataValidation type="list" allowBlank="1" showInputMessage="1" showErrorMessage="1" prompt="下拉菜单选择" sqref="F3" xr:uid="{A7A7E416-4B32-4A31-AA7D-36A1FCF4BD4D}">
      <formula1>"C15,C20,C25,C30,C40,C50"</formula1>
    </dataValidation>
  </dataValidations>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E58"/>
  <sheetViews>
    <sheetView zoomScale="55" zoomScaleNormal="55" workbookViewId="0">
      <selection activeCell="C15" sqref="C15"/>
    </sheetView>
  </sheetViews>
  <sheetFormatPr defaultColWidth="9" defaultRowHeight="13.5" x14ac:dyDescent="0.15"/>
  <cols>
    <col min="3" max="3" width="50.625" customWidth="1"/>
    <col min="4" max="5" width="20.625" customWidth="1"/>
  </cols>
  <sheetData>
    <row r="1" spans="3:5" x14ac:dyDescent="0.15">
      <c r="C1" s="795" t="s">
        <v>1315</v>
      </c>
      <c r="D1" s="796"/>
      <c r="E1" s="796"/>
    </row>
    <row r="2" spans="3:5" ht="12" customHeight="1" x14ac:dyDescent="0.15">
      <c r="C2" s="566" t="s">
        <v>1566</v>
      </c>
      <c r="D2" s="87">
        <f>0.7*'part1-基本参数'!F17</f>
        <v>1302</v>
      </c>
      <c r="E2" s="72" t="s">
        <v>242</v>
      </c>
    </row>
    <row r="3" spans="3:5" s="135" customFormat="1" ht="65.099999999999994" customHeight="1" x14ac:dyDescent="0.15">
      <c r="C3" s="797" t="s">
        <v>1316</v>
      </c>
      <c r="D3" s="666"/>
      <c r="E3" s="666"/>
    </row>
    <row r="4" spans="3:5" ht="12" customHeight="1" x14ac:dyDescent="0.15">
      <c r="C4" s="83" t="s">
        <v>1115</v>
      </c>
      <c r="D4" s="79">
        <v>5</v>
      </c>
      <c r="E4" s="75" t="s">
        <v>186</v>
      </c>
    </row>
    <row r="5" spans="3:5" ht="12" customHeight="1" x14ac:dyDescent="0.15">
      <c r="C5" s="75" t="s">
        <v>1116</v>
      </c>
      <c r="D5" s="137">
        <f>IF('part1-基本参数'!E73="双侧张拉",'part1-基本参数'!E72/2*1000,'part1-基本参数'!E72*1000)</f>
        <v>30000</v>
      </c>
      <c r="E5" s="75" t="s">
        <v>186</v>
      </c>
    </row>
    <row r="6" spans="3:5" ht="12" customHeight="1" x14ac:dyDescent="0.15">
      <c r="C6" s="138" t="s">
        <v>1117</v>
      </c>
      <c r="D6" s="139">
        <f>D4/D5*'part1-基本参数'!F20</f>
        <v>32.5</v>
      </c>
      <c r="E6" s="77" t="s">
        <v>242</v>
      </c>
    </row>
    <row r="7" spans="3:5" ht="12" customHeight="1" x14ac:dyDescent="0.15">
      <c r="C7" s="72" t="s">
        <v>1118</v>
      </c>
      <c r="D7" s="79">
        <v>0.155</v>
      </c>
      <c r="E7" s="72"/>
    </row>
    <row r="8" spans="3:5" ht="12" customHeight="1" x14ac:dyDescent="0.15">
      <c r="C8" s="140" t="s">
        <v>1119</v>
      </c>
      <c r="D8" s="79">
        <v>0</v>
      </c>
      <c r="E8" s="72" t="s">
        <v>253</v>
      </c>
    </row>
    <row r="9" spans="3:5" ht="12" customHeight="1" x14ac:dyDescent="0.15">
      <c r="C9" s="140" t="s">
        <v>1120</v>
      </c>
      <c r="D9" s="79">
        <v>1.5E-3</v>
      </c>
      <c r="E9" s="72"/>
    </row>
    <row r="10" spans="3:5" ht="12" customHeight="1" x14ac:dyDescent="0.15">
      <c r="C10" s="72" t="s">
        <v>1121</v>
      </c>
      <c r="D10" s="72">
        <f>D5/2/1000</f>
        <v>15</v>
      </c>
      <c r="E10" s="72" t="s">
        <v>12</v>
      </c>
    </row>
    <row r="11" spans="3:5" ht="12" customHeight="1" x14ac:dyDescent="0.15">
      <c r="C11" s="72" t="s">
        <v>257</v>
      </c>
      <c r="D11" s="72">
        <f>D7*D8+D9*D10</f>
        <v>2.2499999999999999E-2</v>
      </c>
      <c r="E11" s="72"/>
    </row>
    <row r="12" spans="3:5" ht="12" customHeight="1" x14ac:dyDescent="0.15">
      <c r="C12" s="77" t="s">
        <v>1122</v>
      </c>
      <c r="D12" s="139">
        <f>IF(D11&lt;0.2,D11*D2,D2*(1-EXP(-D11)))</f>
        <v>29.294999999999998</v>
      </c>
      <c r="E12" s="77" t="s">
        <v>242</v>
      </c>
    </row>
    <row r="13" spans="3:5" ht="12" customHeight="1" x14ac:dyDescent="0.15">
      <c r="C13" s="72" t="s">
        <v>1123</v>
      </c>
      <c r="D13" s="72">
        <f>0.00001</f>
        <v>1.0000000000000001E-5</v>
      </c>
      <c r="E13" s="72" t="s">
        <v>1124</v>
      </c>
    </row>
    <row r="14" spans="3:5" ht="12" customHeight="1" x14ac:dyDescent="0.15">
      <c r="C14" s="140" t="s">
        <v>1125</v>
      </c>
      <c r="D14" s="79">
        <v>0</v>
      </c>
      <c r="E14" s="72" t="s">
        <v>1126</v>
      </c>
    </row>
    <row r="15" spans="3:5" ht="12" customHeight="1" x14ac:dyDescent="0.15">
      <c r="C15" s="141" t="s">
        <v>1127</v>
      </c>
      <c r="D15" s="142">
        <f>D13*D14*'part1-基本参数'!F20</f>
        <v>0</v>
      </c>
      <c r="E15" s="143" t="s">
        <v>242</v>
      </c>
    </row>
    <row r="16" spans="3:5" ht="12" customHeight="1" x14ac:dyDescent="0.15">
      <c r="C16" s="798" t="s">
        <v>1317</v>
      </c>
      <c r="D16" s="639"/>
      <c r="E16" s="639"/>
    </row>
    <row r="17" spans="3:5" ht="12" customHeight="1" x14ac:dyDescent="0.15">
      <c r="C17" s="144" t="s">
        <v>1130</v>
      </c>
      <c r="D17" s="142">
        <f>0.125*(D2/'part1-基本参数'!F17-0.5)*D2</f>
        <v>32.54999999999999</v>
      </c>
      <c r="E17" s="143" t="s">
        <v>242</v>
      </c>
    </row>
    <row r="18" spans="3:5" ht="12" customHeight="1" x14ac:dyDescent="0.15">
      <c r="C18" s="799" t="s">
        <v>1318</v>
      </c>
      <c r="D18" s="799"/>
      <c r="E18" s="799"/>
    </row>
    <row r="19" spans="3:5" ht="12" customHeight="1" x14ac:dyDescent="0.15">
      <c r="C19" s="73" t="s">
        <v>1134</v>
      </c>
      <c r="D19" s="88">
        <f>D2-D6-D12</f>
        <v>1240.2049999999999</v>
      </c>
      <c r="E19" s="72" t="s">
        <v>242</v>
      </c>
    </row>
    <row r="20" spans="3:5" ht="12" customHeight="1" x14ac:dyDescent="0.15">
      <c r="C20" s="72" t="s">
        <v>1135</v>
      </c>
      <c r="D20" s="88">
        <f>D19*('part1-基本参数'!E31+'part1-基本参数'!E34+'part1-基本参数'!E42)</f>
        <v>10417722</v>
      </c>
      <c r="E20" s="72" t="s">
        <v>275</v>
      </c>
    </row>
    <row r="21" spans="3:5" ht="12" customHeight="1" x14ac:dyDescent="0.15">
      <c r="C21" s="70" t="s">
        <v>1319</v>
      </c>
      <c r="D21" s="88">
        <f>'part1-基本参数'!D67-'part1-基本参数'!E32</f>
        <v>1189.0999999999999</v>
      </c>
      <c r="E21" s="78" t="s">
        <v>186</v>
      </c>
    </row>
    <row r="22" spans="3:5" ht="12" customHeight="1" x14ac:dyDescent="0.15">
      <c r="C22" s="70" t="s">
        <v>1320</v>
      </c>
      <c r="D22" s="88">
        <f>'part1-基本参数'!D67-'part1-基本参数'!E35</f>
        <v>989.09999999999991</v>
      </c>
      <c r="E22" s="78" t="s">
        <v>186</v>
      </c>
    </row>
    <row r="23" spans="3:5" ht="12" customHeight="1" x14ac:dyDescent="0.15">
      <c r="C23" s="70" t="s">
        <v>1321</v>
      </c>
      <c r="D23" s="88">
        <f>'part1-基本参数'!F66-'part1-基本参数'!D67-'part1-基本参数'!E43</f>
        <v>1560.9</v>
      </c>
      <c r="E23" s="78" t="s">
        <v>186</v>
      </c>
    </row>
    <row r="24" spans="3:5" ht="12" customHeight="1" x14ac:dyDescent="0.15">
      <c r="C24" s="78" t="s">
        <v>1136</v>
      </c>
      <c r="D24" s="145">
        <f>(D19*'part1-基本参数'!E31*D21+D19*'part1-基本参数'!E34*D22-D19*'part1-基本参数'!E42*D23)/D20</f>
        <v>599.0999999999998</v>
      </c>
      <c r="E24" s="78" t="s">
        <v>186</v>
      </c>
    </row>
    <row r="25" spans="3:5" ht="12" customHeight="1" x14ac:dyDescent="0.15">
      <c r="C25" s="74" t="s">
        <v>1322</v>
      </c>
      <c r="D25" s="145">
        <f>D20/'part1-基本参数'!F68+D20*D24/'part1-基本参数'!D69*D21</f>
        <v>4.3087373568702336</v>
      </c>
      <c r="E25" s="78" t="s">
        <v>242</v>
      </c>
    </row>
    <row r="26" spans="3:5" ht="12" customHeight="1" x14ac:dyDescent="0.15">
      <c r="C26" s="74" t="s">
        <v>1322</v>
      </c>
      <c r="D26" s="145">
        <f>D20/'part1-基本参数'!F68+D20*D24/'part1-基本参数'!D69*D22</f>
        <v>4.0346412754440051</v>
      </c>
      <c r="E26" s="78" t="s">
        <v>242</v>
      </c>
    </row>
    <row r="27" spans="3:5" ht="12" customHeight="1" x14ac:dyDescent="0.15">
      <c r="C27" s="74" t="s">
        <v>1323</v>
      </c>
      <c r="D27" s="145">
        <f>D20/'part1-基本参数'!F68-D20*D24/'part1-基本参数'!D69*D23</f>
        <v>0.5399162372595816</v>
      </c>
      <c r="E27" s="78" t="s">
        <v>242</v>
      </c>
    </row>
    <row r="28" spans="3:5" ht="12" customHeight="1" x14ac:dyDescent="0.15">
      <c r="C28" s="146" t="s">
        <v>1324</v>
      </c>
      <c r="D28" s="147">
        <f>(35+280*D25/'part1-基本参数'!F12)/(1+15*D31)</f>
        <v>67.20757758948082</v>
      </c>
      <c r="E28" s="87" t="s">
        <v>242</v>
      </c>
    </row>
    <row r="29" spans="3:5" ht="12" customHeight="1" x14ac:dyDescent="0.15">
      <c r="C29" s="146" t="s">
        <v>1325</v>
      </c>
      <c r="D29" s="147">
        <f>(35+280*D26/'part1-基本参数'!F12)/(1+15*D31)</f>
        <v>65.00373592381527</v>
      </c>
      <c r="E29" s="87" t="s">
        <v>242</v>
      </c>
    </row>
    <row r="30" spans="3:5" ht="12" customHeight="1" x14ac:dyDescent="0.15">
      <c r="C30" s="146" t="s">
        <v>1326</v>
      </c>
      <c r="D30" s="147">
        <f>(35+280*D27/'part1-基本参数'!F12)/(1+15*D32)</f>
        <v>38.419833188538604</v>
      </c>
      <c r="E30" s="87" t="s">
        <v>242</v>
      </c>
    </row>
    <row r="31" spans="3:5" ht="12" customHeight="1" x14ac:dyDescent="0.15">
      <c r="C31" s="75" t="s">
        <v>1142</v>
      </c>
      <c r="D31" s="148">
        <f>('part1-基本参数'!E31+'part1-基本参数'!E34+'part1-基本参数'!E48)/('part1-基本参数'!D66+('part1-基本参数'!E62)*(('part1-基本参数'!E31+'part1-基本参数'!E34+'part1-基本参数'!E42)+('part1-基本参数'!E63)*('part1-基本参数'!E48+'part1-基本参数'!E54)-('part1-基本参数'!E30+'part1-基本参数'!E33)*'part1-基本参数'!E57)-'part1-基本参数'!E41*'part1-基本参数'!E60)</f>
        <v>4.9879536805901787E-3</v>
      </c>
      <c r="E31" s="149">
        <f>D31</f>
        <v>4.9879536805901787E-3</v>
      </c>
    </row>
    <row r="32" spans="3:5" ht="12" customHeight="1" x14ac:dyDescent="0.15">
      <c r="C32" s="75" t="s">
        <v>1144</v>
      </c>
      <c r="D32" s="148">
        <f>('part1-基本参数'!E42+'part1-基本参数'!E54)/('part1-基本参数'!D66+('part1-基本参数'!E62)*(('part1-基本参数'!E31+'part1-基本参数'!E34+'part1-基本参数'!E42)+('part1-基本参数'!E63)*('part1-基本参数'!E48+'part1-基本参数'!E54)-('part1-基本参数'!E30+'part1-基本参数'!E33)*'part1-基本参数'!E57)-'part1-基本参数'!E41*'part1-基本参数'!E60)</f>
        <v>2.1622679385037342E-3</v>
      </c>
      <c r="E32" s="149">
        <f>D32</f>
        <v>2.1622679385037342E-3</v>
      </c>
    </row>
    <row r="33" spans="3:5" ht="12" customHeight="1" x14ac:dyDescent="0.15">
      <c r="C33" s="800" t="s">
        <v>1327</v>
      </c>
      <c r="D33" s="800"/>
      <c r="E33" s="800"/>
    </row>
    <row r="34" spans="3:5" ht="12" customHeight="1" x14ac:dyDescent="0.15">
      <c r="C34" s="150" t="s">
        <v>1328</v>
      </c>
      <c r="D34" s="148">
        <f>(35+280*D35/'part1-基本参数'!F12)/(1+15*D31)</f>
        <v>71.117972869361779</v>
      </c>
      <c r="E34" s="148" t="s">
        <v>242</v>
      </c>
    </row>
    <row r="35" spans="3:5" ht="12" customHeight="1" x14ac:dyDescent="0.15">
      <c r="C35" s="148" t="s">
        <v>1329</v>
      </c>
      <c r="D35" s="148">
        <f>D19*('part1-基本参数'!E31+'part1-基本参数'!E34)/'part1-基本参数'!D66+D19*('part1-基本参数'!E31+'part1-基本参数'!E34)*('part1-基本参数'!D67-'part1-基本参数'!E32)/'part1-基本参数'!F67*('part1-基本参数'!D67-'part1-基本参数'!E32)</f>
        <v>4.7950808359600927</v>
      </c>
      <c r="E35" s="148" t="s">
        <v>242</v>
      </c>
    </row>
    <row r="36" spans="3:5" ht="12" customHeight="1" x14ac:dyDescent="0.15">
      <c r="C36" s="71"/>
      <c r="D36" s="71"/>
      <c r="E36" s="71"/>
    </row>
    <row r="37" spans="3:5" ht="12" customHeight="1" x14ac:dyDescent="0.15">
      <c r="C37" s="151" t="s">
        <v>1330</v>
      </c>
      <c r="D37" s="151" t="s">
        <v>1331</v>
      </c>
      <c r="E37" s="151" t="s">
        <v>1332</v>
      </c>
    </row>
    <row r="38" spans="3:5" ht="12" customHeight="1" x14ac:dyDescent="0.15">
      <c r="C38" s="152" t="s">
        <v>1333</v>
      </c>
      <c r="D38" s="153">
        <f>D6+D12+D15+D17+D28</f>
        <v>161.55257758948082</v>
      </c>
      <c r="E38" s="77" t="s">
        <v>242</v>
      </c>
    </row>
    <row r="39" spans="3:5" ht="12" customHeight="1" x14ac:dyDescent="0.15">
      <c r="C39" s="152" t="s">
        <v>1334</v>
      </c>
      <c r="D39" s="153">
        <f>D6+D12+D15+D17+D29</f>
        <v>159.34873592381527</v>
      </c>
      <c r="E39" s="77" t="s">
        <v>242</v>
      </c>
    </row>
    <row r="40" spans="3:5" ht="12" customHeight="1" x14ac:dyDescent="0.15">
      <c r="C40" s="152" t="s">
        <v>1335</v>
      </c>
      <c r="D40" s="153">
        <f>D6+D12+D15+D17+D30</f>
        <v>132.7648331885386</v>
      </c>
      <c r="E40" s="77" t="s">
        <v>242</v>
      </c>
    </row>
    <row r="41" spans="3:5" ht="12" customHeight="1" x14ac:dyDescent="0.15">
      <c r="C41" s="794" t="str">
        <f>IF(D40&gt;80,"预应力损失计算结果基本合理","预应力损失计算结果偏小")</f>
        <v>预应力损失计算结果基本合理</v>
      </c>
      <c r="D41" s="794"/>
      <c r="E41" s="794"/>
    </row>
    <row r="45" spans="3:5" x14ac:dyDescent="0.15">
      <c r="C45" s="795" t="s">
        <v>1336</v>
      </c>
      <c r="D45" s="796"/>
      <c r="E45" s="796"/>
    </row>
    <row r="46" spans="3:5" x14ac:dyDescent="0.15">
      <c r="C46" s="75" t="s">
        <v>1337</v>
      </c>
      <c r="D46" s="154">
        <f>D2-D38</f>
        <v>1140.4474224105193</v>
      </c>
      <c r="E46" s="72" t="s">
        <v>242</v>
      </c>
    </row>
    <row r="47" spans="3:5" x14ac:dyDescent="0.15">
      <c r="C47" s="75" t="s">
        <v>1338</v>
      </c>
      <c r="D47" s="154">
        <f>D2-D39</f>
        <v>1142.6512640761848</v>
      </c>
      <c r="E47" s="72" t="s">
        <v>242</v>
      </c>
    </row>
    <row r="48" spans="3:5" ht="15.75" x14ac:dyDescent="0.15">
      <c r="C48" s="73" t="s">
        <v>1339</v>
      </c>
      <c r="D48" s="155">
        <f>D2-D40</f>
        <v>1169.2351668114613</v>
      </c>
      <c r="E48" s="72" t="s">
        <v>242</v>
      </c>
    </row>
    <row r="49" spans="3:5" x14ac:dyDescent="0.15">
      <c r="C49" s="72" t="s">
        <v>1150</v>
      </c>
      <c r="D49" s="72">
        <f>D46*'part1-基本参数'!E31+'part2-预应力损失估算'!D47*'part1-基本参数'!E34+'part2-预应力损失估算'!D48*'part1-基本参数'!E42-'part2-预应力损失估算'!D29*'part1-基本参数'!E48-'part2-预应力损失估算'!D30*'part1-基本参数'!E54</f>
        <v>8301757.2844845364</v>
      </c>
      <c r="E49" s="72" t="s">
        <v>275</v>
      </c>
    </row>
    <row r="50" spans="3:5" ht="14.25" x14ac:dyDescent="0.15">
      <c r="C50" s="156" t="s">
        <v>1151</v>
      </c>
      <c r="D50" s="72">
        <f>(D46*'part1-基本参数'!E31*('part1-基本参数'!D67-'part1-基本参数'!E32)+D47*'part1-基本参数'!E34*('part1-基本参数'!D67-'part1-基本参数'!E35)-'part2-预应力损失估算'!D48*'part1-基本参数'!E42*('part1-基本参数'!F66-'part1-基本参数'!D67-'part1-基本参数'!E43)-D28*'part1-基本参数'!E48*('part1-基本参数'!D67-'part1-基本参数'!E49)+'part2-预应力损失估算'!D30*'part1-基本参数'!E54*('part1-基本参数'!F66-'part1-基本参数'!D67-'part1-基本参数'!E55))/D49</f>
        <v>637.78959874419388</v>
      </c>
      <c r="E50" s="72" t="s">
        <v>186</v>
      </c>
    </row>
    <row r="51" spans="3:5" x14ac:dyDescent="0.15">
      <c r="C51" s="157" t="s">
        <v>1340</v>
      </c>
      <c r="D51" s="158">
        <f>D49/'part1-基本参数'!F68+'part2-预应力损失估算'!D49*'part2-预应力损失估算'!D50/'part1-基本参数'!D69*('part1-基本参数'!D67-'part1-基本参数'!E32)</f>
        <v>3.5174464524445175</v>
      </c>
      <c r="E51" s="158" t="s">
        <v>1153</v>
      </c>
    </row>
    <row r="52" spans="3:5" x14ac:dyDescent="0.15">
      <c r="C52" s="158" t="s">
        <v>1155</v>
      </c>
      <c r="D52" s="158">
        <f>D49/'part1-基本参数'!F68-'part2-预应力损失估算'!D49*'part2-预应力损失估算'!D50/'part1-基本参数'!D69*('part1-基本参数'!F66-'part1-基本参数'!D67-'part1-基本参数'!E43)</f>
        <v>0.32016472526014672</v>
      </c>
      <c r="E52" s="158" t="s">
        <v>1153</v>
      </c>
    </row>
    <row r="53" spans="3:5" ht="15.75" x14ac:dyDescent="0.15">
      <c r="C53" s="73" t="s">
        <v>1341</v>
      </c>
      <c r="D53" s="72">
        <f>D46+'part1-基本参数'!E62*'part2-预应力损失估算'!D51</f>
        <v>1160.8384163377339</v>
      </c>
      <c r="E53" s="72" t="s">
        <v>242</v>
      </c>
    </row>
    <row r="54" spans="3:5" hidden="1" x14ac:dyDescent="0.15">
      <c r="C54" s="73" t="s">
        <v>1342</v>
      </c>
      <c r="D54" s="72">
        <f>0.8/(1.6+('part1-基本参数'!F18-'part2-预应力损失估算'!D53)/(0.0033*'part1-基本参数'!F20))</f>
        <v>0.43305571703792339</v>
      </c>
      <c r="E54" s="72"/>
    </row>
    <row r="55" spans="3:5" ht="15.75" x14ac:dyDescent="0.15">
      <c r="C55" s="73" t="s">
        <v>1343</v>
      </c>
      <c r="D55" s="72">
        <f>D47+'part1-基本参数'!E62*'part2-预应力损失估算'!D51</f>
        <v>1163.0422580033994</v>
      </c>
      <c r="E55" s="72" t="s">
        <v>242</v>
      </c>
    </row>
    <row r="56" spans="3:5" hidden="1" x14ac:dyDescent="0.15">
      <c r="C56" s="73" t="s">
        <v>1342</v>
      </c>
      <c r="D56" s="72">
        <f>0.8/(1.6+('part1-基本参数'!F18-'part2-预应力损失估算'!D55)/(0.0033*'part1-基本参数'!F20))</f>
        <v>0.43386004892922853</v>
      </c>
      <c r="E56" s="72"/>
    </row>
    <row r="57" spans="3:5" ht="15.75" x14ac:dyDescent="0.15">
      <c r="C57" s="73" t="s">
        <v>305</v>
      </c>
      <c r="D57" s="72">
        <f>D48+'part1-基本参数'!E62*'part2-预应力损失估算'!D52</f>
        <v>1171.0911942042737</v>
      </c>
      <c r="E57" s="72" t="s">
        <v>242</v>
      </c>
    </row>
    <row r="58" spans="3:5" x14ac:dyDescent="0.15">
      <c r="C58" s="138" t="s">
        <v>1344</v>
      </c>
      <c r="D58" s="77">
        <f>MIN(D54,D56)</f>
        <v>0.43305571703792339</v>
      </c>
      <c r="E58" s="77"/>
    </row>
  </sheetData>
  <mergeCells count="7">
    <mergeCell ref="C41:E41"/>
    <mergeCell ref="C45:E45"/>
    <mergeCell ref="C1:E1"/>
    <mergeCell ref="C3:E3"/>
    <mergeCell ref="C16:E16"/>
    <mergeCell ref="C18:E18"/>
    <mergeCell ref="C33:E33"/>
  </mergeCells>
  <phoneticPr fontId="143" type="noConversion"/>
  <pageMargins left="0.7" right="0.7"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70"/>
  <sheetViews>
    <sheetView zoomScale="40" zoomScaleNormal="40" workbookViewId="0">
      <selection activeCell="B16" sqref="B16"/>
    </sheetView>
  </sheetViews>
  <sheetFormatPr defaultColWidth="9" defaultRowHeight="13.5" x14ac:dyDescent="0.15"/>
  <cols>
    <col min="1" max="1" width="15.75" customWidth="1"/>
    <col min="2" max="2" width="50.625" customWidth="1"/>
    <col min="3" max="3" width="17" customWidth="1"/>
    <col min="4" max="10" width="12.625" customWidth="1"/>
  </cols>
  <sheetData>
    <row r="2" spans="1:10" x14ac:dyDescent="0.15">
      <c r="A2" s="804" t="s">
        <v>1345</v>
      </c>
      <c r="B2" s="804"/>
      <c r="C2" s="804"/>
      <c r="D2" s="804"/>
      <c r="E2" s="804"/>
      <c r="F2" s="804"/>
      <c r="G2" s="804"/>
      <c r="H2" s="804"/>
      <c r="I2" s="804"/>
      <c r="J2" s="804"/>
    </row>
    <row r="3" spans="1:10" ht="20.100000000000001" customHeight="1" x14ac:dyDescent="0.15">
      <c r="A3" s="807" t="s">
        <v>1346</v>
      </c>
      <c r="B3" s="96" t="s">
        <v>1347</v>
      </c>
      <c r="C3" s="805" t="s">
        <v>1348</v>
      </c>
      <c r="D3" s="805"/>
      <c r="E3" s="805"/>
      <c r="F3" s="805"/>
      <c r="G3" s="805"/>
      <c r="H3" s="805"/>
      <c r="I3" s="805"/>
      <c r="J3" s="806"/>
    </row>
    <row r="4" spans="1:10" ht="20.100000000000001" customHeight="1" x14ac:dyDescent="0.15">
      <c r="A4" s="808"/>
      <c r="B4" s="97" t="s">
        <v>1349</v>
      </c>
      <c r="C4" s="98">
        <f>LOOKUP(C3,{"1级","2级","3级","4级","5级"},{1.3,1.2,1.2,1.15,1.15})</f>
        <v>1.2</v>
      </c>
      <c r="D4" s="98">
        <f t="shared" ref="D4:J16" si="0">$C4</f>
        <v>1.2</v>
      </c>
      <c r="E4" s="98">
        <f t="shared" si="0"/>
        <v>1.2</v>
      </c>
      <c r="F4" s="98">
        <f t="shared" si="0"/>
        <v>1.2</v>
      </c>
      <c r="G4" s="98">
        <f t="shared" si="0"/>
        <v>1.2</v>
      </c>
      <c r="H4" s="98">
        <f t="shared" si="0"/>
        <v>1.2</v>
      </c>
      <c r="I4" s="98">
        <f t="shared" si="0"/>
        <v>1.2</v>
      </c>
      <c r="J4" s="122">
        <f t="shared" si="0"/>
        <v>1.2</v>
      </c>
    </row>
    <row r="5" spans="1:10" ht="20.100000000000001" customHeight="1" x14ac:dyDescent="0.15">
      <c r="A5" s="809" t="s">
        <v>1350</v>
      </c>
      <c r="B5" s="99" t="s">
        <v>1351</v>
      </c>
      <c r="C5" s="100" t="str">
        <f>'part1-基本参数'!F3</f>
        <v>C50</v>
      </c>
      <c r="D5" s="101" t="str">
        <f t="shared" si="0"/>
        <v>C50</v>
      </c>
      <c r="E5" s="101" t="str">
        <f t="shared" si="0"/>
        <v>C50</v>
      </c>
      <c r="F5" s="101" t="str">
        <f t="shared" si="0"/>
        <v>C50</v>
      </c>
      <c r="G5" s="101" t="str">
        <f t="shared" si="0"/>
        <v>C50</v>
      </c>
      <c r="H5" s="101" t="str">
        <f t="shared" si="0"/>
        <v>C50</v>
      </c>
      <c r="I5" s="101" t="str">
        <f t="shared" si="0"/>
        <v>C50</v>
      </c>
      <c r="J5" s="123" t="str">
        <f t="shared" si="0"/>
        <v>C50</v>
      </c>
    </row>
    <row r="6" spans="1:10" ht="20.100000000000001" customHeight="1" x14ac:dyDescent="0.15">
      <c r="A6" s="810"/>
      <c r="B6" s="99" t="s">
        <v>1352</v>
      </c>
      <c r="C6" s="102" t="s">
        <v>188</v>
      </c>
      <c r="D6" s="103" t="str">
        <f t="shared" si="0"/>
        <v>HRB400</v>
      </c>
      <c r="E6" s="103" t="str">
        <f t="shared" si="0"/>
        <v>HRB400</v>
      </c>
      <c r="F6" s="103" t="str">
        <f t="shared" si="0"/>
        <v>HRB400</v>
      </c>
      <c r="G6" s="103" t="str">
        <f t="shared" si="0"/>
        <v>HRB400</v>
      </c>
      <c r="H6" s="103" t="str">
        <f t="shared" si="0"/>
        <v>HRB400</v>
      </c>
      <c r="I6" s="103" t="str">
        <f t="shared" si="0"/>
        <v>HRB400</v>
      </c>
      <c r="J6" s="124" t="str">
        <f t="shared" si="0"/>
        <v>HRB400</v>
      </c>
    </row>
    <row r="7" spans="1:10" ht="20.100000000000001" customHeight="1" x14ac:dyDescent="0.15">
      <c r="A7" s="810"/>
      <c r="B7" s="99" t="s">
        <v>1353</v>
      </c>
      <c r="C7" s="98">
        <f>LOOKUP(C5,{"C15","C20","C25","C30","C40","C50"},{7.2,9.6,11.9,14.3,19.1,21.1})</f>
        <v>21.1</v>
      </c>
      <c r="D7" s="98">
        <f t="shared" si="0"/>
        <v>21.1</v>
      </c>
      <c r="E7" s="98">
        <f t="shared" si="0"/>
        <v>21.1</v>
      </c>
      <c r="F7" s="98">
        <f t="shared" si="0"/>
        <v>21.1</v>
      </c>
      <c r="G7" s="98">
        <f t="shared" si="0"/>
        <v>21.1</v>
      </c>
      <c r="H7" s="98">
        <f t="shared" si="0"/>
        <v>21.1</v>
      </c>
      <c r="I7" s="98">
        <f t="shared" si="0"/>
        <v>21.1</v>
      </c>
      <c r="J7" s="122">
        <f t="shared" si="0"/>
        <v>21.1</v>
      </c>
    </row>
    <row r="8" spans="1:10" ht="20.100000000000001" customHeight="1" x14ac:dyDescent="0.15">
      <c r="A8" s="810"/>
      <c r="B8" s="99" t="s">
        <v>1354</v>
      </c>
      <c r="C8" s="98">
        <v>1.71</v>
      </c>
      <c r="D8" s="98">
        <f t="shared" si="0"/>
        <v>1.71</v>
      </c>
      <c r="E8" s="98">
        <f t="shared" si="0"/>
        <v>1.71</v>
      </c>
      <c r="F8" s="98">
        <f t="shared" si="0"/>
        <v>1.71</v>
      </c>
      <c r="G8" s="98">
        <f t="shared" si="0"/>
        <v>1.71</v>
      </c>
      <c r="H8" s="98">
        <f t="shared" si="0"/>
        <v>1.71</v>
      </c>
      <c r="I8" s="98">
        <f t="shared" si="0"/>
        <v>1.71</v>
      </c>
      <c r="J8" s="98">
        <f t="shared" si="0"/>
        <v>1.71</v>
      </c>
    </row>
    <row r="9" spans="1:10" ht="20.100000000000001" customHeight="1" x14ac:dyDescent="0.15">
      <c r="A9" s="810"/>
      <c r="B9" s="104" t="s">
        <v>1355</v>
      </c>
      <c r="C9" s="105">
        <f>LOOKUP(C6,{"HPB235","HRB335","HRB400"},{210000,200000,200000})</f>
        <v>200000</v>
      </c>
      <c r="D9" s="105">
        <f t="shared" si="0"/>
        <v>200000</v>
      </c>
      <c r="E9" s="105">
        <f t="shared" si="0"/>
        <v>200000</v>
      </c>
      <c r="F9" s="105">
        <f t="shared" si="0"/>
        <v>200000</v>
      </c>
      <c r="G9" s="105">
        <f t="shared" si="0"/>
        <v>200000</v>
      </c>
      <c r="H9" s="105">
        <f t="shared" si="0"/>
        <v>200000</v>
      </c>
      <c r="I9" s="105">
        <f t="shared" si="0"/>
        <v>200000</v>
      </c>
      <c r="J9" s="125">
        <f t="shared" si="0"/>
        <v>200000</v>
      </c>
    </row>
    <row r="10" spans="1:10" ht="20.100000000000001" customHeight="1" x14ac:dyDescent="0.15">
      <c r="A10" s="810"/>
      <c r="B10" s="104" t="s">
        <v>1356</v>
      </c>
      <c r="C10" s="105">
        <f>LOOKUP(C6,{"HPB235","HRB335","HRB400"},{210,300,360})</f>
        <v>360</v>
      </c>
      <c r="D10" s="105">
        <f t="shared" si="0"/>
        <v>360</v>
      </c>
      <c r="E10" s="105">
        <f t="shared" si="0"/>
        <v>360</v>
      </c>
      <c r="F10" s="105">
        <f t="shared" si="0"/>
        <v>360</v>
      </c>
      <c r="G10" s="105">
        <f t="shared" si="0"/>
        <v>360</v>
      </c>
      <c r="H10" s="105">
        <f t="shared" si="0"/>
        <v>360</v>
      </c>
      <c r="I10" s="105">
        <f t="shared" si="0"/>
        <v>360</v>
      </c>
      <c r="J10" s="125">
        <f t="shared" si="0"/>
        <v>360</v>
      </c>
    </row>
    <row r="11" spans="1:10" ht="20.100000000000001" customHeight="1" x14ac:dyDescent="0.15">
      <c r="A11" s="810"/>
      <c r="B11" s="104" t="s">
        <v>1357</v>
      </c>
      <c r="C11" s="105">
        <f>LOOKUP(C6,{"HPB235","HRB335","HRB400"},{210,300,360})</f>
        <v>360</v>
      </c>
      <c r="D11" s="105">
        <f t="shared" si="0"/>
        <v>360</v>
      </c>
      <c r="E11" s="105">
        <f t="shared" si="0"/>
        <v>360</v>
      </c>
      <c r="F11" s="105">
        <f t="shared" si="0"/>
        <v>360</v>
      </c>
      <c r="G11" s="105">
        <f t="shared" si="0"/>
        <v>360</v>
      </c>
      <c r="H11" s="105">
        <f t="shared" si="0"/>
        <v>360</v>
      </c>
      <c r="I11" s="105">
        <f t="shared" si="0"/>
        <v>360</v>
      </c>
      <c r="J11" s="125">
        <f t="shared" si="0"/>
        <v>360</v>
      </c>
    </row>
    <row r="12" spans="1:10" ht="20.100000000000001" customHeight="1" x14ac:dyDescent="0.15">
      <c r="A12" s="810"/>
      <c r="B12" s="97" t="s">
        <v>1358</v>
      </c>
      <c r="C12" s="106">
        <v>3.5000000000000003E-2</v>
      </c>
      <c r="D12" s="107">
        <f t="shared" si="0"/>
        <v>3.5000000000000003E-2</v>
      </c>
      <c r="E12" s="107">
        <f t="shared" si="0"/>
        <v>3.5000000000000003E-2</v>
      </c>
      <c r="F12" s="107">
        <f t="shared" si="0"/>
        <v>3.5000000000000003E-2</v>
      </c>
      <c r="G12" s="107">
        <f t="shared" si="0"/>
        <v>3.5000000000000003E-2</v>
      </c>
      <c r="H12" s="107">
        <f t="shared" si="0"/>
        <v>3.5000000000000003E-2</v>
      </c>
      <c r="I12" s="107">
        <f t="shared" si="0"/>
        <v>3.5000000000000003E-2</v>
      </c>
      <c r="J12" s="126">
        <f t="shared" si="0"/>
        <v>3.5000000000000003E-2</v>
      </c>
    </row>
    <row r="13" spans="1:10" ht="20.100000000000001" customHeight="1" x14ac:dyDescent="0.15">
      <c r="A13" s="810"/>
      <c r="B13" s="97" t="s">
        <v>1359</v>
      </c>
      <c r="C13" s="107">
        <f>C12</f>
        <v>3.5000000000000003E-2</v>
      </c>
      <c r="D13" s="107">
        <f t="shared" si="0"/>
        <v>3.5000000000000003E-2</v>
      </c>
      <c r="E13" s="107">
        <f t="shared" si="0"/>
        <v>3.5000000000000003E-2</v>
      </c>
      <c r="F13" s="107">
        <f t="shared" si="0"/>
        <v>3.5000000000000003E-2</v>
      </c>
      <c r="G13" s="107">
        <f t="shared" si="0"/>
        <v>3.5000000000000003E-2</v>
      </c>
      <c r="H13" s="107">
        <f t="shared" si="0"/>
        <v>3.5000000000000003E-2</v>
      </c>
      <c r="I13" s="107">
        <f t="shared" si="0"/>
        <v>3.5000000000000003E-2</v>
      </c>
      <c r="J13" s="126">
        <f t="shared" si="0"/>
        <v>3.5000000000000003E-2</v>
      </c>
    </row>
    <row r="14" spans="1:10" ht="20.100000000000001" customHeight="1" x14ac:dyDescent="0.15">
      <c r="A14" s="810"/>
      <c r="B14" s="104" t="s">
        <v>1360</v>
      </c>
      <c r="C14" s="107">
        <f>0.8/(1+C10/(0.00033*C9))</f>
        <v>0.123943661971831</v>
      </c>
      <c r="D14" s="107">
        <f t="shared" si="0"/>
        <v>0.123943661971831</v>
      </c>
      <c r="E14" s="107">
        <f t="shared" si="0"/>
        <v>0.123943661971831</v>
      </c>
      <c r="F14" s="107">
        <f t="shared" si="0"/>
        <v>0.123943661971831</v>
      </c>
      <c r="G14" s="107">
        <f t="shared" si="0"/>
        <v>0.123943661971831</v>
      </c>
      <c r="H14" s="107">
        <f t="shared" si="0"/>
        <v>0.123943661971831</v>
      </c>
      <c r="I14" s="107">
        <f t="shared" si="0"/>
        <v>0.123943661971831</v>
      </c>
      <c r="J14" s="126">
        <f t="shared" si="0"/>
        <v>0.123943661971831</v>
      </c>
    </row>
    <row r="15" spans="1:10" ht="20.100000000000001" customHeight="1" x14ac:dyDescent="0.15">
      <c r="A15" s="810"/>
      <c r="B15" s="565" t="s">
        <v>1564</v>
      </c>
      <c r="C15" s="108" t="s">
        <v>1361</v>
      </c>
      <c r="D15" s="108" t="s">
        <v>1361</v>
      </c>
      <c r="E15" s="108" t="s">
        <v>1361</v>
      </c>
      <c r="F15" s="108" t="s">
        <v>1361</v>
      </c>
      <c r="G15" s="108" t="s">
        <v>1361</v>
      </c>
      <c r="H15" s="108" t="s">
        <v>1361</v>
      </c>
      <c r="I15" s="108" t="s">
        <v>1361</v>
      </c>
      <c r="J15" s="108" t="s">
        <v>1361</v>
      </c>
    </row>
    <row r="16" spans="1:10" ht="20.100000000000001" customHeight="1" x14ac:dyDescent="0.15">
      <c r="A16" s="810"/>
      <c r="B16" s="104" t="s">
        <v>1362</v>
      </c>
      <c r="C16" s="107">
        <v>1860</v>
      </c>
      <c r="D16" s="107">
        <f>$C16</f>
        <v>1860</v>
      </c>
      <c r="E16" s="107">
        <f t="shared" si="0"/>
        <v>1860</v>
      </c>
      <c r="F16" s="107">
        <f t="shared" si="0"/>
        <v>1860</v>
      </c>
      <c r="G16" s="107">
        <f t="shared" si="0"/>
        <v>1860</v>
      </c>
      <c r="H16" s="107">
        <f t="shared" si="0"/>
        <v>1860</v>
      </c>
      <c r="I16" s="107">
        <f t="shared" si="0"/>
        <v>1860</v>
      </c>
      <c r="J16" s="107">
        <f t="shared" si="0"/>
        <v>1860</v>
      </c>
    </row>
    <row r="17" spans="1:10" ht="20.100000000000001" customHeight="1" x14ac:dyDescent="0.15">
      <c r="A17" s="810"/>
      <c r="B17" s="104" t="s">
        <v>1363</v>
      </c>
      <c r="C17" s="107">
        <v>1320</v>
      </c>
      <c r="D17" s="107">
        <f t="shared" ref="D17:J20" si="1">$C17</f>
        <v>1320</v>
      </c>
      <c r="E17" s="107">
        <f t="shared" si="1"/>
        <v>1320</v>
      </c>
      <c r="F17" s="107">
        <f t="shared" si="1"/>
        <v>1320</v>
      </c>
      <c r="G17" s="107">
        <f t="shared" si="1"/>
        <v>1320</v>
      </c>
      <c r="H17" s="107">
        <f t="shared" si="1"/>
        <v>1320</v>
      </c>
      <c r="I17" s="107">
        <f t="shared" si="1"/>
        <v>1320</v>
      </c>
      <c r="J17" s="107">
        <f t="shared" si="1"/>
        <v>1320</v>
      </c>
    </row>
    <row r="18" spans="1:10" ht="20.100000000000001" customHeight="1" x14ac:dyDescent="0.15">
      <c r="A18" s="810"/>
      <c r="B18" s="104" t="s">
        <v>1364</v>
      </c>
      <c r="C18" s="107">
        <v>390</v>
      </c>
      <c r="D18" s="107">
        <f t="shared" si="1"/>
        <v>390</v>
      </c>
      <c r="E18" s="107">
        <f t="shared" si="1"/>
        <v>390</v>
      </c>
      <c r="F18" s="107">
        <f t="shared" si="1"/>
        <v>390</v>
      </c>
      <c r="G18" s="107">
        <f t="shared" si="1"/>
        <v>390</v>
      </c>
      <c r="H18" s="107">
        <f t="shared" si="1"/>
        <v>390</v>
      </c>
      <c r="I18" s="107">
        <f t="shared" si="1"/>
        <v>390</v>
      </c>
      <c r="J18" s="107">
        <f t="shared" si="1"/>
        <v>390</v>
      </c>
    </row>
    <row r="19" spans="1:10" ht="20.100000000000001" customHeight="1" x14ac:dyDescent="0.15">
      <c r="A19" s="810"/>
      <c r="B19" s="104" t="s">
        <v>1365</v>
      </c>
      <c r="C19" s="107">
        <v>195000</v>
      </c>
      <c r="D19" s="107">
        <f t="shared" si="1"/>
        <v>195000</v>
      </c>
      <c r="E19" s="107">
        <f t="shared" si="1"/>
        <v>195000</v>
      </c>
      <c r="F19" s="107">
        <f t="shared" si="1"/>
        <v>195000</v>
      </c>
      <c r="G19" s="107">
        <f t="shared" si="1"/>
        <v>195000</v>
      </c>
      <c r="H19" s="107">
        <f t="shared" si="1"/>
        <v>195000</v>
      </c>
      <c r="I19" s="107">
        <f t="shared" si="1"/>
        <v>195000</v>
      </c>
      <c r="J19" s="107">
        <f t="shared" si="1"/>
        <v>195000</v>
      </c>
    </row>
    <row r="20" spans="1:10" ht="20.100000000000001" customHeight="1" x14ac:dyDescent="0.15">
      <c r="A20" s="811"/>
      <c r="B20" s="104" t="s">
        <v>1360</v>
      </c>
      <c r="C20" s="107">
        <v>0.4244</v>
      </c>
      <c r="D20" s="107">
        <f t="shared" si="1"/>
        <v>0.4244</v>
      </c>
      <c r="E20" s="107">
        <f t="shared" si="1"/>
        <v>0.4244</v>
      </c>
      <c r="F20" s="107">
        <f t="shared" si="1"/>
        <v>0.4244</v>
      </c>
      <c r="G20" s="107">
        <f t="shared" si="1"/>
        <v>0.4244</v>
      </c>
      <c r="H20" s="107">
        <f t="shared" si="1"/>
        <v>0.4244</v>
      </c>
      <c r="I20" s="107">
        <f t="shared" si="1"/>
        <v>0.4244</v>
      </c>
      <c r="J20" s="126">
        <f t="shared" si="1"/>
        <v>0.4244</v>
      </c>
    </row>
    <row r="21" spans="1:10" ht="20.100000000000001" customHeight="1" x14ac:dyDescent="0.15">
      <c r="A21" s="812" t="s">
        <v>1366</v>
      </c>
      <c r="B21" s="104" t="s">
        <v>1367</v>
      </c>
      <c r="C21" s="109">
        <v>1</v>
      </c>
      <c r="D21" s="109">
        <v>2</v>
      </c>
      <c r="E21" s="109">
        <v>3</v>
      </c>
      <c r="F21" s="109">
        <v>4</v>
      </c>
      <c r="G21" s="109">
        <v>5</v>
      </c>
      <c r="H21" s="109">
        <v>6</v>
      </c>
      <c r="I21" s="109">
        <v>7</v>
      </c>
      <c r="J21" s="109">
        <v>8</v>
      </c>
    </row>
    <row r="22" spans="1:10" ht="20.100000000000001" customHeight="1" x14ac:dyDescent="0.15">
      <c r="A22" s="813"/>
      <c r="B22" s="99" t="s">
        <v>1368</v>
      </c>
      <c r="C22" s="18" t="s">
        <v>1369</v>
      </c>
      <c r="D22" s="18" t="s">
        <v>1369</v>
      </c>
      <c r="E22" s="18" t="s">
        <v>1369</v>
      </c>
      <c r="F22" s="18" t="s">
        <v>1369</v>
      </c>
      <c r="G22" s="18" t="s">
        <v>1370</v>
      </c>
      <c r="H22" s="18" t="s">
        <v>1369</v>
      </c>
      <c r="I22" s="18" t="s">
        <v>1369</v>
      </c>
      <c r="J22" s="18" t="s">
        <v>1369</v>
      </c>
    </row>
    <row r="23" spans="1:10" ht="20.100000000000001" customHeight="1" x14ac:dyDescent="0.15">
      <c r="A23" s="813"/>
      <c r="B23" s="97" t="s">
        <v>1371</v>
      </c>
      <c r="C23" s="110">
        <v>3.4</v>
      </c>
      <c r="D23" s="110">
        <v>0.35</v>
      </c>
      <c r="E23" s="110">
        <v>0.35</v>
      </c>
      <c r="F23" s="110">
        <v>0.35</v>
      </c>
      <c r="G23" s="110">
        <v>0.56999999999999995</v>
      </c>
      <c r="H23" s="111">
        <v>1.1499999999999999</v>
      </c>
      <c r="I23" s="110">
        <v>1</v>
      </c>
      <c r="J23" s="110">
        <v>0.35</v>
      </c>
    </row>
    <row r="24" spans="1:10" ht="20.100000000000001" customHeight="1" x14ac:dyDescent="0.15">
      <c r="A24" s="813"/>
      <c r="B24" s="97" t="s">
        <v>1372</v>
      </c>
      <c r="C24" s="110">
        <v>0.6</v>
      </c>
      <c r="D24" s="110">
        <v>1</v>
      </c>
      <c r="E24" s="110">
        <v>1</v>
      </c>
      <c r="F24" s="110">
        <v>1</v>
      </c>
      <c r="G24" s="110">
        <v>1</v>
      </c>
      <c r="H24" s="110">
        <v>1</v>
      </c>
      <c r="I24" s="110">
        <v>1</v>
      </c>
      <c r="J24" s="110">
        <v>1</v>
      </c>
    </row>
    <row r="25" spans="1:10" ht="20.100000000000001" customHeight="1" x14ac:dyDescent="0.15">
      <c r="A25" s="813"/>
      <c r="B25" s="97" t="s">
        <v>1373</v>
      </c>
      <c r="C25" s="110">
        <v>0.8</v>
      </c>
      <c r="D25" s="110">
        <f t="shared" ref="D25:J25" si="2">IF(D22="矩形",D24,"请输入")</f>
        <v>1</v>
      </c>
      <c r="E25" s="110">
        <f t="shared" si="2"/>
        <v>1</v>
      </c>
      <c r="F25" s="110">
        <f t="shared" si="2"/>
        <v>1</v>
      </c>
      <c r="G25" s="110" t="str">
        <f t="shared" si="2"/>
        <v>请输入</v>
      </c>
      <c r="H25" s="110">
        <f t="shared" si="2"/>
        <v>1</v>
      </c>
      <c r="I25" s="110">
        <f t="shared" si="2"/>
        <v>1</v>
      </c>
      <c r="J25" s="110">
        <f t="shared" si="2"/>
        <v>1</v>
      </c>
    </row>
    <row r="26" spans="1:10" ht="20.100000000000001" customHeight="1" x14ac:dyDescent="0.15">
      <c r="A26" s="814"/>
      <c r="B26" s="97" t="s">
        <v>1374</v>
      </c>
      <c r="C26" s="110">
        <v>0.8</v>
      </c>
      <c r="D26" s="110"/>
      <c r="E26" s="110"/>
      <c r="F26" s="110"/>
      <c r="G26" s="110"/>
      <c r="H26" s="110"/>
      <c r="I26" s="110"/>
      <c r="J26" s="110"/>
    </row>
    <row r="27" spans="1:10" ht="20.100000000000001" customHeight="1" x14ac:dyDescent="0.15">
      <c r="A27" s="801" t="s">
        <v>1375</v>
      </c>
      <c r="B27" s="112" t="s">
        <v>1376</v>
      </c>
      <c r="C27" s="113">
        <v>5040</v>
      </c>
      <c r="D27" s="113"/>
      <c r="E27" s="113"/>
      <c r="F27" s="113"/>
      <c r="G27" s="113"/>
      <c r="H27" s="113"/>
      <c r="I27" s="113"/>
      <c r="J27" s="127"/>
    </row>
    <row r="28" spans="1:10" ht="20.100000000000001" customHeight="1" x14ac:dyDescent="0.15">
      <c r="A28" s="801"/>
      <c r="B28" s="112" t="s">
        <v>1377</v>
      </c>
      <c r="C28" s="113">
        <v>1680</v>
      </c>
      <c r="D28" s="113"/>
      <c r="E28" s="113"/>
      <c r="F28" s="113"/>
      <c r="G28" s="113"/>
      <c r="H28" s="113"/>
      <c r="I28" s="113"/>
      <c r="J28" s="127"/>
    </row>
    <row r="29" spans="1:10" ht="20.100000000000001" customHeight="1" x14ac:dyDescent="0.15">
      <c r="A29" s="801"/>
      <c r="B29" s="112" t="s">
        <v>1378</v>
      </c>
      <c r="C29" s="113">
        <v>1680</v>
      </c>
      <c r="D29" s="113"/>
      <c r="E29" s="113"/>
      <c r="F29" s="113"/>
      <c r="G29" s="113"/>
      <c r="H29" s="113"/>
      <c r="I29" s="113"/>
      <c r="J29" s="127"/>
    </row>
    <row r="30" spans="1:10" ht="20.100000000000001" customHeight="1" x14ac:dyDescent="0.15">
      <c r="A30" s="801"/>
      <c r="B30" s="112" t="s">
        <v>1379</v>
      </c>
      <c r="C30" s="113">
        <v>0.4</v>
      </c>
      <c r="D30" s="113"/>
      <c r="E30" s="113"/>
      <c r="F30" s="113"/>
      <c r="G30" s="113"/>
      <c r="H30" s="113"/>
      <c r="I30" s="113"/>
      <c r="J30" s="127"/>
    </row>
    <row r="31" spans="1:10" ht="20.100000000000001" customHeight="1" x14ac:dyDescent="0.15">
      <c r="A31" s="801"/>
      <c r="B31" s="112" t="s">
        <v>1380</v>
      </c>
      <c r="C31" s="113">
        <v>15708</v>
      </c>
      <c r="D31" s="113"/>
      <c r="E31" s="113"/>
      <c r="F31" s="113"/>
      <c r="G31" s="113"/>
      <c r="H31" s="113"/>
      <c r="I31" s="113"/>
      <c r="J31" s="127"/>
    </row>
    <row r="32" spans="1:10" ht="20.100000000000001" customHeight="1" x14ac:dyDescent="0.15">
      <c r="A32" s="801"/>
      <c r="B32" s="112" t="s">
        <v>1381</v>
      </c>
      <c r="C32" s="113">
        <v>8042.5</v>
      </c>
      <c r="D32" s="113"/>
      <c r="E32" s="113"/>
      <c r="F32" s="113"/>
      <c r="G32" s="113"/>
      <c r="H32" s="113"/>
      <c r="I32" s="113"/>
      <c r="J32" s="127"/>
    </row>
    <row r="33" spans="1:10" ht="20.100000000000001" customHeight="1" x14ac:dyDescent="0.15">
      <c r="A33" s="802" t="s">
        <v>1382</v>
      </c>
      <c r="B33" s="99" t="s">
        <v>1383</v>
      </c>
      <c r="C33" s="114">
        <v>12000</v>
      </c>
      <c r="D33" s="114"/>
      <c r="E33" s="114"/>
      <c r="F33" s="114"/>
      <c r="G33" s="114"/>
      <c r="H33" s="114"/>
      <c r="I33" s="114"/>
      <c r="J33" s="114"/>
    </row>
    <row r="34" spans="1:10" ht="20.100000000000001" customHeight="1" x14ac:dyDescent="0.15">
      <c r="A34" s="802"/>
      <c r="B34" s="99" t="s">
        <v>1384</v>
      </c>
      <c r="C34" s="114">
        <v>900</v>
      </c>
      <c r="D34" s="114"/>
      <c r="E34" s="114"/>
      <c r="F34" s="114"/>
      <c r="G34" s="114"/>
      <c r="H34" s="114"/>
      <c r="I34" s="114"/>
      <c r="J34" s="114"/>
    </row>
    <row r="35" spans="1:10" x14ac:dyDescent="0.15">
      <c r="A35" s="802"/>
      <c r="B35" s="99" t="s">
        <v>1385</v>
      </c>
      <c r="C35" s="114">
        <v>150</v>
      </c>
      <c r="D35" s="114"/>
      <c r="E35" s="114"/>
      <c r="F35" s="114"/>
      <c r="G35" s="114"/>
      <c r="H35" s="114"/>
      <c r="I35" s="114"/>
      <c r="J35" s="114"/>
    </row>
    <row r="36" spans="1:10" x14ac:dyDescent="0.15">
      <c r="A36" s="802" t="s">
        <v>1386</v>
      </c>
      <c r="B36" s="115" t="s">
        <v>1387</v>
      </c>
      <c r="C36" s="113">
        <v>1152.45</v>
      </c>
      <c r="D36" s="113"/>
      <c r="E36" s="113"/>
      <c r="F36" s="113"/>
      <c r="G36" s="113"/>
      <c r="H36" s="113"/>
      <c r="I36" s="113"/>
      <c r="J36" s="113"/>
    </row>
    <row r="37" spans="1:10" x14ac:dyDescent="0.15">
      <c r="A37" s="802"/>
      <c r="B37" s="116" t="s">
        <v>1388</v>
      </c>
      <c r="C37" s="107">
        <f>(C17*(C27+C28)+C10*C31-C11*C32+(C36-C18)*C29)/C7/C25/10^6</f>
        <v>0.76486350710900464</v>
      </c>
      <c r="D37" s="107"/>
      <c r="E37" s="107"/>
      <c r="F37" s="107"/>
      <c r="G37" s="107"/>
      <c r="H37" s="107"/>
      <c r="I37" s="107"/>
      <c r="J37" s="107"/>
    </row>
    <row r="38" spans="1:10" x14ac:dyDescent="0.15">
      <c r="A38" s="802"/>
      <c r="B38" s="116" t="s">
        <v>1389</v>
      </c>
      <c r="C38" s="107" t="str">
        <f>IF(C22="矩形","矩形",IF(C37&lt;C26,"第一类T形","第二类T形"))</f>
        <v>矩形</v>
      </c>
      <c r="D38" s="107"/>
      <c r="E38" s="107"/>
      <c r="F38" s="107"/>
      <c r="G38" s="107"/>
      <c r="H38" s="107"/>
      <c r="I38" s="107"/>
      <c r="J38" s="107"/>
    </row>
    <row r="39" spans="1:10" ht="14.25" x14ac:dyDescent="0.15">
      <c r="A39" s="802"/>
      <c r="B39" s="69" t="s">
        <v>1390</v>
      </c>
      <c r="C39" s="107">
        <f>C23-C12</f>
        <v>3.3649999999999998</v>
      </c>
      <c r="D39" s="107"/>
      <c r="E39" s="107"/>
      <c r="F39" s="107"/>
      <c r="G39" s="107"/>
      <c r="H39" s="107"/>
      <c r="I39" s="107"/>
      <c r="J39" s="107"/>
    </row>
    <row r="40" spans="1:10" ht="14.25" x14ac:dyDescent="0.15">
      <c r="A40" s="802"/>
      <c r="B40" s="117" t="s">
        <v>1391</v>
      </c>
      <c r="C40" s="118">
        <f>0.85*C20*C39</f>
        <v>1.2138901</v>
      </c>
      <c r="D40" s="118"/>
      <c r="E40" s="118"/>
      <c r="F40" s="118"/>
      <c r="G40" s="118"/>
      <c r="H40" s="118"/>
      <c r="I40" s="118"/>
      <c r="J40" s="118"/>
    </row>
    <row r="41" spans="1:10" x14ac:dyDescent="0.15">
      <c r="A41" s="802"/>
      <c r="B41" s="117" t="s">
        <v>1392</v>
      </c>
      <c r="C41" s="107">
        <f>C13*2</f>
        <v>7.0000000000000007E-2</v>
      </c>
      <c r="D41" s="107"/>
      <c r="E41" s="107"/>
      <c r="F41" s="107"/>
      <c r="G41" s="107"/>
      <c r="H41" s="107"/>
      <c r="I41" s="107"/>
      <c r="J41" s="107"/>
    </row>
    <row r="42" spans="1:10" x14ac:dyDescent="0.15">
      <c r="A42" s="802"/>
      <c r="B42" s="119" t="s">
        <v>1393</v>
      </c>
      <c r="C42" s="118">
        <f>IF(C38="第二类T形",(C17*(C27+C28)+C10*C31-C11*C32+(C36-C18)*C29-C7*(C25-C24)*C26)/C7/C24/10^6,C37)</f>
        <v>0.76486350710900464</v>
      </c>
      <c r="D42" s="118"/>
      <c r="E42" s="118"/>
      <c r="F42" s="118"/>
      <c r="G42" s="118"/>
      <c r="H42" s="118"/>
      <c r="I42" s="118"/>
      <c r="J42" s="118"/>
    </row>
    <row r="43" spans="1:10" x14ac:dyDescent="0.15">
      <c r="A43" s="802"/>
      <c r="B43" s="119" t="s">
        <v>1394</v>
      </c>
      <c r="C43" s="120" t="str">
        <f>IF(AND(C42&lt;C40,C42&gt;C41),"Yes","NO")</f>
        <v>Yes</v>
      </c>
      <c r="D43" s="118"/>
      <c r="E43" s="118"/>
      <c r="F43" s="118"/>
      <c r="G43" s="118"/>
      <c r="H43" s="118"/>
      <c r="I43" s="118"/>
      <c r="J43" s="118"/>
    </row>
    <row r="44" spans="1:10" x14ac:dyDescent="0.15">
      <c r="A44" s="802"/>
      <c r="B44" s="119" t="s">
        <v>1395</v>
      </c>
      <c r="C44" s="118">
        <f>IF(C38="第二类T形",C7*C24*C42*(C39-C42/2)*1000+C7*(C25-C24)*C26*(C39-C26/2)*1000+C11*C32*(C39-C13)/1000-(C36-C18)*C29*(C39-C30)/1000,IF(C38="矩形",C7*C24*C42*(C39-C42/2)*1000+C11*C32*(C39-C13)/1000-(C36-C18)*C29*(C39-C30)/1000,C7*C25*C42*(C39-C42/2)*1000+C11*C32*(C39-C13)/1000-(C36-C18)*C29*(C39-C30)/1000))</f>
        <v>34724.154392070137</v>
      </c>
      <c r="D44" s="118"/>
      <c r="E44" s="118"/>
      <c r="F44" s="107"/>
      <c r="G44" s="118"/>
      <c r="H44" s="118"/>
      <c r="I44" s="118"/>
      <c r="J44" s="118"/>
    </row>
    <row r="45" spans="1:10" ht="14.25" x14ac:dyDescent="0.15">
      <c r="A45" s="802"/>
      <c r="B45" s="119" t="s">
        <v>1176</v>
      </c>
      <c r="C45" s="118">
        <f>IF(G22="矩形",C39,C39-C26)</f>
        <v>2.5649999999999995</v>
      </c>
      <c r="D45" s="118"/>
      <c r="E45" s="118"/>
      <c r="F45" s="118"/>
      <c r="G45" s="118"/>
      <c r="H45" s="118"/>
      <c r="I45" s="118"/>
      <c r="J45" s="118"/>
    </row>
    <row r="46" spans="1:10" x14ac:dyDescent="0.15">
      <c r="A46" s="802"/>
      <c r="B46" s="119" t="s">
        <v>1177</v>
      </c>
      <c r="C46" s="107">
        <f>C24</f>
        <v>0.6</v>
      </c>
      <c r="D46" s="107"/>
      <c r="E46" s="107"/>
      <c r="F46" s="107"/>
      <c r="G46" s="107"/>
      <c r="H46" s="107"/>
      <c r="I46" s="107"/>
      <c r="J46" s="107"/>
    </row>
    <row r="47" spans="1:10" ht="14.25" x14ac:dyDescent="0.15">
      <c r="A47" s="802"/>
      <c r="B47" s="117" t="s">
        <v>1396</v>
      </c>
      <c r="C47" s="107">
        <f>C45/C46</f>
        <v>4.2749999999999995</v>
      </c>
      <c r="D47" s="107"/>
      <c r="E47" s="107"/>
      <c r="F47" s="107"/>
      <c r="G47" s="107"/>
      <c r="H47" s="107"/>
      <c r="I47" s="107"/>
      <c r="J47" s="107"/>
    </row>
    <row r="48" spans="1:10" ht="14.25" x14ac:dyDescent="0.15">
      <c r="A48" s="802"/>
      <c r="B48" s="117" t="s">
        <v>1397</v>
      </c>
      <c r="C48" s="107">
        <f>(IF(C47&lt;4,0.25,IF(D321&lt;6,((0.25-0.2)/(4-6)*(C47-4)+0.25),0.2)))*C46*C7*C39*1000</f>
        <v>10357.343812499999</v>
      </c>
      <c r="D48" s="107"/>
      <c r="E48" s="107"/>
      <c r="F48" s="107"/>
      <c r="G48" s="107"/>
      <c r="H48" s="107"/>
      <c r="I48" s="107"/>
      <c r="J48" s="107"/>
    </row>
    <row r="49" spans="1:10" x14ac:dyDescent="0.15">
      <c r="A49" s="802"/>
      <c r="B49" s="116" t="s">
        <v>1398</v>
      </c>
      <c r="C49" s="107" t="str">
        <f>IF(C48&gt;C4*C35,"Yes","NO")</f>
        <v>Yes</v>
      </c>
      <c r="D49" s="107"/>
      <c r="E49" s="107"/>
      <c r="F49" s="107"/>
      <c r="G49" s="107"/>
      <c r="H49" s="107"/>
      <c r="I49" s="107"/>
      <c r="J49" s="107"/>
    </row>
    <row r="50" spans="1:10" ht="14.25" x14ac:dyDescent="0.15">
      <c r="A50" s="802"/>
      <c r="B50" s="116" t="s">
        <v>1181</v>
      </c>
      <c r="C50" s="107">
        <f>0.7*C8*C24*C39*1000</f>
        <v>2416.7429999999995</v>
      </c>
      <c r="D50" s="107"/>
      <c r="E50" s="107"/>
      <c r="F50" s="107"/>
      <c r="G50" s="107"/>
      <c r="H50" s="107"/>
      <c r="I50" s="107"/>
      <c r="J50" s="107"/>
    </row>
    <row r="51" spans="1:10" ht="14.25" x14ac:dyDescent="0.15">
      <c r="A51" s="802"/>
      <c r="B51" s="116" t="s">
        <v>334</v>
      </c>
      <c r="C51" s="107">
        <f>'part2-预应力损失估算'!$D$49/1000</f>
        <v>8301.7572844845363</v>
      </c>
      <c r="D51" s="107"/>
      <c r="E51" s="107"/>
      <c r="F51" s="107"/>
      <c r="G51" s="107"/>
      <c r="H51" s="107"/>
      <c r="I51" s="107"/>
      <c r="J51" s="107"/>
    </row>
    <row r="52" spans="1:10" ht="14.25" x14ac:dyDescent="0.15">
      <c r="A52" s="802"/>
      <c r="B52" s="121" t="s">
        <v>1399</v>
      </c>
      <c r="C52" s="107">
        <f>0.3*C7*C24*C23*1000</f>
        <v>12913.199999999999</v>
      </c>
      <c r="D52" s="107"/>
      <c r="E52" s="107"/>
      <c r="F52" s="107"/>
      <c r="G52" s="107"/>
      <c r="H52" s="107"/>
      <c r="I52" s="107"/>
      <c r="J52" s="107"/>
    </row>
    <row r="53" spans="1:10" ht="14.25" x14ac:dyDescent="0.15">
      <c r="A53" s="802"/>
      <c r="B53" s="121" t="s">
        <v>1400</v>
      </c>
      <c r="C53" s="107">
        <f>IF(C51&gt;C52,C52,C51)</f>
        <v>8301.7572844845363</v>
      </c>
      <c r="D53" s="107"/>
      <c r="E53" s="107"/>
      <c r="F53" s="107"/>
      <c r="G53" s="107"/>
      <c r="H53" s="107"/>
      <c r="I53" s="107"/>
      <c r="J53" s="107"/>
    </row>
    <row r="54" spans="1:10" ht="14.25" x14ac:dyDescent="0.15">
      <c r="A54" s="802"/>
      <c r="B54" s="116" t="s">
        <v>1184</v>
      </c>
      <c r="C54" s="107">
        <f>0.05*C53</f>
        <v>415.08786422422685</v>
      </c>
      <c r="D54" s="107"/>
      <c r="E54" s="107"/>
      <c r="F54" s="107"/>
      <c r="G54" s="107"/>
      <c r="H54" s="107"/>
      <c r="I54" s="107"/>
      <c r="J54" s="107"/>
    </row>
    <row r="55" spans="1:10" x14ac:dyDescent="0.15">
      <c r="A55" s="802"/>
      <c r="B55" s="69" t="s">
        <v>339</v>
      </c>
      <c r="C55" s="107">
        <f>C50+C54</f>
        <v>2831.8308642242264</v>
      </c>
      <c r="D55" s="107"/>
      <c r="E55" s="107"/>
      <c r="F55" s="107"/>
      <c r="G55" s="107"/>
      <c r="H55" s="107"/>
      <c r="I55" s="107"/>
      <c r="J55" s="107"/>
    </row>
    <row r="56" spans="1:10" x14ac:dyDescent="0.15">
      <c r="A56" s="802"/>
      <c r="B56" s="116" t="s">
        <v>1401</v>
      </c>
      <c r="C56" s="107" t="str">
        <f>IF(C55&lt;C35,"按计算配箍","按构造配箍")</f>
        <v>按构造配箍</v>
      </c>
      <c r="D56" s="107"/>
      <c r="E56" s="107"/>
      <c r="F56" s="107"/>
      <c r="G56" s="107"/>
      <c r="H56" s="107"/>
      <c r="I56" s="107"/>
      <c r="J56" s="107"/>
    </row>
    <row r="57" spans="1:10" x14ac:dyDescent="0.15">
      <c r="A57" s="802"/>
      <c r="B57" s="116" t="s">
        <v>1186</v>
      </c>
      <c r="C57" s="107">
        <v>14</v>
      </c>
      <c r="D57" s="107"/>
      <c r="E57" s="107"/>
      <c r="F57" s="107"/>
      <c r="G57" s="107"/>
      <c r="H57" s="107"/>
      <c r="I57" s="107"/>
      <c r="J57" s="107"/>
    </row>
    <row r="58" spans="1:10" ht="14.25" x14ac:dyDescent="0.15">
      <c r="A58" s="802"/>
      <c r="B58" s="116" t="s">
        <v>1187</v>
      </c>
      <c r="C58" s="107">
        <f>1/4*PI()*C57^2</f>
        <v>153.93804002589985</v>
      </c>
      <c r="D58" s="107"/>
      <c r="E58" s="107"/>
      <c r="F58" s="107"/>
      <c r="G58" s="107"/>
      <c r="H58" s="107"/>
      <c r="I58" s="107"/>
      <c r="J58" s="107"/>
    </row>
    <row r="59" spans="1:10" ht="14.25" x14ac:dyDescent="0.15">
      <c r="A59" s="802"/>
      <c r="B59" s="116" t="s">
        <v>1189</v>
      </c>
      <c r="C59" s="107">
        <v>4</v>
      </c>
      <c r="D59" s="107"/>
      <c r="E59" s="107"/>
      <c r="F59" s="107"/>
      <c r="G59" s="107"/>
      <c r="H59" s="107"/>
      <c r="I59" s="107"/>
      <c r="J59" s="107"/>
    </row>
    <row r="60" spans="1:10" ht="14.25" x14ac:dyDescent="0.15">
      <c r="A60" s="802"/>
      <c r="B60" s="121" t="s">
        <v>1402</v>
      </c>
      <c r="C60" s="107">
        <f>C58*C59</f>
        <v>615.75216010359941</v>
      </c>
      <c r="D60" s="107"/>
      <c r="E60" s="107"/>
      <c r="F60" s="107"/>
      <c r="G60" s="107"/>
      <c r="H60" s="107"/>
      <c r="I60" s="107"/>
      <c r="J60" s="107"/>
    </row>
    <row r="61" spans="1:10" x14ac:dyDescent="0.15">
      <c r="A61" s="802"/>
      <c r="B61" s="115" t="s">
        <v>1191</v>
      </c>
      <c r="C61" s="107">
        <v>200</v>
      </c>
      <c r="D61" s="107"/>
      <c r="E61" s="107"/>
      <c r="F61" s="107"/>
      <c r="G61" s="107"/>
      <c r="H61" s="107"/>
      <c r="I61" s="107"/>
      <c r="J61" s="107"/>
    </row>
    <row r="62" spans="1:10" ht="14.25" x14ac:dyDescent="0.15">
      <c r="A62" s="802"/>
      <c r="B62" s="116" t="s">
        <v>1403</v>
      </c>
      <c r="C62" s="107">
        <v>300</v>
      </c>
      <c r="D62" s="107"/>
      <c r="E62" s="107"/>
      <c r="F62" s="107"/>
      <c r="G62" s="107"/>
      <c r="H62" s="107"/>
      <c r="I62" s="107"/>
      <c r="J62" s="107"/>
    </row>
    <row r="63" spans="1:10" ht="14.25" x14ac:dyDescent="0.15">
      <c r="A63" s="802"/>
      <c r="B63" s="116" t="s">
        <v>1193</v>
      </c>
      <c r="C63" s="107">
        <f>1.25*C62*C60*C39/C61</f>
        <v>3885.0112851536473</v>
      </c>
      <c r="D63" s="107"/>
      <c r="E63" s="107"/>
      <c r="F63" s="107"/>
      <c r="G63" s="107"/>
      <c r="H63" s="107"/>
      <c r="I63" s="107"/>
      <c r="J63" s="107"/>
    </row>
    <row r="64" spans="1:10" x14ac:dyDescent="0.15">
      <c r="A64" s="802"/>
      <c r="B64" s="115" t="s">
        <v>1404</v>
      </c>
      <c r="C64" s="107">
        <f>C55+C63</f>
        <v>6716.8421493778733</v>
      </c>
      <c r="D64" s="107"/>
      <c r="E64" s="107"/>
      <c r="F64" s="107"/>
      <c r="G64" s="107"/>
      <c r="H64" s="107"/>
      <c r="I64" s="107"/>
      <c r="J64" s="107"/>
    </row>
    <row r="65" spans="1:10" x14ac:dyDescent="0.15">
      <c r="A65" s="803" t="s">
        <v>1405</v>
      </c>
      <c r="B65" s="128" t="s">
        <v>1406</v>
      </c>
      <c r="C65" s="129" t="str">
        <f>C38</f>
        <v>矩形</v>
      </c>
      <c r="D65" s="130"/>
      <c r="E65" s="130"/>
      <c r="F65" s="130"/>
      <c r="G65" s="130"/>
      <c r="H65" s="130"/>
      <c r="I65" s="130"/>
      <c r="J65" s="130"/>
    </row>
    <row r="66" spans="1:10" x14ac:dyDescent="0.15">
      <c r="A66" s="803"/>
      <c r="B66" s="128" t="s">
        <v>1407</v>
      </c>
      <c r="C66" s="131">
        <f>C42</f>
        <v>0.76486350710900464</v>
      </c>
      <c r="D66" s="130"/>
      <c r="E66" s="130"/>
      <c r="F66" s="130"/>
      <c r="G66" s="130"/>
      <c r="H66" s="130"/>
      <c r="I66" s="130"/>
      <c r="J66" s="130"/>
    </row>
    <row r="67" spans="1:10" x14ac:dyDescent="0.15">
      <c r="A67" s="803"/>
      <c r="B67" s="119" t="s">
        <v>1395</v>
      </c>
      <c r="C67" s="131">
        <f>C44</f>
        <v>34724.154392070137</v>
      </c>
      <c r="D67" s="130"/>
      <c r="E67" s="130"/>
      <c r="F67" s="130"/>
      <c r="G67" s="130"/>
      <c r="H67" s="130"/>
      <c r="I67" s="130"/>
      <c r="J67" s="130"/>
    </row>
    <row r="68" spans="1:10" x14ac:dyDescent="0.15">
      <c r="A68" s="803"/>
      <c r="B68" s="119" t="s">
        <v>1408</v>
      </c>
      <c r="C68" s="129" t="str">
        <f>IF(C67&gt;C4*C33,"满足要求","增加配筋")</f>
        <v>满足要求</v>
      </c>
      <c r="D68" s="130"/>
      <c r="E68" s="130"/>
      <c r="F68" s="130"/>
      <c r="G68" s="130"/>
      <c r="H68" s="130"/>
      <c r="I68" s="130"/>
      <c r="J68" s="130"/>
    </row>
    <row r="69" spans="1:10" x14ac:dyDescent="0.15">
      <c r="A69" s="803"/>
      <c r="B69" s="128" t="s">
        <v>1409</v>
      </c>
      <c r="C69" s="131">
        <f>C64</f>
        <v>6716.8421493778733</v>
      </c>
      <c r="D69" s="130"/>
      <c r="E69" s="130"/>
      <c r="F69" s="130"/>
      <c r="G69" s="130"/>
      <c r="H69" s="130"/>
      <c r="I69" s="130"/>
      <c r="J69" s="130"/>
    </row>
    <row r="70" spans="1:10" ht="14.25" x14ac:dyDescent="0.2">
      <c r="A70" s="803"/>
      <c r="B70" s="132" t="s">
        <v>1410</v>
      </c>
      <c r="C70" s="133" t="str">
        <f>IF(C69&gt;C4*C35,"满足要求","增加配筋")</f>
        <v>满足要求</v>
      </c>
      <c r="D70" s="134"/>
      <c r="E70" s="134"/>
      <c r="F70" s="134"/>
      <c r="G70" s="134"/>
      <c r="H70" s="134"/>
      <c r="I70" s="134"/>
      <c r="J70" s="134"/>
    </row>
  </sheetData>
  <mergeCells count="9">
    <mergeCell ref="A27:A32"/>
    <mergeCell ref="A33:A35"/>
    <mergeCell ref="A36:A64"/>
    <mergeCell ref="A65:A70"/>
    <mergeCell ref="A2:J2"/>
    <mergeCell ref="C3:J3"/>
    <mergeCell ref="A3:A4"/>
    <mergeCell ref="A5:A20"/>
    <mergeCell ref="A21:A26"/>
  </mergeCells>
  <phoneticPr fontId="143" type="noConversion"/>
  <dataValidations count="4">
    <dataValidation type="list" allowBlank="1" showInputMessage="1" showErrorMessage="1" prompt="下拉菜单选择" sqref="C3" xr:uid="{00000000-0002-0000-0500-000000000000}">
      <formula1>"1级,2级,3级,4级,5级"</formula1>
    </dataValidation>
    <dataValidation type="list" allowBlank="1" showInputMessage="1" showErrorMessage="1" prompt="下拉菜单选择" sqref="C5" xr:uid="{00000000-0002-0000-0500-000001000000}">
      <formula1>"C15,C20,C25,C30,C40"</formula1>
    </dataValidation>
    <dataValidation type="list" allowBlank="1" showInputMessage="1" showErrorMessage="1" sqref="C6" xr:uid="{00000000-0002-0000-0500-000002000000}">
      <formula1>"HPB235,HRB335,HRB400"</formula1>
    </dataValidation>
    <dataValidation type="list" allowBlank="1" showInputMessage="1" showErrorMessage="1" sqref="C22:J22" xr:uid="{00000000-0002-0000-0500-000003000000}">
      <formula1>"矩形,T形"</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K84"/>
  <sheetViews>
    <sheetView zoomScale="70" zoomScaleNormal="70" workbookViewId="0">
      <selection activeCell="G36" sqref="G36"/>
    </sheetView>
  </sheetViews>
  <sheetFormatPr defaultColWidth="8.875" defaultRowHeight="13.5" x14ac:dyDescent="0.15"/>
  <cols>
    <col min="3" max="3" width="70.75" customWidth="1"/>
    <col min="4" max="4" width="18" customWidth="1"/>
    <col min="8" max="8" width="50.625" customWidth="1"/>
    <col min="9" max="10" width="9.5" bestFit="1" customWidth="1"/>
  </cols>
  <sheetData>
    <row r="1" spans="2:11" x14ac:dyDescent="0.15">
      <c r="B1" s="586" t="s">
        <v>1411</v>
      </c>
      <c r="C1" s="586"/>
      <c r="D1" s="586"/>
      <c r="E1" s="586"/>
    </row>
    <row r="3" spans="2:11" x14ac:dyDescent="0.15">
      <c r="C3" s="66" t="s">
        <v>1412</v>
      </c>
      <c r="D3" s="67">
        <v>1.4391</v>
      </c>
      <c r="E3" s="66" t="s">
        <v>1413</v>
      </c>
      <c r="H3" s="558" t="s">
        <v>1544</v>
      </c>
      <c r="I3" s="559">
        <v>1</v>
      </c>
      <c r="J3" s="559">
        <v>2</v>
      </c>
      <c r="K3" s="559">
        <v>3</v>
      </c>
    </row>
    <row r="4" spans="2:11" ht="15.75" x14ac:dyDescent="0.15">
      <c r="C4" s="66" t="s">
        <v>1414</v>
      </c>
      <c r="D4" s="67">
        <v>0.73909999999999998</v>
      </c>
      <c r="E4" s="66" t="s">
        <v>1415</v>
      </c>
      <c r="H4" s="557" t="s">
        <v>1546</v>
      </c>
      <c r="I4" s="560">
        <f>D19</f>
        <v>4.5669289447333279</v>
      </c>
      <c r="J4" s="560">
        <f>$I$4</f>
        <v>4.5669289447333279</v>
      </c>
      <c r="K4" s="560">
        <f t="shared" ref="K4" si="0">$I$4</f>
        <v>4.5669289447333279</v>
      </c>
    </row>
    <row r="5" spans="2:11" x14ac:dyDescent="0.15">
      <c r="C5" s="66" t="s">
        <v>1416</v>
      </c>
      <c r="D5" s="67">
        <v>-1.9</v>
      </c>
      <c r="E5" s="66" t="s">
        <v>1417</v>
      </c>
      <c r="H5" s="558" t="s">
        <v>1545</v>
      </c>
      <c r="I5" s="559">
        <v>1</v>
      </c>
      <c r="J5" s="559">
        <v>1</v>
      </c>
      <c r="K5" s="559">
        <v>1</v>
      </c>
    </row>
    <row r="6" spans="2:11" x14ac:dyDescent="0.15">
      <c r="C6" s="557" t="s">
        <v>1551</v>
      </c>
      <c r="D6" s="130">
        <v>0</v>
      </c>
      <c r="E6" s="557" t="s">
        <v>1552</v>
      </c>
      <c r="H6" s="558" t="s">
        <v>1560</v>
      </c>
      <c r="I6" s="559">
        <v>1</v>
      </c>
      <c r="J6" s="559">
        <v>1</v>
      </c>
      <c r="K6" s="559">
        <v>1</v>
      </c>
    </row>
    <row r="7" spans="2:11" ht="16.5" x14ac:dyDescent="0.15">
      <c r="C7" s="66" t="s">
        <v>1418</v>
      </c>
      <c r="D7" s="68">
        <f>'part1-基本参数'!F68/10^6</f>
        <v>3.8885168456542942</v>
      </c>
      <c r="E7" s="67"/>
      <c r="H7" s="561" t="s">
        <v>1549</v>
      </c>
      <c r="I7" s="559">
        <v>5</v>
      </c>
      <c r="J7" s="559">
        <v>5</v>
      </c>
      <c r="K7" s="559">
        <v>5</v>
      </c>
    </row>
    <row r="8" spans="2:11" ht="15.75" x14ac:dyDescent="0.15">
      <c r="C8" s="66" t="s">
        <v>1419</v>
      </c>
      <c r="D8" s="68">
        <f>'part1-基本参数'!D69/10^12</f>
        <v>4.5540652881458881</v>
      </c>
      <c r="E8" s="67"/>
      <c r="H8" s="558" t="s">
        <v>1548</v>
      </c>
      <c r="I8" s="560">
        <f>D11</f>
        <v>3808.1084276430965</v>
      </c>
      <c r="J8" s="560">
        <f>D12</f>
        <v>2994.2548970870748</v>
      </c>
      <c r="K8" s="560">
        <f>D13</f>
        <v>-74.089177899205424</v>
      </c>
    </row>
    <row r="9" spans="2:11" ht="14.25" x14ac:dyDescent="0.15">
      <c r="C9" s="66" t="s">
        <v>1420</v>
      </c>
      <c r="D9" s="68">
        <f>'part2-预应力损失估算'!D50/1000</f>
        <v>0.63778959874419383</v>
      </c>
      <c r="E9" s="67"/>
      <c r="H9" s="561" t="s">
        <v>1557</v>
      </c>
      <c r="I9" s="71">
        <v>100</v>
      </c>
      <c r="J9" s="71">
        <v>200</v>
      </c>
      <c r="K9" s="71">
        <v>300</v>
      </c>
    </row>
    <row r="10" spans="2:11" ht="14.25" x14ac:dyDescent="0.15">
      <c r="C10" s="66" t="s">
        <v>1421</v>
      </c>
      <c r="D10" s="68">
        <f>'part2-预应力损失估算'!D49/1000</f>
        <v>8301.7572844845363</v>
      </c>
      <c r="E10" s="67"/>
      <c r="H10" s="561" t="s">
        <v>1558</v>
      </c>
      <c r="I10" s="71">
        <v>100</v>
      </c>
      <c r="J10" s="71">
        <v>200</v>
      </c>
      <c r="K10" s="71">
        <v>300</v>
      </c>
    </row>
    <row r="11" spans="2:11" x14ac:dyDescent="0.15">
      <c r="C11" s="557" t="s">
        <v>1547</v>
      </c>
      <c r="D11" s="68">
        <f>D10/D7+D10*D9/D8*D3</f>
        <v>3808.1084276430965</v>
      </c>
      <c r="E11" s="67"/>
      <c r="H11" s="561" t="s">
        <v>1559</v>
      </c>
      <c r="I11" s="71">
        <v>0</v>
      </c>
      <c r="J11" s="71">
        <v>0</v>
      </c>
      <c r="K11" s="71">
        <v>0</v>
      </c>
    </row>
    <row r="12" spans="2:11" ht="15" x14ac:dyDescent="0.15">
      <c r="C12" s="66" t="s">
        <v>1422</v>
      </c>
      <c r="D12" s="68">
        <f>D10/D7+D10*D9/D8*D4</f>
        <v>2994.2548970870748</v>
      </c>
      <c r="E12" s="67"/>
      <c r="H12" s="562" t="s">
        <v>1550</v>
      </c>
      <c r="I12" s="559">
        <f>I8+I9/I4*I5</f>
        <v>3830.0049802740109</v>
      </c>
      <c r="J12" s="559">
        <f t="shared" ref="J12:K12" si="1">J8+J9/J4*J5</f>
        <v>3038.0480023489035</v>
      </c>
      <c r="K12" s="559">
        <f t="shared" si="1"/>
        <v>-8.3995200064620121</v>
      </c>
    </row>
    <row r="13" spans="2:11" ht="15" x14ac:dyDescent="0.15">
      <c r="C13" s="66" t="s">
        <v>1423</v>
      </c>
      <c r="D13" s="68">
        <f>D10/D7+D10*D9/D8*D5</f>
        <v>-74.089177899205424</v>
      </c>
      <c r="E13" s="67"/>
      <c r="H13" s="562" t="s">
        <v>1556</v>
      </c>
      <c r="I13" s="559">
        <v>0</v>
      </c>
      <c r="J13" s="559">
        <v>0</v>
      </c>
      <c r="K13" s="559">
        <v>0</v>
      </c>
    </row>
    <row r="14" spans="2:11" ht="15" x14ac:dyDescent="0.15">
      <c r="C14" s="557" t="s">
        <v>1553</v>
      </c>
      <c r="D14" s="563">
        <f>D10/D7+D10*D9/D8*D6</f>
        <v>2134.9418336099957</v>
      </c>
      <c r="E14" s="564"/>
      <c r="H14" s="562" t="s">
        <v>1561</v>
      </c>
      <c r="I14" s="559">
        <f>I10*I7/I4/I6</f>
        <v>109.48276315457235</v>
      </c>
      <c r="J14" s="559">
        <f t="shared" ref="J14:K14" si="2">J10*J7/J4/J6</f>
        <v>218.96552630914471</v>
      </c>
      <c r="K14" s="559">
        <f t="shared" si="2"/>
        <v>328.44828946371706</v>
      </c>
    </row>
    <row r="15" spans="2:11" ht="15" x14ac:dyDescent="0.15">
      <c r="C15" s="815" t="s">
        <v>1424</v>
      </c>
      <c r="D15" s="816"/>
      <c r="E15" s="817"/>
      <c r="H15" s="558" t="s">
        <v>1562</v>
      </c>
      <c r="I15" s="559">
        <f>-1*I12/2+SQRT((I12/2)^2+I14^2)</f>
        <v>3.1270708308900339</v>
      </c>
      <c r="J15" s="559">
        <f t="shared" ref="J15:K15" si="3">-1*J12/2+SQRT((J12/2)^2+J14^2)</f>
        <v>15.700670503136735</v>
      </c>
      <c r="K15" s="559">
        <f t="shared" si="3"/>
        <v>332.6748988428796</v>
      </c>
    </row>
    <row r="16" spans="2:11" ht="15" x14ac:dyDescent="0.15">
      <c r="C16" s="66" t="s">
        <v>1425</v>
      </c>
      <c r="D16" s="68">
        <v>17502</v>
      </c>
      <c r="E16" s="67"/>
      <c r="H16" s="558" t="s">
        <v>1563</v>
      </c>
      <c r="I16" s="559">
        <f>-1*I12/2-SQRT((I12/2)^2+I14^2)</f>
        <v>-3833.1320511049007</v>
      </c>
      <c r="J16" s="559">
        <f t="shared" ref="J16:K16" si="4">-1*J12/2-SQRT((J12/2)^2+J14^2)</f>
        <v>-3053.7486728520403</v>
      </c>
      <c r="K16" s="559">
        <f t="shared" si="4"/>
        <v>-324.27537883641759</v>
      </c>
    </row>
    <row r="17" spans="3:11" x14ac:dyDescent="0.15">
      <c r="C17" s="66" t="s">
        <v>1426</v>
      </c>
      <c r="D17" s="68">
        <v>0</v>
      </c>
      <c r="E17" s="67"/>
      <c r="H17" s="559"/>
      <c r="I17" s="559"/>
      <c r="J17" s="559"/>
      <c r="K17" s="559"/>
    </row>
    <row r="18" spans="3:11" ht="15.75" x14ac:dyDescent="0.15">
      <c r="C18" s="66" t="s">
        <v>1427</v>
      </c>
      <c r="D18" s="68">
        <f>'part1-基本参数'!F69/10^6</f>
        <v>3.9372124978282073</v>
      </c>
      <c r="E18" s="67"/>
      <c r="H18" s="559"/>
      <c r="I18" s="559"/>
      <c r="J18" s="559"/>
      <c r="K18" s="559"/>
    </row>
    <row r="19" spans="3:11" ht="15.75" x14ac:dyDescent="0.15">
      <c r="C19" s="66" t="s">
        <v>1428</v>
      </c>
      <c r="D19" s="68">
        <f>'part1-基本参数'!D70/10^12</f>
        <v>4.5669289447333279</v>
      </c>
      <c r="E19" s="67"/>
      <c r="H19" s="559"/>
      <c r="I19" s="559"/>
      <c r="J19" s="559"/>
      <c r="K19" s="559"/>
    </row>
    <row r="20" spans="3:11" ht="14.25" x14ac:dyDescent="0.15">
      <c r="C20" s="66" t="s">
        <v>1429</v>
      </c>
      <c r="D20" s="68">
        <f>D16/D19*D3+D17/D18</f>
        <v>5515.1127825289013</v>
      </c>
      <c r="E20" s="66" t="s">
        <v>1413</v>
      </c>
    </row>
    <row r="21" spans="3:11" ht="14.25" x14ac:dyDescent="0.15">
      <c r="C21" s="66" t="s">
        <v>1430</v>
      </c>
      <c r="D21" s="68">
        <f>D16/D19*D4+D17/D18</f>
        <v>2832.4785335050451</v>
      </c>
      <c r="E21" s="66" t="s">
        <v>1415</v>
      </c>
    </row>
    <row r="22" spans="3:11" ht="14.25" x14ac:dyDescent="0.15">
      <c r="C22" s="66" t="s">
        <v>1431</v>
      </c>
      <c r="D22" s="68">
        <f>D16/D19*D5+D17/D18</f>
        <v>-7281.4358187790358</v>
      </c>
      <c r="E22" s="66" t="s">
        <v>1417</v>
      </c>
    </row>
    <row r="23" spans="3:11" x14ac:dyDescent="0.15">
      <c r="C23" s="557" t="s">
        <v>1554</v>
      </c>
      <c r="D23" s="68">
        <f>D16/D19*D6+D17/D18</f>
        <v>0</v>
      </c>
      <c r="E23" s="557" t="s">
        <v>1552</v>
      </c>
    </row>
    <row r="24" spans="3:11" x14ac:dyDescent="0.15">
      <c r="C24" s="66" t="s">
        <v>1432</v>
      </c>
      <c r="D24" s="68">
        <v>1.35</v>
      </c>
      <c r="E24" s="67"/>
    </row>
    <row r="25" spans="3:11" x14ac:dyDescent="0.15">
      <c r="C25" s="66" t="s">
        <v>1433</v>
      </c>
      <c r="D25" s="68">
        <f>D24*(0.7+300/(IF('part1-基本参数'!F66&gt;3000,3000,'part1-基本参数'!F66)))</f>
        <v>1.08</v>
      </c>
      <c r="E25" s="67"/>
    </row>
    <row r="26" spans="3:11" x14ac:dyDescent="0.15">
      <c r="C26" s="66" t="s">
        <v>1434</v>
      </c>
      <c r="D26" s="68">
        <v>0.7</v>
      </c>
      <c r="E26" s="67"/>
    </row>
    <row r="27" spans="3:11" x14ac:dyDescent="0.15">
      <c r="C27" s="66" t="s">
        <v>1435</v>
      </c>
      <c r="D27" s="68">
        <f>D26*D25*'part1-基本参数'!F6*1000</f>
        <v>1995.8400000000001</v>
      </c>
      <c r="E27" s="67"/>
    </row>
    <row r="28" spans="3:11" ht="14.25" x14ac:dyDescent="0.15">
      <c r="C28" s="66" t="s">
        <v>1436</v>
      </c>
      <c r="D28" s="68">
        <f>D20-D11</f>
        <v>1707.0043548858048</v>
      </c>
      <c r="E28" s="66" t="s">
        <v>1413</v>
      </c>
    </row>
    <row r="29" spans="3:11" ht="14.25" x14ac:dyDescent="0.15">
      <c r="C29" s="66" t="s">
        <v>1437</v>
      </c>
      <c r="D29" s="68">
        <f>D21-D12</f>
        <v>-161.77636358202972</v>
      </c>
      <c r="E29" s="66" t="s">
        <v>1415</v>
      </c>
    </row>
    <row r="30" spans="3:11" ht="14.25" x14ac:dyDescent="0.15">
      <c r="C30" s="66" t="s">
        <v>1438</v>
      </c>
      <c r="D30" s="68">
        <f>D22-D13</f>
        <v>-7207.3466408798304</v>
      </c>
      <c r="E30" s="66" t="s">
        <v>1417</v>
      </c>
    </row>
    <row r="31" spans="3:11" ht="14.25" x14ac:dyDescent="0.15">
      <c r="C31" s="557" t="s">
        <v>1555</v>
      </c>
      <c r="D31" s="68">
        <f>D23-D14-D13</f>
        <v>-2060.8526557107903</v>
      </c>
      <c r="E31" s="557" t="s">
        <v>1552</v>
      </c>
    </row>
    <row r="32" spans="3:11" x14ac:dyDescent="0.15">
      <c r="C32" s="554"/>
      <c r="D32" s="555"/>
      <c r="E32" s="556"/>
    </row>
    <row r="33" spans="3:5" x14ac:dyDescent="0.15">
      <c r="C33" s="554"/>
      <c r="D33" s="555"/>
      <c r="E33" s="556"/>
    </row>
    <row r="34" spans="3:5" x14ac:dyDescent="0.15">
      <c r="C34" s="554"/>
      <c r="D34" s="555"/>
      <c r="E34" s="556"/>
    </row>
    <row r="35" spans="3:5" x14ac:dyDescent="0.15">
      <c r="C35" s="554"/>
      <c r="D35" s="555"/>
      <c r="E35" s="556"/>
    </row>
    <row r="36" spans="3:5" x14ac:dyDescent="0.15">
      <c r="C36" s="554"/>
      <c r="D36" s="555"/>
      <c r="E36" s="556"/>
    </row>
    <row r="37" spans="3:5" x14ac:dyDescent="0.15">
      <c r="C37" s="554"/>
      <c r="D37" s="555"/>
      <c r="E37" s="556"/>
    </row>
    <row r="38" spans="3:5" x14ac:dyDescent="0.15">
      <c r="C38" s="554"/>
      <c r="D38" s="555"/>
      <c r="E38" s="556"/>
    </row>
    <row r="39" spans="3:5" x14ac:dyDescent="0.15">
      <c r="C39" s="554"/>
      <c r="D39" s="555"/>
      <c r="E39" s="556"/>
    </row>
    <row r="43" spans="3:5" ht="24.95" customHeight="1" x14ac:dyDescent="0.15">
      <c r="C43" s="654" t="s">
        <v>1213</v>
      </c>
      <c r="D43" s="654"/>
      <c r="E43" s="654"/>
    </row>
    <row r="44" spans="3:5" ht="24.95" customHeight="1" x14ac:dyDescent="0.2">
      <c r="C44" s="75" t="s">
        <v>1024</v>
      </c>
      <c r="D44" s="81" t="e">
        <f>#REF!</f>
        <v>#REF!</v>
      </c>
      <c r="E44" s="82" t="s">
        <v>12</v>
      </c>
    </row>
    <row r="45" spans="3:5" ht="24.95" customHeight="1" x14ac:dyDescent="0.2">
      <c r="C45" s="83" t="s">
        <v>1214</v>
      </c>
      <c r="D45" s="84">
        <v>0.2</v>
      </c>
      <c r="E45" s="82" t="s">
        <v>12</v>
      </c>
    </row>
    <row r="46" spans="3:5" ht="24.95" customHeight="1" x14ac:dyDescent="0.2">
      <c r="C46" s="75" t="s">
        <v>1215</v>
      </c>
      <c r="D46" s="81" t="e">
        <f>#REF!</f>
        <v>#REF!</v>
      </c>
      <c r="E46" s="82" t="s">
        <v>108</v>
      </c>
    </row>
    <row r="47" spans="3:5" ht="24.95" customHeight="1" x14ac:dyDescent="0.2">
      <c r="C47" s="75" t="s">
        <v>1216</v>
      </c>
      <c r="D47" s="82" t="e">
        <f>0.5*D46*D44*D45-1/2*D46*D45^2</f>
        <v>#REF!</v>
      </c>
      <c r="E47" s="85" t="s">
        <v>156</v>
      </c>
    </row>
    <row r="48" spans="3:5" ht="24.95" customHeight="1" x14ac:dyDescent="0.2">
      <c r="C48" s="75" t="s">
        <v>1217</v>
      </c>
      <c r="D48" s="82" t="e">
        <f>0.5*D46*D44-D46*D45</f>
        <v>#REF!</v>
      </c>
      <c r="E48" s="85" t="s">
        <v>158</v>
      </c>
    </row>
    <row r="49" spans="3:5" ht="24.95" customHeight="1" x14ac:dyDescent="0.15">
      <c r="C49" s="695" t="s">
        <v>1218</v>
      </c>
      <c r="D49" s="682"/>
      <c r="E49" s="682"/>
    </row>
    <row r="50" spans="3:5" ht="24.95" customHeight="1" x14ac:dyDescent="0.15">
      <c r="C50" s="75" t="s">
        <v>1219</v>
      </c>
      <c r="D50" s="72" t="e">
        <f>#REF!*#REF!*(#REF!-1/2*#REF!)+#REF!*(#REF!-#REF!)^2/2</f>
        <v>#REF!</v>
      </c>
      <c r="E50" s="72" t="s">
        <v>1199</v>
      </c>
    </row>
    <row r="51" spans="3:5" ht="24.95" customHeight="1" x14ac:dyDescent="0.15">
      <c r="C51" s="75" t="s">
        <v>1220</v>
      </c>
      <c r="D51" s="72" t="e">
        <f>D48*10^3*D50/(#REF!*#REF!)</f>
        <v>#REF!</v>
      </c>
      <c r="E51" s="72" t="s">
        <v>242</v>
      </c>
    </row>
    <row r="52" spans="3:5" ht="24.95" customHeight="1" x14ac:dyDescent="0.15">
      <c r="C52" s="75" t="s">
        <v>1221</v>
      </c>
      <c r="D52" s="72">
        <v>0</v>
      </c>
      <c r="E52" s="72" t="s">
        <v>186</v>
      </c>
    </row>
    <row r="53" spans="3:5" ht="24.95" customHeight="1" x14ac:dyDescent="0.15">
      <c r="C53" s="75" t="s">
        <v>1222</v>
      </c>
      <c r="D53" s="72" t="e">
        <f>#REF!-#REF!</f>
        <v>#REF!</v>
      </c>
      <c r="E53" s="72" t="s">
        <v>186</v>
      </c>
    </row>
    <row r="54" spans="3:5" ht="24.95" customHeight="1" x14ac:dyDescent="0.15">
      <c r="C54" s="75" t="s">
        <v>377</v>
      </c>
      <c r="D54" s="72" t="e">
        <f>#REF!/#REF!-#REF!*#REF!*D53/#REF!</f>
        <v>#REF!</v>
      </c>
      <c r="E54" s="72" t="s">
        <v>242</v>
      </c>
    </row>
    <row r="55" spans="3:5" ht="24.95" customHeight="1" x14ac:dyDescent="0.15">
      <c r="C55" s="83" t="s">
        <v>1223</v>
      </c>
      <c r="D55" s="87" t="e">
        <f>(D54+D47*10^6*D52/#REF!)*-1</f>
        <v>#REF!</v>
      </c>
      <c r="E55" s="72" t="s">
        <v>242</v>
      </c>
    </row>
    <row r="56" spans="3:5" ht="24.95" customHeight="1" x14ac:dyDescent="0.15">
      <c r="C56" s="75" t="s">
        <v>1224</v>
      </c>
      <c r="D56" s="72">
        <v>0</v>
      </c>
      <c r="E56" s="72" t="s">
        <v>242</v>
      </c>
    </row>
    <row r="57" spans="3:5" ht="24.95" customHeight="1" x14ac:dyDescent="0.15">
      <c r="C57" s="72" t="s">
        <v>1225</v>
      </c>
      <c r="D57" s="88" t="e">
        <f>(D55+D56)/2+((1/2*D55-1/2*D56)^2+D51^2)^0.5</f>
        <v>#REF!</v>
      </c>
      <c r="E57" s="72" t="s">
        <v>242</v>
      </c>
    </row>
    <row r="58" spans="3:5" ht="24.95" customHeight="1" x14ac:dyDescent="0.15">
      <c r="C58" s="72" t="s">
        <v>1226</v>
      </c>
      <c r="D58" s="88" t="e">
        <f>(D55+D56)/2-((D55/2-D56/2)^2+D51^2)^0.5</f>
        <v>#REF!</v>
      </c>
      <c r="E58" s="72" t="s">
        <v>242</v>
      </c>
    </row>
    <row r="59" spans="3:5" ht="24.95" customHeight="1" x14ac:dyDescent="0.15">
      <c r="C59" s="75" t="s">
        <v>1227</v>
      </c>
      <c r="D59" s="88" t="e">
        <f>0.85*#REF!</f>
        <v>#REF!</v>
      </c>
      <c r="E59" s="72" t="s">
        <v>242</v>
      </c>
    </row>
    <row r="60" spans="3:5" ht="24.95" customHeight="1" x14ac:dyDescent="0.15">
      <c r="C60" s="75" t="s">
        <v>1228</v>
      </c>
      <c r="D60" s="88" t="e">
        <f>0.6*#REF!</f>
        <v>#REF!</v>
      </c>
      <c r="E60" s="72" t="s">
        <v>242</v>
      </c>
    </row>
    <row r="61" spans="3:5" ht="24.95" customHeight="1" x14ac:dyDescent="0.2">
      <c r="C61" s="696" t="e">
        <f>IF(ABS(D57)&lt;D59,"主拉应力σtp≤0.85ftk,满足斜截面一级裂缝控制要求","主拉应力σtp&gt;0.85ftk,不满足斜截面一级裂缝控制要求")</f>
        <v>#REF!</v>
      </c>
      <c r="D61" s="696"/>
      <c r="E61" s="696"/>
    </row>
    <row r="62" spans="3:5" ht="24.95" customHeight="1" x14ac:dyDescent="0.2">
      <c r="C62" s="697" t="s">
        <v>1229</v>
      </c>
      <c r="D62" s="698"/>
      <c r="E62" s="698"/>
    </row>
    <row r="63" spans="3:5" ht="24.95" customHeight="1" x14ac:dyDescent="0.15">
      <c r="C63" s="75" t="s">
        <v>1230</v>
      </c>
      <c r="D63" s="72" t="e">
        <f>#REF!*#REF!*(#REF!-1/2*#REF!)</f>
        <v>#REF!</v>
      </c>
      <c r="E63" s="72" t="s">
        <v>1199</v>
      </c>
    </row>
    <row r="64" spans="3:5" ht="24.95" customHeight="1" x14ac:dyDescent="0.15">
      <c r="C64" s="75" t="s">
        <v>1220</v>
      </c>
      <c r="D64" s="72" t="e">
        <f>D48*10^3*D63/(#REF!*#REF!)</f>
        <v>#REF!</v>
      </c>
      <c r="E64" s="72" t="s">
        <v>242</v>
      </c>
    </row>
    <row r="65" spans="3:5" ht="24.95" customHeight="1" x14ac:dyDescent="0.15">
      <c r="C65" s="75" t="s">
        <v>1231</v>
      </c>
      <c r="D65" s="72" t="e">
        <f>#REF!-#REF!</f>
        <v>#REF!</v>
      </c>
      <c r="E65" s="72" t="s">
        <v>186</v>
      </c>
    </row>
    <row r="66" spans="3:5" ht="24.95" customHeight="1" x14ac:dyDescent="0.15">
      <c r="C66" s="75" t="s">
        <v>1232</v>
      </c>
      <c r="D66" s="72" t="e">
        <f>#REF!-#REF!</f>
        <v>#REF!</v>
      </c>
      <c r="E66" s="72" t="s">
        <v>186</v>
      </c>
    </row>
    <row r="67" spans="3:5" ht="24.95" customHeight="1" x14ac:dyDescent="0.15">
      <c r="C67" s="75" t="s">
        <v>377</v>
      </c>
      <c r="D67" s="72" t="e">
        <f>#REF!/#REF!-#REF!*#REF!*D66/#REF!</f>
        <v>#REF!</v>
      </c>
      <c r="E67" s="72"/>
    </row>
    <row r="68" spans="3:5" ht="24.95" customHeight="1" x14ac:dyDescent="0.15">
      <c r="C68" s="83" t="s">
        <v>1233</v>
      </c>
      <c r="D68" s="72" t="e">
        <f>-D67-D47*10^6*D65/#REF!</f>
        <v>#REF!</v>
      </c>
      <c r="E68" s="72"/>
    </row>
    <row r="69" spans="3:5" ht="24.95" customHeight="1" x14ac:dyDescent="0.15">
      <c r="C69" s="75" t="s">
        <v>1224</v>
      </c>
      <c r="D69" s="72">
        <v>0</v>
      </c>
      <c r="E69" s="72" t="s">
        <v>242</v>
      </c>
    </row>
    <row r="70" spans="3:5" ht="24.95" customHeight="1" x14ac:dyDescent="0.15">
      <c r="C70" s="72" t="s">
        <v>1225</v>
      </c>
      <c r="D70" s="72" t="e">
        <f>(D68+D69)/2+((D68/2-D69/2)^2+D64^2)^0.5</f>
        <v>#REF!</v>
      </c>
      <c r="E70" s="72" t="s">
        <v>242</v>
      </c>
    </row>
    <row r="71" spans="3:5" ht="24.95" customHeight="1" x14ac:dyDescent="0.15">
      <c r="C71" s="72" t="s">
        <v>1226</v>
      </c>
      <c r="D71" s="72" t="e">
        <f>(D68+D69)/2-((D68/2-D69/2)^2+D64^2)^0.5</f>
        <v>#REF!</v>
      </c>
      <c r="E71" s="72" t="s">
        <v>242</v>
      </c>
    </row>
    <row r="72" spans="3:5" ht="24.95" customHeight="1" x14ac:dyDescent="0.15">
      <c r="C72" s="699" t="e">
        <f>IF(ABS(D70)&lt;D59,"满足斜截面一级裂缝控制要求","不满足斜截面一级裂缝控制要求")</f>
        <v>#REF!</v>
      </c>
      <c r="D72" s="699"/>
      <c r="E72" s="699"/>
    </row>
    <row r="73" spans="3:5" ht="24.95" customHeight="1" x14ac:dyDescent="0.15">
      <c r="C73" s="89"/>
      <c r="D73" s="90"/>
      <c r="E73" s="91"/>
    </row>
    <row r="74" spans="3:5" ht="24.95" customHeight="1" x14ac:dyDescent="0.15">
      <c r="C74" s="700" t="s">
        <v>1234</v>
      </c>
      <c r="D74" s="701"/>
      <c r="E74" s="702"/>
    </row>
    <row r="75" spans="3:5" ht="24.95" customHeight="1" x14ac:dyDescent="0.2">
      <c r="C75" s="703" t="s">
        <v>1235</v>
      </c>
      <c r="D75" s="703"/>
      <c r="E75" s="703"/>
    </row>
    <row r="76" spans="3:5" ht="24.95" customHeight="1" x14ac:dyDescent="0.15">
      <c r="C76" s="93" t="s">
        <v>1236</v>
      </c>
      <c r="D76" s="94" t="e">
        <f>0.85*#REF!*#REF!</f>
        <v>#REF!</v>
      </c>
      <c r="E76" s="93" t="s">
        <v>1237</v>
      </c>
    </row>
    <row r="77" spans="3:5" ht="24.95" customHeight="1" x14ac:dyDescent="0.2">
      <c r="C77" s="703" t="s">
        <v>1239</v>
      </c>
      <c r="D77" s="703"/>
      <c r="E77" s="703"/>
    </row>
    <row r="78" spans="3:5" ht="24.95" customHeight="1" x14ac:dyDescent="0.15">
      <c r="C78" s="93" t="s">
        <v>1240</v>
      </c>
      <c r="D78" s="94" t="e">
        <f>0.65*D76</f>
        <v>#REF!</v>
      </c>
      <c r="E78" s="93" t="s">
        <v>1237</v>
      </c>
    </row>
    <row r="79" spans="3:5" ht="24.95" customHeight="1" x14ac:dyDescent="0.15">
      <c r="C79" s="704" t="s">
        <v>841</v>
      </c>
      <c r="D79" s="704"/>
      <c r="E79" s="704"/>
    </row>
    <row r="80" spans="3:5" ht="24.95" customHeight="1" x14ac:dyDescent="0.15">
      <c r="C80" s="94" t="s">
        <v>1241</v>
      </c>
      <c r="D80" s="94" t="e">
        <f>5/48*#REF!*10^6*#REF!^2*10^6/D78</f>
        <v>#REF!</v>
      </c>
      <c r="E80" s="94" t="s">
        <v>186</v>
      </c>
    </row>
    <row r="81" spans="3:5" ht="24.95" customHeight="1" x14ac:dyDescent="0.15">
      <c r="C81" s="93" t="s">
        <v>1242</v>
      </c>
      <c r="D81" s="94" t="e">
        <f>#REF!*#REF!*#REF!^2*10^6/(8*#REF!*#REF!)</f>
        <v>#REF!</v>
      </c>
      <c r="E81" s="94" t="s">
        <v>186</v>
      </c>
    </row>
    <row r="82" spans="3:5" ht="24.95" customHeight="1" x14ac:dyDescent="0.15">
      <c r="C82" s="94" t="s">
        <v>1243</v>
      </c>
      <c r="D82" s="94" t="e">
        <f>D80-2*D81</f>
        <v>#REF!</v>
      </c>
      <c r="E82" s="94" t="s">
        <v>186</v>
      </c>
    </row>
    <row r="83" spans="3:5" ht="24.95" customHeight="1" x14ac:dyDescent="0.15">
      <c r="C83" s="93" t="s">
        <v>1244</v>
      </c>
      <c r="D83" s="94" t="e">
        <f>#REF!*10^3/600</f>
        <v>#REF!</v>
      </c>
      <c r="E83" s="94" t="s">
        <v>186</v>
      </c>
    </row>
    <row r="84" spans="3:5" ht="24.95" customHeight="1" x14ac:dyDescent="0.15">
      <c r="C84" s="709" t="e">
        <f>IF(D82&lt;D83,"挠度满足要求","挠度不满足要求")</f>
        <v>#REF!</v>
      </c>
      <c r="D84" s="709"/>
      <c r="E84" s="709"/>
    </row>
  </sheetData>
  <mergeCells count="12">
    <mergeCell ref="C77:E77"/>
    <mergeCell ref="C79:E79"/>
    <mergeCell ref="C84:E84"/>
    <mergeCell ref="B1:E1"/>
    <mergeCell ref="C61:E61"/>
    <mergeCell ref="C62:E62"/>
    <mergeCell ref="C72:E72"/>
    <mergeCell ref="C74:E74"/>
    <mergeCell ref="C75:E75"/>
    <mergeCell ref="C43:E43"/>
    <mergeCell ref="C49:E49"/>
    <mergeCell ref="C15:E15"/>
  </mergeCells>
  <phoneticPr fontId="143" type="noConversion"/>
  <pageMargins left="0.75" right="0.75" top="1" bottom="1" header="0.5" footer="0.5"/>
  <pageSetup paperSize="9" orientation="portrait" copies="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C33"/>
  <sheetViews>
    <sheetView workbookViewId="0">
      <selection activeCell="C11" sqref="C11"/>
    </sheetView>
  </sheetViews>
  <sheetFormatPr defaultColWidth="9" defaultRowHeight="13.5" x14ac:dyDescent="0.15"/>
  <cols>
    <col min="2" max="2" width="50.625" customWidth="1"/>
    <col min="3" max="3" width="15.625" customWidth="1"/>
  </cols>
  <sheetData>
    <row r="3" spans="1:3" ht="20.100000000000001" customHeight="1" x14ac:dyDescent="0.15">
      <c r="A3" s="44" t="s">
        <v>1439</v>
      </c>
      <c r="B3" s="45" t="s">
        <v>1440</v>
      </c>
      <c r="C3" s="46">
        <v>1</v>
      </c>
    </row>
    <row r="4" spans="1:3" ht="20.100000000000001" customHeight="1" x14ac:dyDescent="0.15">
      <c r="A4" s="47"/>
      <c r="B4" s="48" t="s">
        <v>1441</v>
      </c>
      <c r="C4" s="49">
        <v>100</v>
      </c>
    </row>
    <row r="5" spans="1:3" ht="20.100000000000001" customHeight="1" x14ac:dyDescent="0.15">
      <c r="A5" s="47"/>
      <c r="B5" s="48" t="s">
        <v>1442</v>
      </c>
      <c r="C5" s="49">
        <v>0</v>
      </c>
    </row>
    <row r="6" spans="1:3" ht="20.100000000000001" customHeight="1" x14ac:dyDescent="0.15">
      <c r="A6" s="50"/>
      <c r="B6" s="48" t="s">
        <v>1443</v>
      </c>
      <c r="C6" s="18" t="s">
        <v>1444</v>
      </c>
    </row>
    <row r="7" spans="1:3" ht="20.100000000000001" customHeight="1" x14ac:dyDescent="0.15">
      <c r="B7" s="51" t="s">
        <v>1445</v>
      </c>
      <c r="C7" s="52">
        <v>1</v>
      </c>
    </row>
    <row r="8" spans="1:3" ht="20.100000000000001" customHeight="1" x14ac:dyDescent="0.15">
      <c r="B8" s="51" t="s">
        <v>1446</v>
      </c>
      <c r="C8" s="53">
        <v>1</v>
      </c>
    </row>
    <row r="9" spans="1:3" ht="20.100000000000001" hidden="1" customHeight="1" x14ac:dyDescent="0.15">
      <c r="B9" s="51" t="s">
        <v>1447</v>
      </c>
      <c r="C9" s="53"/>
    </row>
    <row r="10" spans="1:3" ht="20.100000000000001" hidden="1" customHeight="1" x14ac:dyDescent="0.15">
      <c r="B10" s="51" t="s">
        <v>1448</v>
      </c>
      <c r="C10" s="53"/>
    </row>
    <row r="11" spans="1:3" ht="20.100000000000001" customHeight="1" x14ac:dyDescent="0.15">
      <c r="B11" s="51" t="s">
        <v>1449</v>
      </c>
      <c r="C11" s="54">
        <f>'part1-基本参数'!$F$15</f>
        <v>200000</v>
      </c>
    </row>
    <row r="12" spans="1:3" ht="20.100000000000001" customHeight="1" x14ac:dyDescent="0.15">
      <c r="B12" s="51" t="s">
        <v>1450</v>
      </c>
      <c r="C12" s="55">
        <f>'part1-基本参数'!$F$8</f>
        <v>34500</v>
      </c>
    </row>
    <row r="13" spans="1:3" ht="20.100000000000001" customHeight="1" x14ac:dyDescent="0.15">
      <c r="B13" s="51" t="s">
        <v>1451</v>
      </c>
      <c r="C13" s="54">
        <v>3.5000000000000003E-2</v>
      </c>
    </row>
    <row r="14" spans="1:3" ht="20.100000000000001" customHeight="1" x14ac:dyDescent="0.15">
      <c r="B14" s="51" t="s">
        <v>1452</v>
      </c>
      <c r="C14" s="54">
        <v>3.5000000000000003E-2</v>
      </c>
    </row>
    <row r="15" spans="1:3" ht="20.100000000000001" customHeight="1" x14ac:dyDescent="0.15">
      <c r="B15" s="51" t="s">
        <v>1453</v>
      </c>
      <c r="C15" s="55">
        <v>1.55</v>
      </c>
    </row>
    <row r="16" spans="1:3" ht="20.100000000000001" customHeight="1" x14ac:dyDescent="0.15">
      <c r="B16" s="51" t="s">
        <v>1454</v>
      </c>
      <c r="C16" s="56">
        <f>IF((0.7+300/C7/1000)&gt;=1.1,C15*1.1,C15*(0.7+300/C7/1000))</f>
        <v>1.55</v>
      </c>
    </row>
    <row r="17" spans="2:3" ht="20.100000000000001" customHeight="1" x14ac:dyDescent="0.15">
      <c r="B17" s="51" t="s">
        <v>1455</v>
      </c>
      <c r="C17" s="55">
        <v>0.85</v>
      </c>
    </row>
    <row r="18" spans="2:3" ht="20.100000000000001" customHeight="1" x14ac:dyDescent="0.15">
      <c r="B18" s="51" t="s">
        <v>1456</v>
      </c>
      <c r="C18" s="55">
        <f>'part1-基本参数'!F6</f>
        <v>2.64</v>
      </c>
    </row>
    <row r="19" spans="2:3" ht="20.100000000000001" customHeight="1" x14ac:dyDescent="0.15">
      <c r="B19" s="51" t="s">
        <v>1457</v>
      </c>
      <c r="C19" s="57">
        <v>3142</v>
      </c>
    </row>
    <row r="20" spans="2:3" ht="20.100000000000001" customHeight="1" x14ac:dyDescent="0.15">
      <c r="B20" s="51" t="s">
        <v>1458</v>
      </c>
      <c r="C20" s="57">
        <v>3142</v>
      </c>
    </row>
    <row r="21" spans="2:3" ht="20.100000000000001" customHeight="1" x14ac:dyDescent="0.15">
      <c r="B21" s="51" t="s">
        <v>1459</v>
      </c>
      <c r="C21" s="58">
        <f t="shared" ref="C21" si="0">C11/C12</f>
        <v>5.7971014492753623</v>
      </c>
    </row>
    <row r="22" spans="2:3" ht="20.100000000000001" customHeight="1" x14ac:dyDescent="0.15">
      <c r="B22" s="51" t="s">
        <v>1460</v>
      </c>
      <c r="C22" s="49">
        <f>IF(C5=0,0,ABS(C4/C5))</f>
        <v>0</v>
      </c>
    </row>
    <row r="23" spans="2:3" ht="20.100000000000001" customHeight="1" x14ac:dyDescent="0.15">
      <c r="B23" s="51" t="s">
        <v>1461</v>
      </c>
      <c r="C23" s="59">
        <f>C7-C13</f>
        <v>0.96499999999999997</v>
      </c>
    </row>
    <row r="24" spans="2:3" ht="20.100000000000001" customHeight="1" x14ac:dyDescent="0.15">
      <c r="B24" s="51" t="s">
        <v>1462</v>
      </c>
      <c r="C24" s="59">
        <f>C7*C8</f>
        <v>1</v>
      </c>
    </row>
    <row r="25" spans="2:3" ht="20.100000000000001" customHeight="1" x14ac:dyDescent="0.15">
      <c r="B25" s="51" t="s">
        <v>1463</v>
      </c>
      <c r="C25" s="59">
        <f>C8*C7^3/12</f>
        <v>8.3333333333333329E-2</v>
      </c>
    </row>
    <row r="26" spans="2:3" ht="20.100000000000001" customHeight="1" x14ac:dyDescent="0.15">
      <c r="B26" s="51" t="s">
        <v>1464</v>
      </c>
      <c r="C26" s="59">
        <f>C7/2</f>
        <v>0.5</v>
      </c>
    </row>
    <row r="27" spans="2:3" ht="20.100000000000001" customHeight="1" x14ac:dyDescent="0.15">
      <c r="B27" s="51" t="s">
        <v>1465</v>
      </c>
      <c r="C27" s="60">
        <f t="shared" ref="C27" si="1">C24+C19*C21+C20*C21</f>
        <v>36429.985507246376</v>
      </c>
    </row>
    <row r="28" spans="2:3" ht="20.100000000000001" customHeight="1" x14ac:dyDescent="0.15">
      <c r="B28" s="51" t="s">
        <v>1466</v>
      </c>
      <c r="C28" s="52">
        <f>(C24*C26+C21*C19*C23/10^6+C21*C20*C14/10^6)/(C24+C21*C19/10^6+C21*C20/10^6)</f>
        <v>0.5</v>
      </c>
    </row>
    <row r="29" spans="2:3" ht="20.100000000000001" customHeight="1" x14ac:dyDescent="0.15">
      <c r="B29" s="51" t="s">
        <v>1467</v>
      </c>
      <c r="C29" s="61">
        <f>C25+C24*(C28-C26)^2+C21*C19*(C23-C28)^2/10^6+C21*C20*(C28-C14)^2/10^6</f>
        <v>9.1210190724637666E-2</v>
      </c>
    </row>
    <row r="30" spans="2:3" ht="20.100000000000001" customHeight="1" x14ac:dyDescent="0.15">
      <c r="B30" s="51" t="s">
        <v>1468</v>
      </c>
      <c r="C30" s="61">
        <f>C29/(C7-C28)</f>
        <v>0.18242038144927533</v>
      </c>
    </row>
    <row r="31" spans="2:3" ht="20.100000000000001" customHeight="1" x14ac:dyDescent="0.15">
      <c r="B31" s="51" t="s">
        <v>1469</v>
      </c>
      <c r="C31" s="62" t="str">
        <f>IF(AND(C4=0,C5&gt;0),"轴心受拉构件",IF(AND(C4&lt;&gt;0,C5=0),"受弯构件",IF(AND(C4&lt;&gt;0,C5&gt;0),"偏心受拉构件",IF(AND(C4&lt;&gt;0,C5&lt;0),"偏心受压构件","轴心受压，不算抗裂"))))</f>
        <v>受弯构件</v>
      </c>
    </row>
    <row r="32" spans="2:3" ht="20.100000000000001" customHeight="1" x14ac:dyDescent="0.15">
      <c r="B32" s="63" t="s">
        <v>1470</v>
      </c>
      <c r="C32" s="62">
        <f>IF(C31="轴心受拉构件",C17*C18*C27/ABS(C5)*1000,IF(C31="受弯构件",C16*C17*C18*C30/ABS(C4)*1000,IF(C31="偏心受压构件",C16*C17*C18*C27*C30/(C22*C27-C30)/ABS(C5)*1000,IF(C31="偏心受拉构件",C16*C17*C18*C27*C30/(C22*C27+C16*C30)/ABS(C5)*1000,))))</f>
        <v>6.3449457075686944</v>
      </c>
    </row>
    <row r="33" spans="2:3" ht="20.100000000000001" customHeight="1" x14ac:dyDescent="0.15">
      <c r="B33" s="64" t="s">
        <v>1471</v>
      </c>
      <c r="C33" s="65" t="str">
        <f>IF(C32&gt;1,"抗裂","不抗裂")</f>
        <v>抗裂</v>
      </c>
    </row>
  </sheetData>
  <phoneticPr fontId="143" type="noConversion"/>
  <dataValidations count="1">
    <dataValidation type="list" allowBlank="1" showInputMessage="1" showErrorMessage="1" sqref="C6" xr:uid="{00000000-0002-0000-0700-000000000000}">
      <formula1>"矩形,T形"</formula1>
    </dataValidation>
  </dataValidations>
  <pageMargins left="0.7" right="0.7"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J61"/>
  <sheetViews>
    <sheetView workbookViewId="0">
      <selection activeCell="C24" sqref="C24"/>
    </sheetView>
  </sheetViews>
  <sheetFormatPr defaultColWidth="9" defaultRowHeight="13.5" x14ac:dyDescent="0.15"/>
  <cols>
    <col min="1" max="1" width="12.625" customWidth="1"/>
    <col min="2" max="2" width="60.75" customWidth="1"/>
    <col min="3" max="10" width="15.75" customWidth="1"/>
  </cols>
  <sheetData>
    <row r="3" spans="1:10" ht="20.100000000000001" customHeight="1" x14ac:dyDescent="0.15">
      <c r="A3" s="821" t="s">
        <v>1472</v>
      </c>
      <c r="B3" s="1" t="s">
        <v>1473</v>
      </c>
      <c r="C3" s="818" t="s">
        <v>1348</v>
      </c>
      <c r="D3" s="819"/>
      <c r="E3" s="819"/>
      <c r="F3" s="819"/>
      <c r="G3" s="819"/>
      <c r="H3" s="819"/>
      <c r="I3" s="819"/>
      <c r="J3" s="820"/>
    </row>
    <row r="4" spans="1:10" ht="20.100000000000001" customHeight="1" x14ac:dyDescent="0.15">
      <c r="A4" s="821"/>
      <c r="B4" s="2" t="s">
        <v>1474</v>
      </c>
      <c r="C4" s="3" t="s">
        <v>1475</v>
      </c>
      <c r="D4" s="4" t="str">
        <f>$C4</f>
        <v>二</v>
      </c>
      <c r="E4" s="4" t="str">
        <f t="shared" ref="D4:J20" si="0">$C4</f>
        <v>二</v>
      </c>
      <c r="F4" s="4" t="str">
        <f t="shared" si="0"/>
        <v>二</v>
      </c>
      <c r="G4" s="4" t="str">
        <f t="shared" si="0"/>
        <v>二</v>
      </c>
      <c r="H4" s="4" t="str">
        <f t="shared" si="0"/>
        <v>二</v>
      </c>
      <c r="I4" s="4" t="str">
        <f t="shared" si="0"/>
        <v>二</v>
      </c>
      <c r="J4" s="4" t="str">
        <f t="shared" si="0"/>
        <v>二</v>
      </c>
    </row>
    <row r="5" spans="1:10" ht="20.100000000000001" customHeight="1" x14ac:dyDescent="0.15">
      <c r="A5" s="821" t="s">
        <v>1476</v>
      </c>
      <c r="B5" s="5" t="s">
        <v>1477</v>
      </c>
      <c r="C5" s="3" t="s">
        <v>1279</v>
      </c>
      <c r="D5" s="6" t="str">
        <f t="shared" si="0"/>
        <v>C40</v>
      </c>
      <c r="E5" s="6" t="str">
        <f t="shared" si="0"/>
        <v>C40</v>
      </c>
      <c r="F5" s="6" t="str">
        <f t="shared" si="0"/>
        <v>C40</v>
      </c>
      <c r="G5" s="6" t="str">
        <f t="shared" si="0"/>
        <v>C40</v>
      </c>
      <c r="H5" s="6" t="str">
        <f t="shared" si="0"/>
        <v>C40</v>
      </c>
      <c r="I5" s="6" t="str">
        <f t="shared" si="0"/>
        <v>C40</v>
      </c>
      <c r="J5" s="35" t="str">
        <f t="shared" si="0"/>
        <v>C40</v>
      </c>
    </row>
    <row r="6" spans="1:10" ht="20.100000000000001" customHeight="1" x14ac:dyDescent="0.15">
      <c r="A6" s="821"/>
      <c r="B6" s="5" t="s">
        <v>1478</v>
      </c>
      <c r="C6" s="3" t="s">
        <v>188</v>
      </c>
      <c r="D6" s="7" t="str">
        <f t="shared" si="0"/>
        <v>HRB400</v>
      </c>
      <c r="E6" s="7" t="str">
        <f t="shared" si="0"/>
        <v>HRB400</v>
      </c>
      <c r="F6" s="7" t="str">
        <f t="shared" si="0"/>
        <v>HRB400</v>
      </c>
      <c r="G6" s="7" t="str">
        <f t="shared" si="0"/>
        <v>HRB400</v>
      </c>
      <c r="H6" s="7" t="str">
        <f t="shared" si="0"/>
        <v>HRB400</v>
      </c>
      <c r="I6" s="7" t="str">
        <f t="shared" si="0"/>
        <v>HRB400</v>
      </c>
      <c r="J6" s="36" t="str">
        <f t="shared" si="0"/>
        <v>HRB400</v>
      </c>
    </row>
    <row r="7" spans="1:10" ht="20.100000000000001" customHeight="1" x14ac:dyDescent="0.15">
      <c r="A7" s="821"/>
      <c r="B7" s="8" t="s">
        <v>1479</v>
      </c>
      <c r="C7" s="4">
        <f>LOOKUP(C5,{"C15","C20","C25","C30","C40","C50"},{7.2,9.6,11.9,14.3,19.1,23.1})</f>
        <v>19.100000000000001</v>
      </c>
      <c r="D7" s="4">
        <f t="shared" si="0"/>
        <v>19.100000000000001</v>
      </c>
      <c r="E7" s="4">
        <f t="shared" si="0"/>
        <v>19.100000000000001</v>
      </c>
      <c r="F7" s="4">
        <f t="shared" si="0"/>
        <v>19.100000000000001</v>
      </c>
      <c r="G7" s="4">
        <f t="shared" si="0"/>
        <v>19.100000000000001</v>
      </c>
      <c r="H7" s="4">
        <f t="shared" si="0"/>
        <v>19.100000000000001</v>
      </c>
      <c r="I7" s="4">
        <f t="shared" si="0"/>
        <v>19.100000000000001</v>
      </c>
      <c r="J7" s="37">
        <f t="shared" si="0"/>
        <v>19.100000000000001</v>
      </c>
    </row>
    <row r="8" spans="1:10" ht="20.100000000000001" customHeight="1" x14ac:dyDescent="0.15">
      <c r="A8" s="821"/>
      <c r="B8" s="9" t="s">
        <v>1480</v>
      </c>
      <c r="C8" s="10">
        <f>LOOKUP(C5,{"C15","C20","C25","C30","C40","C50"},{22000,25500,28000,30000,32500,34500})</f>
        <v>32500</v>
      </c>
      <c r="D8" s="10">
        <f>LOOKUP(D5,{"C15","C20","C25","C30","C40","C50"},{22000,25500,28000,30000,32500,34500})</f>
        <v>32500</v>
      </c>
      <c r="E8" s="10">
        <f>LOOKUP(E5,{"C15","C20","C25","C30","C40","C50"},{22000,25500,28000,30000,32500,34500})</f>
        <v>32500</v>
      </c>
      <c r="F8" s="10">
        <f>LOOKUP(F5,{"C15","C20","C25","C30","C40","C50"},{22000,25500,28000,30000,32500,34500})</f>
        <v>32500</v>
      </c>
      <c r="G8" s="10">
        <f>LOOKUP(G5,{"C15","C20","C25","C30","C40","C50"},{22000,25500,28000,30000,32500,34500})</f>
        <v>32500</v>
      </c>
      <c r="H8" s="10">
        <f>LOOKUP(H5,{"C15","C20","C25","C30","C40","C50"},{22000,25500,28000,30000,32500,34500})</f>
        <v>32500</v>
      </c>
      <c r="I8" s="10">
        <f>LOOKUP(I5,{"C15","C20","C25","C30","C40","C50"},{22000,25500,28000,30000,32500,34500})</f>
        <v>32500</v>
      </c>
      <c r="J8" s="10">
        <f>LOOKUP(J5,{"C15","C20","C25","C30","C40","C50"},{22000,25500,28000,30000,32500,34500})</f>
        <v>32500</v>
      </c>
    </row>
    <row r="9" spans="1:10" ht="20.100000000000001" customHeight="1" x14ac:dyDescent="0.15">
      <c r="A9" s="821" t="s">
        <v>1481</v>
      </c>
      <c r="B9" s="11" t="s">
        <v>1482</v>
      </c>
      <c r="C9" s="10">
        <f>LOOKUP(C6,{"HPB235","HRB335","HRB400"},{210000,200000,200000})</f>
        <v>200000</v>
      </c>
      <c r="D9" s="10">
        <f>LOOKUP(D6,{"HPB235","HRB335","HRB400"},{210000,200000,200000})</f>
        <v>200000</v>
      </c>
      <c r="E9" s="10">
        <f>LOOKUP(E6,{"HPB235","HRB335","HRB400"},{210000,200000,200000})</f>
        <v>200000</v>
      </c>
      <c r="F9" s="10">
        <f>LOOKUP(F6,{"HPB235","HRB335","HRB400"},{210000,200000,200000})</f>
        <v>200000</v>
      </c>
      <c r="G9" s="10">
        <f>LOOKUP(G6,{"HPB235","HRB335","HRB400"},{210000,200000,200000})</f>
        <v>200000</v>
      </c>
      <c r="H9" s="10">
        <f>LOOKUP(H6,{"HPB235","HRB335","HRB400"},{210000,200000,200000})</f>
        <v>200000</v>
      </c>
      <c r="I9" s="10">
        <f>LOOKUP(I6,{"HPB235","HRB335","HRB400"},{210000,200000,200000})</f>
        <v>200000</v>
      </c>
      <c r="J9" s="10">
        <f>LOOKUP(J6,{"HPB235","HRB335","HRB400"},{210000,200000,200000})</f>
        <v>200000</v>
      </c>
    </row>
    <row r="10" spans="1:10" ht="20.100000000000001" customHeight="1" x14ac:dyDescent="0.15">
      <c r="A10" s="821"/>
      <c r="B10" s="11" t="s">
        <v>1483</v>
      </c>
      <c r="C10" s="10">
        <f>LOOKUP(C6,{"HPB235","HRB335","HRB400"},{210,300,360})</f>
        <v>360</v>
      </c>
      <c r="D10" s="10">
        <f t="shared" si="0"/>
        <v>360</v>
      </c>
      <c r="E10" s="10">
        <f t="shared" si="0"/>
        <v>360</v>
      </c>
      <c r="F10" s="10">
        <f t="shared" si="0"/>
        <v>360</v>
      </c>
      <c r="G10" s="10">
        <f t="shared" si="0"/>
        <v>360</v>
      </c>
      <c r="H10" s="10">
        <f t="shared" si="0"/>
        <v>360</v>
      </c>
      <c r="I10" s="10">
        <f t="shared" si="0"/>
        <v>360</v>
      </c>
      <c r="J10" s="38">
        <f t="shared" si="0"/>
        <v>360</v>
      </c>
    </row>
    <row r="11" spans="1:10" ht="20.100000000000001" customHeight="1" x14ac:dyDescent="0.15">
      <c r="A11" s="821"/>
      <c r="B11" s="11" t="s">
        <v>1484</v>
      </c>
      <c r="C11" s="10">
        <f>LOOKUP(C6,{"HPB235","HRB335","HRB400"},{210,300,360})</f>
        <v>360</v>
      </c>
      <c r="D11" s="10">
        <f t="shared" si="0"/>
        <v>360</v>
      </c>
      <c r="E11" s="10">
        <f t="shared" si="0"/>
        <v>360</v>
      </c>
      <c r="F11" s="10">
        <f t="shared" si="0"/>
        <v>360</v>
      </c>
      <c r="G11" s="10">
        <f t="shared" si="0"/>
        <v>360</v>
      </c>
      <c r="H11" s="10">
        <f t="shared" si="0"/>
        <v>360</v>
      </c>
      <c r="I11" s="10">
        <f t="shared" si="0"/>
        <v>360</v>
      </c>
      <c r="J11" s="38">
        <f t="shared" si="0"/>
        <v>360</v>
      </c>
    </row>
    <row r="12" spans="1:10" ht="20.100000000000001" customHeight="1" x14ac:dyDescent="0.15">
      <c r="A12" s="821"/>
      <c r="B12" s="2" t="s">
        <v>1485</v>
      </c>
      <c r="C12" s="12">
        <v>3.5000000000000003E-2</v>
      </c>
      <c r="D12" s="13">
        <f t="shared" si="0"/>
        <v>3.5000000000000003E-2</v>
      </c>
      <c r="E12" s="13">
        <f t="shared" si="0"/>
        <v>3.5000000000000003E-2</v>
      </c>
      <c r="F12" s="13">
        <f t="shared" si="0"/>
        <v>3.5000000000000003E-2</v>
      </c>
      <c r="G12" s="13">
        <f t="shared" si="0"/>
        <v>3.5000000000000003E-2</v>
      </c>
      <c r="H12" s="13">
        <f t="shared" si="0"/>
        <v>3.5000000000000003E-2</v>
      </c>
      <c r="I12" s="13">
        <f t="shared" si="0"/>
        <v>3.5000000000000003E-2</v>
      </c>
      <c r="J12" s="39">
        <f t="shared" si="0"/>
        <v>3.5000000000000003E-2</v>
      </c>
    </row>
    <row r="13" spans="1:10" ht="20.100000000000001" customHeight="1" x14ac:dyDescent="0.15">
      <c r="A13" s="821"/>
      <c r="B13" s="2" t="s">
        <v>1486</v>
      </c>
      <c r="C13" s="13">
        <f>C12</f>
        <v>3.5000000000000003E-2</v>
      </c>
      <c r="D13" s="13">
        <f t="shared" si="0"/>
        <v>3.5000000000000003E-2</v>
      </c>
      <c r="E13" s="13">
        <f t="shared" si="0"/>
        <v>3.5000000000000003E-2</v>
      </c>
      <c r="F13" s="13">
        <f t="shared" si="0"/>
        <v>3.5000000000000003E-2</v>
      </c>
      <c r="G13" s="13">
        <f t="shared" si="0"/>
        <v>3.5000000000000003E-2</v>
      </c>
      <c r="H13" s="13">
        <f t="shared" si="0"/>
        <v>3.5000000000000003E-2</v>
      </c>
      <c r="I13" s="13">
        <f t="shared" si="0"/>
        <v>3.5000000000000003E-2</v>
      </c>
      <c r="J13" s="39">
        <f t="shared" si="0"/>
        <v>3.5000000000000003E-2</v>
      </c>
    </row>
    <row r="14" spans="1:10" ht="20.100000000000001" customHeight="1" x14ac:dyDescent="0.15">
      <c r="A14" s="821"/>
      <c r="B14" s="14" t="s">
        <v>1487</v>
      </c>
      <c r="C14" s="13">
        <f>0.8/(1+C10/(0.0033*C9))</f>
        <v>0.51764705882352946</v>
      </c>
      <c r="D14" s="13">
        <f t="shared" si="0"/>
        <v>0.51764705882352946</v>
      </c>
      <c r="E14" s="13">
        <f t="shared" si="0"/>
        <v>0.51764705882352946</v>
      </c>
      <c r="F14" s="13">
        <f t="shared" si="0"/>
        <v>0.51764705882352946</v>
      </c>
      <c r="G14" s="13">
        <f t="shared" si="0"/>
        <v>0.51764705882352946</v>
      </c>
      <c r="H14" s="13">
        <f t="shared" si="0"/>
        <v>0.51764705882352946</v>
      </c>
      <c r="I14" s="13">
        <f t="shared" si="0"/>
        <v>0.51764705882352946</v>
      </c>
      <c r="J14" s="39">
        <f t="shared" si="0"/>
        <v>0.51764705882352946</v>
      </c>
    </row>
    <row r="15" spans="1:10" ht="20.100000000000001" customHeight="1" x14ac:dyDescent="0.15">
      <c r="A15" s="821" t="s">
        <v>1488</v>
      </c>
      <c r="B15" s="14" t="s">
        <v>1489</v>
      </c>
      <c r="C15" s="15" t="s">
        <v>1034</v>
      </c>
      <c r="D15" s="15" t="str">
        <f>$C15</f>
        <v>1×7-15.20-1860</v>
      </c>
      <c r="E15" s="15" t="str">
        <f t="shared" si="0"/>
        <v>1×7-15.20-1860</v>
      </c>
      <c r="F15" s="15" t="str">
        <f t="shared" si="0"/>
        <v>1×7-15.20-1860</v>
      </c>
      <c r="G15" s="15" t="str">
        <f t="shared" si="0"/>
        <v>1×7-15.20-1860</v>
      </c>
      <c r="H15" s="15" t="str">
        <f t="shared" si="0"/>
        <v>1×7-15.20-1860</v>
      </c>
      <c r="I15" s="15" t="str">
        <f t="shared" si="0"/>
        <v>1×7-15.20-1860</v>
      </c>
      <c r="J15" s="15" t="str">
        <f t="shared" si="0"/>
        <v>1×7-15.20-1860</v>
      </c>
    </row>
    <row r="16" spans="1:10" ht="20.100000000000001" customHeight="1" x14ac:dyDescent="0.15">
      <c r="A16" s="821"/>
      <c r="B16" s="14" t="s">
        <v>1490</v>
      </c>
      <c r="C16" s="3">
        <v>140</v>
      </c>
      <c r="D16" s="10">
        <f t="shared" ref="D16:J25" si="1">$C16</f>
        <v>140</v>
      </c>
      <c r="E16" s="10">
        <f t="shared" si="0"/>
        <v>140</v>
      </c>
      <c r="F16" s="10">
        <f t="shared" si="0"/>
        <v>140</v>
      </c>
      <c r="G16" s="10">
        <f t="shared" si="0"/>
        <v>140</v>
      </c>
      <c r="H16" s="10">
        <f t="shared" si="0"/>
        <v>140</v>
      </c>
      <c r="I16" s="10">
        <f t="shared" si="0"/>
        <v>140</v>
      </c>
      <c r="J16" s="10">
        <f t="shared" si="0"/>
        <v>140</v>
      </c>
    </row>
    <row r="17" spans="1:10" ht="20.100000000000001" customHeight="1" x14ac:dyDescent="0.15">
      <c r="A17" s="821"/>
      <c r="B17" s="14" t="s">
        <v>1491</v>
      </c>
      <c r="C17" s="16">
        <v>2</v>
      </c>
      <c r="D17" s="10">
        <f t="shared" si="1"/>
        <v>2</v>
      </c>
      <c r="E17" s="10">
        <f t="shared" si="0"/>
        <v>2</v>
      </c>
      <c r="F17" s="10">
        <f t="shared" si="0"/>
        <v>2</v>
      </c>
      <c r="G17" s="10">
        <f t="shared" si="0"/>
        <v>2</v>
      </c>
      <c r="H17" s="10">
        <f t="shared" si="0"/>
        <v>2</v>
      </c>
      <c r="I17" s="10">
        <f t="shared" si="0"/>
        <v>2</v>
      </c>
      <c r="J17" s="10">
        <f t="shared" si="0"/>
        <v>2</v>
      </c>
    </row>
    <row r="18" spans="1:10" ht="20.100000000000001" customHeight="1" x14ac:dyDescent="0.15">
      <c r="A18" s="821"/>
      <c r="B18" s="14" t="s">
        <v>1492</v>
      </c>
      <c r="C18" s="10">
        <f>C16*C17</f>
        <v>280</v>
      </c>
      <c r="D18" s="10">
        <f t="shared" si="1"/>
        <v>280</v>
      </c>
      <c r="E18" s="10">
        <f t="shared" si="0"/>
        <v>280</v>
      </c>
      <c r="F18" s="10">
        <f t="shared" si="0"/>
        <v>280</v>
      </c>
      <c r="G18" s="10">
        <f t="shared" si="0"/>
        <v>280</v>
      </c>
      <c r="H18" s="10">
        <f t="shared" si="0"/>
        <v>280</v>
      </c>
      <c r="I18" s="10">
        <f t="shared" si="0"/>
        <v>280</v>
      </c>
      <c r="J18" s="10">
        <f t="shared" si="0"/>
        <v>280</v>
      </c>
    </row>
    <row r="19" spans="1:10" ht="20.100000000000001" customHeight="1" x14ac:dyDescent="0.15">
      <c r="A19" s="821"/>
      <c r="B19" s="14" t="s">
        <v>1493</v>
      </c>
      <c r="C19" s="3" t="s">
        <v>1494</v>
      </c>
      <c r="D19" s="10" t="str">
        <f t="shared" si="1"/>
        <v>3</v>
      </c>
      <c r="E19" s="10" t="str">
        <f t="shared" si="0"/>
        <v>3</v>
      </c>
      <c r="F19" s="10" t="str">
        <f t="shared" si="0"/>
        <v>3</v>
      </c>
      <c r="G19" s="10" t="str">
        <f t="shared" si="0"/>
        <v>3</v>
      </c>
      <c r="H19" s="10" t="str">
        <f t="shared" si="0"/>
        <v>3</v>
      </c>
      <c r="I19" s="10" t="str">
        <f t="shared" si="0"/>
        <v>3</v>
      </c>
      <c r="J19" s="10" t="str">
        <f t="shared" si="0"/>
        <v>3</v>
      </c>
    </row>
    <row r="20" spans="1:10" ht="20.100000000000001" customHeight="1" x14ac:dyDescent="0.15">
      <c r="A20" s="821"/>
      <c r="B20" s="14" t="s">
        <v>1495</v>
      </c>
      <c r="C20" s="17">
        <f>C28/C19</f>
        <v>0.33333333333333331</v>
      </c>
      <c r="D20" s="17">
        <f t="shared" si="1"/>
        <v>0.33333333333333331</v>
      </c>
      <c r="E20" s="17">
        <f t="shared" si="0"/>
        <v>0.33333333333333331</v>
      </c>
      <c r="F20" s="17">
        <f t="shared" si="0"/>
        <v>0.33333333333333331</v>
      </c>
      <c r="G20" s="17">
        <f t="shared" si="0"/>
        <v>0.33333333333333331</v>
      </c>
      <c r="H20" s="17">
        <f t="shared" si="0"/>
        <v>0.33333333333333331</v>
      </c>
      <c r="I20" s="17">
        <f t="shared" si="0"/>
        <v>0.33333333333333331</v>
      </c>
      <c r="J20" s="17">
        <f t="shared" si="0"/>
        <v>0.33333333333333331</v>
      </c>
    </row>
    <row r="21" spans="1:10" ht="20.100000000000001" customHeight="1" x14ac:dyDescent="0.15">
      <c r="A21" s="821"/>
      <c r="B21" s="14" t="s">
        <v>1496</v>
      </c>
      <c r="C21" s="3">
        <f>C18*C19</f>
        <v>840</v>
      </c>
      <c r="D21" s="10">
        <f t="shared" si="1"/>
        <v>840</v>
      </c>
      <c r="E21" s="10">
        <f t="shared" si="1"/>
        <v>840</v>
      </c>
      <c r="F21" s="10">
        <f t="shared" si="1"/>
        <v>840</v>
      </c>
      <c r="G21" s="10">
        <f t="shared" si="1"/>
        <v>840</v>
      </c>
      <c r="H21" s="10">
        <f t="shared" si="1"/>
        <v>840</v>
      </c>
      <c r="I21" s="10">
        <f t="shared" si="1"/>
        <v>840</v>
      </c>
      <c r="J21" s="10">
        <f t="shared" si="1"/>
        <v>840</v>
      </c>
    </row>
    <row r="22" spans="1:10" ht="20.100000000000001" customHeight="1" x14ac:dyDescent="0.15">
      <c r="A22" s="821"/>
      <c r="B22" s="14" t="s">
        <v>1497</v>
      </c>
      <c r="C22" s="3" t="s">
        <v>1498</v>
      </c>
      <c r="D22" s="10" t="str">
        <f t="shared" si="1"/>
        <v>1860</v>
      </c>
      <c r="E22" s="10" t="str">
        <f t="shared" si="1"/>
        <v>1860</v>
      </c>
      <c r="F22" s="10" t="str">
        <f t="shared" si="1"/>
        <v>1860</v>
      </c>
      <c r="G22" s="10" t="str">
        <f t="shared" si="1"/>
        <v>1860</v>
      </c>
      <c r="H22" s="10" t="str">
        <f t="shared" si="1"/>
        <v>1860</v>
      </c>
      <c r="I22" s="10" t="str">
        <f t="shared" si="1"/>
        <v>1860</v>
      </c>
      <c r="J22" s="10" t="str">
        <f t="shared" si="1"/>
        <v>1860</v>
      </c>
    </row>
    <row r="23" spans="1:10" ht="20.100000000000001" customHeight="1" x14ac:dyDescent="0.15">
      <c r="A23" s="821"/>
      <c r="B23" s="11" t="s">
        <v>1499</v>
      </c>
      <c r="C23" s="3" t="s">
        <v>1500</v>
      </c>
      <c r="D23" s="10" t="str">
        <f t="shared" si="1"/>
        <v>1320</v>
      </c>
      <c r="E23" s="10" t="str">
        <f t="shared" si="1"/>
        <v>1320</v>
      </c>
      <c r="F23" s="10" t="str">
        <f t="shared" si="1"/>
        <v>1320</v>
      </c>
      <c r="G23" s="10" t="str">
        <f t="shared" si="1"/>
        <v>1320</v>
      </c>
      <c r="H23" s="10" t="str">
        <f t="shared" si="1"/>
        <v>1320</v>
      </c>
      <c r="I23" s="10" t="str">
        <f t="shared" si="1"/>
        <v>1320</v>
      </c>
      <c r="J23" s="10" t="str">
        <f t="shared" si="1"/>
        <v>1320</v>
      </c>
    </row>
    <row r="24" spans="1:10" ht="20.100000000000001" customHeight="1" x14ac:dyDescent="0.15">
      <c r="A24" s="821"/>
      <c r="B24" s="11" t="s">
        <v>1501</v>
      </c>
      <c r="C24" s="3" t="s">
        <v>1502</v>
      </c>
      <c r="D24" s="10" t="str">
        <f t="shared" si="1"/>
        <v>390</v>
      </c>
      <c r="E24" s="10" t="str">
        <f t="shared" si="1"/>
        <v>390</v>
      </c>
      <c r="F24" s="10" t="str">
        <f t="shared" si="1"/>
        <v>390</v>
      </c>
      <c r="G24" s="10" t="str">
        <f t="shared" si="1"/>
        <v>390</v>
      </c>
      <c r="H24" s="10" t="str">
        <f t="shared" si="1"/>
        <v>390</v>
      </c>
      <c r="I24" s="10" t="str">
        <f t="shared" si="1"/>
        <v>390</v>
      </c>
      <c r="J24" s="10" t="str">
        <f t="shared" si="1"/>
        <v>390</v>
      </c>
    </row>
    <row r="25" spans="1:10" ht="20.100000000000001" customHeight="1" x14ac:dyDescent="0.15">
      <c r="A25" s="821"/>
      <c r="B25" s="11" t="s">
        <v>1503</v>
      </c>
      <c r="C25" s="3" t="s">
        <v>1504</v>
      </c>
      <c r="D25" s="10" t="str">
        <f t="shared" si="1"/>
        <v>195000</v>
      </c>
      <c r="E25" s="10" t="str">
        <f t="shared" si="1"/>
        <v>195000</v>
      </c>
      <c r="F25" s="10" t="str">
        <f t="shared" si="1"/>
        <v>195000</v>
      </c>
      <c r="G25" s="10" t="str">
        <f t="shared" si="1"/>
        <v>195000</v>
      </c>
      <c r="H25" s="10" t="str">
        <f t="shared" si="1"/>
        <v>195000</v>
      </c>
      <c r="I25" s="10" t="str">
        <f t="shared" si="1"/>
        <v>195000</v>
      </c>
      <c r="J25" s="10" t="str">
        <f t="shared" si="1"/>
        <v>195000</v>
      </c>
    </row>
    <row r="26" spans="1:10" ht="20.100000000000001" customHeight="1" x14ac:dyDescent="0.15">
      <c r="A26" s="824" t="s">
        <v>1505</v>
      </c>
      <c r="B26" s="5" t="s">
        <v>1506</v>
      </c>
      <c r="C26" s="18">
        <v>0</v>
      </c>
      <c r="D26" s="18"/>
      <c r="E26" s="18"/>
      <c r="F26" s="18"/>
      <c r="G26" s="18"/>
      <c r="H26" s="18"/>
      <c r="I26" s="18"/>
      <c r="J26" s="40"/>
    </row>
    <row r="27" spans="1:10" ht="20.100000000000001" customHeight="1" x14ac:dyDescent="0.15">
      <c r="A27" s="824"/>
      <c r="B27" s="2" t="s">
        <v>1507</v>
      </c>
      <c r="C27" s="19">
        <v>0.7</v>
      </c>
      <c r="D27" s="19">
        <v>0.35</v>
      </c>
      <c r="E27" s="19"/>
      <c r="F27" s="19"/>
      <c r="G27" s="19"/>
      <c r="H27" s="19"/>
      <c r="I27" s="19"/>
      <c r="J27" s="19"/>
    </row>
    <row r="28" spans="1:10" ht="20.100000000000001" customHeight="1" x14ac:dyDescent="0.15">
      <c r="A28" s="824"/>
      <c r="B28" s="2" t="s">
        <v>1508</v>
      </c>
      <c r="C28" s="20">
        <v>1</v>
      </c>
      <c r="D28" s="20">
        <v>1</v>
      </c>
      <c r="E28" s="20">
        <v>1</v>
      </c>
      <c r="F28" s="20">
        <v>1</v>
      </c>
      <c r="G28" s="20">
        <v>1</v>
      </c>
      <c r="H28" s="20">
        <v>1</v>
      </c>
      <c r="I28" s="20">
        <v>1</v>
      </c>
      <c r="J28" s="41">
        <v>1</v>
      </c>
    </row>
    <row r="29" spans="1:10" ht="20.100000000000001" customHeight="1" x14ac:dyDescent="0.15">
      <c r="A29" s="824" t="s">
        <v>1509</v>
      </c>
      <c r="B29" s="14" t="s">
        <v>1510</v>
      </c>
      <c r="C29" s="21">
        <v>1.4E-2</v>
      </c>
      <c r="D29" s="21">
        <f t="shared" ref="D29:J36" si="2">$C29</f>
        <v>1.4E-2</v>
      </c>
      <c r="E29" s="21">
        <f t="shared" si="2"/>
        <v>1.4E-2</v>
      </c>
      <c r="F29" s="21">
        <f t="shared" si="2"/>
        <v>1.4E-2</v>
      </c>
      <c r="G29" s="21">
        <f t="shared" si="2"/>
        <v>1.4E-2</v>
      </c>
      <c r="H29" s="21">
        <f t="shared" si="2"/>
        <v>1.4E-2</v>
      </c>
      <c r="I29" s="21">
        <f t="shared" si="2"/>
        <v>1.4E-2</v>
      </c>
      <c r="J29" s="21">
        <f t="shared" si="2"/>
        <v>1.4E-2</v>
      </c>
    </row>
    <row r="30" spans="1:10" ht="20.100000000000001" customHeight="1" x14ac:dyDescent="0.15">
      <c r="A30" s="824"/>
      <c r="B30" s="14" t="s">
        <v>1511</v>
      </c>
      <c r="C30" s="17">
        <v>0.15</v>
      </c>
      <c r="D30" s="17">
        <f t="shared" si="2"/>
        <v>0.15</v>
      </c>
      <c r="E30" s="17">
        <f t="shared" si="2"/>
        <v>0.15</v>
      </c>
      <c r="F30" s="17">
        <f t="shared" si="2"/>
        <v>0.15</v>
      </c>
      <c r="G30" s="17">
        <f t="shared" si="2"/>
        <v>0.15</v>
      </c>
      <c r="H30" s="17">
        <f t="shared" si="2"/>
        <v>0.15</v>
      </c>
      <c r="I30" s="17">
        <f t="shared" si="2"/>
        <v>0.15</v>
      </c>
      <c r="J30" s="17">
        <f t="shared" si="2"/>
        <v>0.15</v>
      </c>
    </row>
    <row r="31" spans="1:10" ht="20.100000000000001" customHeight="1" x14ac:dyDescent="0.15">
      <c r="A31" s="824"/>
      <c r="B31" s="14" t="s">
        <v>1512</v>
      </c>
      <c r="C31" s="22">
        <f>0.785*C29^2*C28/C30</f>
        <v>1.0257333333333336E-3</v>
      </c>
      <c r="D31" s="22">
        <f t="shared" si="2"/>
        <v>1.0257333333333336E-3</v>
      </c>
      <c r="E31" s="22">
        <f t="shared" si="2"/>
        <v>1.0257333333333336E-3</v>
      </c>
      <c r="F31" s="22">
        <f t="shared" si="2"/>
        <v>1.0257333333333336E-3</v>
      </c>
      <c r="G31" s="22">
        <f t="shared" si="2"/>
        <v>1.0257333333333336E-3</v>
      </c>
      <c r="H31" s="22">
        <f t="shared" si="2"/>
        <v>1.0257333333333336E-3</v>
      </c>
      <c r="I31" s="22">
        <f t="shared" si="2"/>
        <v>1.0257333333333336E-3</v>
      </c>
      <c r="J31" s="22">
        <f t="shared" si="2"/>
        <v>1.0257333333333336E-3</v>
      </c>
    </row>
    <row r="32" spans="1:10" ht="20.100000000000001" customHeight="1" x14ac:dyDescent="0.15">
      <c r="A32" s="824"/>
      <c r="B32" s="14" t="s">
        <v>1513</v>
      </c>
      <c r="C32" s="21">
        <v>1.4E-2</v>
      </c>
      <c r="D32" s="21">
        <f t="shared" si="2"/>
        <v>1.4E-2</v>
      </c>
      <c r="E32" s="21">
        <f t="shared" si="2"/>
        <v>1.4E-2</v>
      </c>
      <c r="F32" s="21">
        <f t="shared" si="2"/>
        <v>1.4E-2</v>
      </c>
      <c r="G32" s="21">
        <f t="shared" si="2"/>
        <v>1.4E-2</v>
      </c>
      <c r="H32" s="21">
        <f t="shared" si="2"/>
        <v>1.4E-2</v>
      </c>
      <c r="I32" s="21">
        <f t="shared" si="2"/>
        <v>1.4E-2</v>
      </c>
      <c r="J32" s="21">
        <f t="shared" si="2"/>
        <v>1.4E-2</v>
      </c>
    </row>
    <row r="33" spans="1:10" ht="20.100000000000001" customHeight="1" x14ac:dyDescent="0.15">
      <c r="A33" s="824"/>
      <c r="B33" s="14" t="s">
        <v>1514</v>
      </c>
      <c r="C33" s="17">
        <v>0.15</v>
      </c>
      <c r="D33" s="17">
        <f t="shared" si="2"/>
        <v>0.15</v>
      </c>
      <c r="E33" s="17">
        <f t="shared" si="2"/>
        <v>0.15</v>
      </c>
      <c r="F33" s="17">
        <f t="shared" si="2"/>
        <v>0.15</v>
      </c>
      <c r="G33" s="17">
        <f t="shared" si="2"/>
        <v>0.15</v>
      </c>
      <c r="H33" s="17">
        <f t="shared" si="2"/>
        <v>0.15</v>
      </c>
      <c r="I33" s="17">
        <f t="shared" si="2"/>
        <v>0.15</v>
      </c>
      <c r="J33" s="17">
        <f t="shared" si="2"/>
        <v>0.15</v>
      </c>
    </row>
    <row r="34" spans="1:10" ht="20.100000000000001" customHeight="1" x14ac:dyDescent="0.15">
      <c r="A34" s="824"/>
      <c r="B34" s="14" t="s">
        <v>1515</v>
      </c>
      <c r="C34" s="22">
        <f>0.785*C32^2*C28/C33</f>
        <v>1.0257333333333336E-3</v>
      </c>
      <c r="D34" s="22">
        <f t="shared" si="2"/>
        <v>1.0257333333333336E-3</v>
      </c>
      <c r="E34" s="22">
        <f t="shared" si="2"/>
        <v>1.0257333333333336E-3</v>
      </c>
      <c r="F34" s="22">
        <f t="shared" si="2"/>
        <v>1.0257333333333336E-3</v>
      </c>
      <c r="G34" s="22">
        <f t="shared" si="2"/>
        <v>1.0257333333333336E-3</v>
      </c>
      <c r="H34" s="22">
        <f t="shared" si="2"/>
        <v>1.0257333333333336E-3</v>
      </c>
      <c r="I34" s="22">
        <f t="shared" si="2"/>
        <v>1.0257333333333336E-3</v>
      </c>
      <c r="J34" s="22">
        <f t="shared" si="2"/>
        <v>1.0257333333333336E-3</v>
      </c>
    </row>
    <row r="35" spans="1:10" ht="20.100000000000001" customHeight="1" x14ac:dyDescent="0.15">
      <c r="A35" s="824"/>
      <c r="B35" s="14" t="s">
        <v>1516</v>
      </c>
      <c r="C35" s="23">
        <v>0.15</v>
      </c>
      <c r="D35" s="17">
        <f t="shared" si="2"/>
        <v>0.15</v>
      </c>
      <c r="E35" s="17">
        <f t="shared" si="2"/>
        <v>0.15</v>
      </c>
      <c r="F35" s="17">
        <f t="shared" si="2"/>
        <v>0.15</v>
      </c>
      <c r="G35" s="17">
        <f t="shared" si="2"/>
        <v>0.15</v>
      </c>
      <c r="H35" s="17">
        <f t="shared" si="2"/>
        <v>0.15</v>
      </c>
      <c r="I35" s="17">
        <f t="shared" si="2"/>
        <v>0.15</v>
      </c>
      <c r="J35" s="17">
        <f t="shared" si="2"/>
        <v>0.15</v>
      </c>
    </row>
    <row r="36" spans="1:10" ht="20.100000000000001" customHeight="1" x14ac:dyDescent="0.15">
      <c r="A36" s="824"/>
      <c r="B36" s="14" t="s">
        <v>1517</v>
      </c>
      <c r="C36" s="23">
        <v>0.05</v>
      </c>
      <c r="D36" s="17">
        <f t="shared" si="2"/>
        <v>0.05</v>
      </c>
      <c r="E36" s="17">
        <f t="shared" si="2"/>
        <v>0.05</v>
      </c>
      <c r="F36" s="17">
        <f t="shared" si="2"/>
        <v>0.05</v>
      </c>
      <c r="G36" s="17">
        <f t="shared" si="2"/>
        <v>0.05</v>
      </c>
      <c r="H36" s="17">
        <f t="shared" si="2"/>
        <v>0.05</v>
      </c>
      <c r="I36" s="17">
        <f t="shared" si="2"/>
        <v>0.05</v>
      </c>
      <c r="J36" s="17">
        <f t="shared" si="2"/>
        <v>0.05</v>
      </c>
    </row>
    <row r="37" spans="1:10" ht="20.100000000000001" customHeight="1" x14ac:dyDescent="0.15">
      <c r="A37" s="824"/>
      <c r="B37" s="14" t="s">
        <v>1518</v>
      </c>
      <c r="C37" s="22">
        <f>C21/10^6</f>
        <v>8.4000000000000003E-4</v>
      </c>
      <c r="D37" s="22">
        <f t="shared" ref="D37:J37" si="3">D21/10^6</f>
        <v>8.4000000000000003E-4</v>
      </c>
      <c r="E37" s="22">
        <f t="shared" si="3"/>
        <v>8.4000000000000003E-4</v>
      </c>
      <c r="F37" s="22">
        <f t="shared" si="3"/>
        <v>8.4000000000000003E-4</v>
      </c>
      <c r="G37" s="22">
        <f t="shared" si="3"/>
        <v>8.4000000000000003E-4</v>
      </c>
      <c r="H37" s="22">
        <f t="shared" si="3"/>
        <v>8.4000000000000003E-4</v>
      </c>
      <c r="I37" s="22">
        <f t="shared" si="3"/>
        <v>8.4000000000000003E-4</v>
      </c>
      <c r="J37" s="22">
        <f t="shared" si="3"/>
        <v>8.4000000000000003E-4</v>
      </c>
    </row>
    <row r="38" spans="1:10" ht="20.100000000000001" customHeight="1" x14ac:dyDescent="0.15">
      <c r="A38" s="825" t="s">
        <v>1519</v>
      </c>
      <c r="B38" s="24" t="s">
        <v>1520</v>
      </c>
      <c r="C38" s="25">
        <v>100</v>
      </c>
      <c r="D38" s="25">
        <v>100</v>
      </c>
      <c r="E38" s="25"/>
      <c r="F38" s="25"/>
      <c r="G38" s="25"/>
      <c r="H38" s="25"/>
      <c r="I38" s="25"/>
      <c r="J38" s="25"/>
    </row>
    <row r="39" spans="1:10" ht="20.100000000000001" customHeight="1" x14ac:dyDescent="0.15">
      <c r="A39" s="825"/>
      <c r="B39" s="24" t="s">
        <v>1521</v>
      </c>
      <c r="C39" s="25">
        <v>200</v>
      </c>
      <c r="D39" s="25">
        <v>200</v>
      </c>
      <c r="E39" s="25"/>
      <c r="F39" s="25"/>
      <c r="G39" s="25"/>
      <c r="H39" s="25"/>
      <c r="I39" s="25"/>
      <c r="J39" s="25"/>
    </row>
    <row r="40" spans="1:10" ht="20.100000000000001" customHeight="1" x14ac:dyDescent="0.15">
      <c r="A40" s="824" t="s">
        <v>1522</v>
      </c>
      <c r="B40" s="24" t="s">
        <v>1523</v>
      </c>
      <c r="C40" s="4">
        <f>0.7*C22*0.4</f>
        <v>520.80000000000007</v>
      </c>
      <c r="D40" s="4">
        <f t="shared" ref="D40:J40" si="4">0.7*D22*0.4</f>
        <v>520.80000000000007</v>
      </c>
      <c r="E40" s="4">
        <f t="shared" si="4"/>
        <v>520.80000000000007</v>
      </c>
      <c r="F40" s="4">
        <f t="shared" si="4"/>
        <v>520.80000000000007</v>
      </c>
      <c r="G40" s="4">
        <f t="shared" si="4"/>
        <v>520.80000000000007</v>
      </c>
      <c r="H40" s="4">
        <f t="shared" si="4"/>
        <v>520.80000000000007</v>
      </c>
      <c r="I40" s="4">
        <f t="shared" si="4"/>
        <v>520.80000000000007</v>
      </c>
      <c r="J40" s="4">
        <f t="shared" si="4"/>
        <v>520.80000000000007</v>
      </c>
    </row>
    <row r="41" spans="1:10" ht="20.100000000000001" customHeight="1" x14ac:dyDescent="0.15">
      <c r="A41" s="824"/>
      <c r="B41" s="24" t="s">
        <v>1524</v>
      </c>
      <c r="C41" s="4">
        <f>C22*0.7-C40</f>
        <v>781.19999999999993</v>
      </c>
      <c r="D41" s="4">
        <f t="shared" ref="D41:J41" si="5">D22*0.7-D40</f>
        <v>781.19999999999993</v>
      </c>
      <c r="E41" s="4">
        <f t="shared" si="5"/>
        <v>781.19999999999993</v>
      </c>
      <c r="F41" s="4">
        <f t="shared" si="5"/>
        <v>781.19999999999993</v>
      </c>
      <c r="G41" s="4">
        <f t="shared" si="5"/>
        <v>781.19999999999993</v>
      </c>
      <c r="H41" s="4">
        <f t="shared" si="5"/>
        <v>781.19999999999993</v>
      </c>
      <c r="I41" s="4">
        <f t="shared" si="5"/>
        <v>781.19999999999993</v>
      </c>
      <c r="J41" s="4">
        <f t="shared" si="5"/>
        <v>781.19999999999993</v>
      </c>
    </row>
    <row r="42" spans="1:10" ht="20.100000000000001" customHeight="1" x14ac:dyDescent="0.15">
      <c r="A42" s="824"/>
      <c r="B42" s="26" t="s">
        <v>1525</v>
      </c>
      <c r="C42" s="27">
        <f>C27*C28+((C9/C8-1)*(C31+C34))-0.785*C36^2*C19</f>
        <v>0.7046854435897435</v>
      </c>
      <c r="D42" s="27">
        <f t="shared" ref="D42:J42" si="6">D27*D28+((D9/D8-1)*(D31+D34))-0.785*D36^2*D19</f>
        <v>0.35468544358974358</v>
      </c>
      <c r="E42" s="27">
        <f t="shared" si="6"/>
        <v>4.6854435897435934E-3</v>
      </c>
      <c r="F42" s="27">
        <f t="shared" si="6"/>
        <v>4.6854435897435934E-3</v>
      </c>
      <c r="G42" s="27">
        <f t="shared" si="6"/>
        <v>4.6854435897435934E-3</v>
      </c>
      <c r="H42" s="27">
        <f t="shared" si="6"/>
        <v>4.6854435897435934E-3</v>
      </c>
      <c r="I42" s="27">
        <f t="shared" si="6"/>
        <v>4.6854435897435934E-3</v>
      </c>
      <c r="J42" s="27">
        <f t="shared" si="6"/>
        <v>4.6854435897435934E-3</v>
      </c>
    </row>
    <row r="43" spans="1:10" ht="20.100000000000001" customHeight="1" x14ac:dyDescent="0.15">
      <c r="A43" s="824"/>
      <c r="B43" s="28" t="s">
        <v>1526</v>
      </c>
      <c r="C43" s="27">
        <f>((C27*C28*C27/2)+(C9/C8*0.785*C29^2*(C28/C30)*(C27-C13))+(C9/C8*0.785*C32^2*(C28/C33)*(C12)-0.785*C36^2*C35))/((C27*C28+(C9/C8*0.785*C29^2*(C28/C30))+(C9/C8*0.785*C32^2*(C28/C33))-0.785*C36^2))</f>
        <v>0.35055230200793835</v>
      </c>
      <c r="D43" s="27">
        <f t="shared" ref="D43:J43" si="7">((D27*D28*D27/2)+(D9/D8*0.785*D29^2*(D28/D30)*(D27-D13))+(D9/D8*0.785*D32^2*(D28/D33)*(D12)-0.785*D36^2*D35))/((D27*D28+(D9/D8*0.785*D29^2*(D28/D30))+(D9/D8*0.785*D32^2*(D28/D33))-0.785*D36^2))</f>
        <v>0.17513603460361288</v>
      </c>
      <c r="E43" s="27">
        <f t="shared" si="7"/>
        <v>-2.7609967906362089E-2</v>
      </c>
      <c r="F43" s="27">
        <f t="shared" si="7"/>
        <v>-2.7609967906362089E-2</v>
      </c>
      <c r="G43" s="27">
        <f t="shared" si="7"/>
        <v>-2.7609967906362089E-2</v>
      </c>
      <c r="H43" s="27">
        <f t="shared" si="7"/>
        <v>-2.7609967906362089E-2</v>
      </c>
      <c r="I43" s="27">
        <f t="shared" si="7"/>
        <v>-2.7609967906362089E-2</v>
      </c>
      <c r="J43" s="27">
        <f t="shared" si="7"/>
        <v>-2.7609967906362089E-2</v>
      </c>
    </row>
    <row r="44" spans="1:10" ht="20.100000000000001" customHeight="1" x14ac:dyDescent="0.15">
      <c r="A44" s="824"/>
      <c r="B44" s="28" t="s">
        <v>1527</v>
      </c>
      <c r="C44" s="27">
        <f>C43-C27/2</f>
        <v>5.5230200793837669E-4</v>
      </c>
      <c r="D44" s="27">
        <f t="shared" ref="D44:J44" si="8">D43-D27/2</f>
        <v>1.3603460361288899E-4</v>
      </c>
      <c r="E44" s="27">
        <f t="shared" si="8"/>
        <v>-2.7609967906362089E-2</v>
      </c>
      <c r="F44" s="27">
        <f t="shared" si="8"/>
        <v>-2.7609967906362089E-2</v>
      </c>
      <c r="G44" s="27">
        <f t="shared" si="8"/>
        <v>-2.7609967906362089E-2</v>
      </c>
      <c r="H44" s="27">
        <f t="shared" si="8"/>
        <v>-2.7609967906362089E-2</v>
      </c>
      <c r="I44" s="27">
        <f t="shared" si="8"/>
        <v>-2.7609967906362089E-2</v>
      </c>
      <c r="J44" s="27">
        <f t="shared" si="8"/>
        <v>-2.7609967906362089E-2</v>
      </c>
    </row>
    <row r="45" spans="1:10" ht="20.100000000000001" customHeight="1" x14ac:dyDescent="0.15">
      <c r="A45" s="824"/>
      <c r="B45" s="28" t="s">
        <v>1528</v>
      </c>
      <c r="C45" s="29">
        <f>(1/12*C28*C27^3+(C28*C27*(C43-C27/2)^2)-(1/64*3.14*C36^4+0.785*C36^2*(C43-C35)^2))+(C9/C8*0.785*C29^2*(C28/C30)*(C27-C13-C43)^2)+(C9/C8*0.785*C32^2*(C28/C33)*(C43-C12)^2)</f>
        <v>2.9756967021862517E-2</v>
      </c>
      <c r="D45" s="29">
        <f t="shared" ref="D45:J45" si="9">(1/12*D28*D27^3+(D28*D27*(D43-D27/2)^2)-(1/64*3.14*D36^4+0.785*D36^2*(D43-D35)^2))+(D9/D8*0.785*D29^2*(D28/D30)*(D27-D13-D43)^2)+(D9/D8*0.785*D32^2*(D28/D33)*(D43-D12)^2)</f>
        <v>3.8188152303695664E-3</v>
      </c>
      <c r="E45" s="29">
        <f t="shared" si="9"/>
        <v>-3.7125672363332756E-5</v>
      </c>
      <c r="F45" s="29">
        <f t="shared" si="9"/>
        <v>-3.7125672363332756E-5</v>
      </c>
      <c r="G45" s="29">
        <f t="shared" si="9"/>
        <v>-3.7125672363332756E-5</v>
      </c>
      <c r="H45" s="29">
        <f t="shared" si="9"/>
        <v>-3.7125672363332756E-5</v>
      </c>
      <c r="I45" s="29">
        <f t="shared" si="9"/>
        <v>-3.7125672363332756E-5</v>
      </c>
      <c r="J45" s="29">
        <f t="shared" si="9"/>
        <v>-3.7125672363332756E-5</v>
      </c>
    </row>
    <row r="46" spans="1:10" ht="20.100000000000001" customHeight="1" x14ac:dyDescent="0.15">
      <c r="A46" s="824"/>
      <c r="B46" s="5" t="s">
        <v>1529</v>
      </c>
      <c r="C46" s="30">
        <f>C43-C27/2</f>
        <v>5.5230200793837669E-4</v>
      </c>
      <c r="D46" s="30">
        <f t="shared" ref="D46:J46" si="10">D43-D27/2</f>
        <v>1.3603460361288899E-4</v>
      </c>
      <c r="E46" s="30">
        <f t="shared" si="10"/>
        <v>-2.7609967906362089E-2</v>
      </c>
      <c r="F46" s="30">
        <f t="shared" si="10"/>
        <v>-2.7609967906362089E-2</v>
      </c>
      <c r="G46" s="30">
        <f t="shared" si="10"/>
        <v>-2.7609967906362089E-2</v>
      </c>
      <c r="H46" s="30">
        <f t="shared" si="10"/>
        <v>-2.7609967906362089E-2</v>
      </c>
      <c r="I46" s="30">
        <f t="shared" si="10"/>
        <v>-2.7609967906362089E-2</v>
      </c>
      <c r="J46" s="30">
        <f t="shared" si="10"/>
        <v>-2.7609967906362089E-2</v>
      </c>
    </row>
    <row r="47" spans="1:10" ht="20.100000000000001" customHeight="1" x14ac:dyDescent="0.15">
      <c r="A47" s="824"/>
      <c r="B47" s="5" t="s">
        <v>1530</v>
      </c>
      <c r="C47" s="25">
        <f>C41*C21/10^6/C42+C41*C21/10^6*C46/C45*C46</f>
        <v>0.93121370140537119</v>
      </c>
      <c r="D47" s="25">
        <f t="shared" ref="D47:J47" si="11">D41*D21/10^6/D42+D41*D21/10^6*D46/D45*D46</f>
        <v>1.8501157567058124</v>
      </c>
      <c r="E47" s="25">
        <f t="shared" si="11"/>
        <v>126.57840501916914</v>
      </c>
      <c r="F47" s="25">
        <f t="shared" si="11"/>
        <v>126.57840501916914</v>
      </c>
      <c r="G47" s="25">
        <f t="shared" si="11"/>
        <v>126.57840501916914</v>
      </c>
      <c r="H47" s="25">
        <f t="shared" si="11"/>
        <v>126.57840501916914</v>
      </c>
      <c r="I47" s="25">
        <f t="shared" si="11"/>
        <v>126.57840501916914</v>
      </c>
      <c r="J47" s="25">
        <f t="shared" si="11"/>
        <v>126.57840501916914</v>
      </c>
    </row>
    <row r="48" spans="1:10" ht="20.100000000000001" customHeight="1" x14ac:dyDescent="0.15">
      <c r="A48" s="824"/>
      <c r="B48" s="24" t="s">
        <v>1531</v>
      </c>
      <c r="C48" s="25">
        <f>(35+280*(C47/C7))/(1+15*(0.785*C29^2*(C28/C30)+C21/10^6)/C42)</f>
        <v>46.792956730547964</v>
      </c>
      <c r="D48" s="25">
        <f t="shared" ref="D48:J48" si="12">(35+280*(D47/D7))/(1+15*(0.785*D29^2*(D28/D30)+D21/10^6)/D42)</f>
        <v>57.578924610563504</v>
      </c>
      <c r="E48" s="25">
        <f t="shared" si="12"/>
        <v>271.13274039145767</v>
      </c>
      <c r="F48" s="25">
        <f t="shared" si="12"/>
        <v>271.13274039145767</v>
      </c>
      <c r="G48" s="25">
        <f t="shared" si="12"/>
        <v>271.13274039145767</v>
      </c>
      <c r="H48" s="25">
        <f t="shared" si="12"/>
        <v>271.13274039145767</v>
      </c>
      <c r="I48" s="25">
        <f t="shared" si="12"/>
        <v>271.13274039145767</v>
      </c>
      <c r="J48" s="25">
        <f t="shared" si="12"/>
        <v>271.13274039145767</v>
      </c>
    </row>
    <row r="49" spans="1:10" ht="20.100000000000001" customHeight="1" x14ac:dyDescent="0.15">
      <c r="A49" s="824"/>
      <c r="B49" s="24" t="s">
        <v>1532</v>
      </c>
      <c r="C49" s="25">
        <f>(C37*C41-C31*C48-C34*C48)*10^3</f>
        <v>560.2138090325052</v>
      </c>
      <c r="D49" s="25">
        <f t="shared" ref="D49:J49" si="13">D37*D41-D31*D48-D34*D48</f>
        <v>0.53808675545891604</v>
      </c>
      <c r="E49" s="25">
        <f t="shared" si="13"/>
        <v>9.9988220844937525E-2</v>
      </c>
      <c r="F49" s="25">
        <f t="shared" si="13"/>
        <v>9.9988220844937525E-2</v>
      </c>
      <c r="G49" s="25">
        <f t="shared" si="13"/>
        <v>9.9988220844937525E-2</v>
      </c>
      <c r="H49" s="25">
        <f t="shared" si="13"/>
        <v>9.9988220844937525E-2</v>
      </c>
      <c r="I49" s="25">
        <f t="shared" si="13"/>
        <v>9.9988220844937525E-2</v>
      </c>
      <c r="J49" s="25">
        <f t="shared" si="13"/>
        <v>9.9988220844937525E-2</v>
      </c>
    </row>
    <row r="50" spans="1:10" ht="20.100000000000001" customHeight="1" x14ac:dyDescent="0.15">
      <c r="A50" s="824"/>
      <c r="B50" s="5" t="s">
        <v>1533</v>
      </c>
      <c r="C50" s="25">
        <f>C41*C37*(C43-C35)/C49</f>
        <v>2.3491749555996607E-4</v>
      </c>
      <c r="D50" s="25">
        <f t="shared" ref="D50:J50" si="14">D41*D37*(D43-D35)/D49</f>
        <v>3.0653917473029101E-2</v>
      </c>
      <c r="E50" s="25">
        <f t="shared" si="14"/>
        <v>-1.1656281193426097</v>
      </c>
      <c r="F50" s="25">
        <f t="shared" si="14"/>
        <v>-1.1656281193426097</v>
      </c>
      <c r="G50" s="25">
        <f t="shared" si="14"/>
        <v>-1.1656281193426097</v>
      </c>
      <c r="H50" s="25">
        <f t="shared" si="14"/>
        <v>-1.1656281193426097</v>
      </c>
      <c r="I50" s="25">
        <f t="shared" si="14"/>
        <v>-1.1656281193426097</v>
      </c>
      <c r="J50" s="25">
        <f t="shared" si="14"/>
        <v>-1.1656281193426097</v>
      </c>
    </row>
    <row r="51" spans="1:10" ht="20.100000000000001" customHeight="1" x14ac:dyDescent="0.15">
      <c r="A51" s="824"/>
      <c r="B51" s="24" t="s">
        <v>1534</v>
      </c>
      <c r="C51" s="25">
        <f>C49/C42+C49*C50/C45*C43</f>
        <v>796.53458463928416</v>
      </c>
      <c r="D51" s="25">
        <f t="shared" ref="D51:J51" si="15">D49/D42+D49*D50/D45*D43</f>
        <v>2.2735401654188339</v>
      </c>
      <c r="E51" s="25">
        <f t="shared" si="15"/>
        <v>-65.336130878664974</v>
      </c>
      <c r="F51" s="25">
        <f t="shared" si="15"/>
        <v>-65.336130878664974</v>
      </c>
      <c r="G51" s="25">
        <f t="shared" si="15"/>
        <v>-65.336130878664974</v>
      </c>
      <c r="H51" s="25">
        <f t="shared" si="15"/>
        <v>-65.336130878664974</v>
      </c>
      <c r="I51" s="25">
        <f t="shared" si="15"/>
        <v>-65.336130878664974</v>
      </c>
      <c r="J51" s="25">
        <f t="shared" si="15"/>
        <v>-65.336130878664974</v>
      </c>
    </row>
    <row r="52" spans="1:10" ht="20.100000000000001" customHeight="1" x14ac:dyDescent="0.15">
      <c r="A52" s="824"/>
      <c r="B52" s="24" t="s">
        <v>1535</v>
      </c>
      <c r="C52" s="25">
        <f>C49/C42-C49*C50/C45*(C27-C43)</f>
        <v>793.43874434650377</v>
      </c>
      <c r="D52" s="25">
        <f t="shared" ref="D52:J52" si="16">D49/D42-D49*D50/D45*(D27-D43)</f>
        <v>0.76179814595748041</v>
      </c>
      <c r="E52" s="25">
        <f t="shared" si="16"/>
        <v>-65.336130878664974</v>
      </c>
      <c r="F52" s="25">
        <f t="shared" si="16"/>
        <v>-65.336130878664974</v>
      </c>
      <c r="G52" s="25">
        <f t="shared" si="16"/>
        <v>-65.336130878664974</v>
      </c>
      <c r="H52" s="25">
        <f t="shared" si="16"/>
        <v>-65.336130878664974</v>
      </c>
      <c r="I52" s="25">
        <f t="shared" si="16"/>
        <v>-65.336130878664974</v>
      </c>
      <c r="J52" s="25">
        <f t="shared" si="16"/>
        <v>-65.336130878664974</v>
      </c>
    </row>
    <row r="53" spans="1:10" ht="20.100000000000001" customHeight="1" x14ac:dyDescent="0.15">
      <c r="A53" s="824"/>
      <c r="B53" s="26" t="s">
        <v>1536</v>
      </c>
      <c r="C53" s="31">
        <f>C42+(C25/C8*C37)</f>
        <v>0.70972544358974354</v>
      </c>
      <c r="D53" s="31">
        <f t="shared" ref="D53:J53" si="17">D42+(D25/D8*D37)</f>
        <v>0.35972544358974357</v>
      </c>
      <c r="E53" s="31">
        <f t="shared" si="17"/>
        <v>9.7254435897435945E-3</v>
      </c>
      <c r="F53" s="31">
        <f t="shared" si="17"/>
        <v>9.7254435897435945E-3</v>
      </c>
      <c r="G53" s="31">
        <f t="shared" si="17"/>
        <v>9.7254435897435945E-3</v>
      </c>
      <c r="H53" s="31">
        <f t="shared" si="17"/>
        <v>9.7254435897435945E-3</v>
      </c>
      <c r="I53" s="31">
        <f t="shared" si="17"/>
        <v>9.7254435897435945E-3</v>
      </c>
      <c r="J53" s="31">
        <f t="shared" si="17"/>
        <v>9.7254435897435945E-3</v>
      </c>
    </row>
    <row r="54" spans="1:10" ht="20.100000000000001" customHeight="1" x14ac:dyDescent="0.15">
      <c r="A54" s="824"/>
      <c r="B54" s="28" t="s">
        <v>1537</v>
      </c>
      <c r="C54" s="22">
        <f>((C27*C28*C27/2)+(C9/C8*0.785*C29^2*(C28/C30)*(C27-C13))+(C9/C8*0.785*C32^2*(C28/C33)*(C12)-0.785*C36^2*C35)+(C25/C7*C37*C35))/((C27*C28+(C9/C8*0.785*C29^2*(C28/C30))+(C9/C8*0.785*C32^2*(C28/C33))-0.785*C36^2)+C25/C7*C37)</f>
        <v>0.16534740567441369</v>
      </c>
      <c r="D54" s="22">
        <f t="shared" ref="D54:J54" si="18">((D27*D28*D27/2)+(D9/D8*0.785*D29^2*(D28/D30)*(D27-D13))+(D9/D8*0.785*D32^2*(D28/D33)*(D12)-0.785*D36^2*D35)+(D25/D7*D37*D35))/((D27*D28+(D9/D8*0.785*D29^2*(D28/D30))+(D9/D8*0.785*D32^2*(D28/D33))-0.785*D36^2)+D25/D7*D37)</f>
        <v>0.15101443864908431</v>
      </c>
      <c r="E54" s="22">
        <f t="shared" si="18"/>
        <v>0.14977946260926661</v>
      </c>
      <c r="F54" s="22">
        <f t="shared" si="18"/>
        <v>0.14977946260926661</v>
      </c>
      <c r="G54" s="22">
        <f t="shared" si="18"/>
        <v>0.14977946260926661</v>
      </c>
      <c r="H54" s="22">
        <f t="shared" si="18"/>
        <v>0.14977946260926661</v>
      </c>
      <c r="I54" s="22">
        <f t="shared" si="18"/>
        <v>0.14977946260926661</v>
      </c>
      <c r="J54" s="22">
        <f t="shared" si="18"/>
        <v>0.14977946260926661</v>
      </c>
    </row>
    <row r="55" spans="1:10" ht="20.100000000000001" customHeight="1" x14ac:dyDescent="0.15">
      <c r="A55" s="824"/>
      <c r="B55" s="28" t="s">
        <v>1538</v>
      </c>
      <c r="C55" s="31">
        <f>(1/12*C28*C27^3+(C28*C27*(C54-C27/2)^2)-(1/64*3.14*C36^4+0.785*C36^2*(C54-C35)^2))+(C9/C8*0.785*C29^2*(C28/C30)*(C27-C13-C54)^2)+(C9/C8*0.785*C32^2*(C28/C33)*(C54-C12)^2)+(1/64*3.14*(SQRT(4*C18/3.14)/1000)^4+C18/10^6*(C54-C35)^2)*C19</f>
        <v>5.4133493765196238E-2</v>
      </c>
      <c r="D55" s="31">
        <f t="shared" ref="D55:J55" si="19">(1/12*D28*D27^3+(D28*D27*(D54-D27/2)^2)-(1/64*3.14*D36^4+0.785*D36^2*(D54-D35)^2))+(D9/D8*0.785*D29^2*(D28/D30)*(D27-D13-D54)^2)+(D9/D8*0.785*D32^2*(D28/D33)*(D54-D12)^2)+(1/64*3.14*(SQRT(D18/3.14)/1000)^4+D18/10^6*(D54-D35)^2)*D19</f>
        <v>4.0286688994891221E-3</v>
      </c>
      <c r="E55" s="31">
        <f t="shared" si="19"/>
        <v>2.9837397615667686E-4</v>
      </c>
      <c r="F55" s="31">
        <f t="shared" si="19"/>
        <v>2.9837397615667686E-4</v>
      </c>
      <c r="G55" s="31">
        <f t="shared" si="19"/>
        <v>2.9837397615667686E-4</v>
      </c>
      <c r="H55" s="31">
        <f t="shared" si="19"/>
        <v>2.9837397615667686E-4</v>
      </c>
      <c r="I55" s="31">
        <f t="shared" si="19"/>
        <v>2.9837397615667686E-4</v>
      </c>
      <c r="J55" s="31">
        <f t="shared" si="19"/>
        <v>2.9837397615667686E-4</v>
      </c>
    </row>
    <row r="56" spans="1:10" ht="20.100000000000001" customHeight="1" x14ac:dyDescent="0.15">
      <c r="A56" s="824"/>
      <c r="B56" s="24" t="s">
        <v>1539</v>
      </c>
      <c r="C56" s="32">
        <f>(C39/C53+C38/C55*C54)</f>
        <v>587.24292201718345</v>
      </c>
      <c r="D56" s="32">
        <f t="shared" ref="D56:J56" si="20">(D39/D53-D38/D55*D54)/1000</f>
        <v>-3.1925150849492376</v>
      </c>
      <c r="E56" s="32">
        <f t="shared" si="20"/>
        <v>0</v>
      </c>
      <c r="F56" s="32">
        <f t="shared" si="20"/>
        <v>0</v>
      </c>
      <c r="G56" s="32">
        <f t="shared" si="20"/>
        <v>0</v>
      </c>
      <c r="H56" s="32">
        <f t="shared" si="20"/>
        <v>0</v>
      </c>
      <c r="I56" s="32">
        <f t="shared" si="20"/>
        <v>0</v>
      </c>
      <c r="J56" s="32">
        <f t="shared" si="20"/>
        <v>0</v>
      </c>
    </row>
    <row r="57" spans="1:10" ht="20.100000000000001" customHeight="1" x14ac:dyDescent="0.15">
      <c r="A57" s="824"/>
      <c r="B57" s="24" t="s">
        <v>1540</v>
      </c>
      <c r="C57" s="32">
        <f>(C39/C53-C38/C55*C54)</f>
        <v>-23.64469736170696</v>
      </c>
      <c r="D57" s="32">
        <f t="shared" ref="D57:J57" si="21">(D39/D53+D38/D55*D54)/1000</f>
        <v>4.304474239154044</v>
      </c>
      <c r="E57" s="32">
        <f t="shared" si="21"/>
        <v>0</v>
      </c>
      <c r="F57" s="32">
        <f t="shared" si="21"/>
        <v>0</v>
      </c>
      <c r="G57" s="32">
        <f t="shared" si="21"/>
        <v>0</v>
      </c>
      <c r="H57" s="32">
        <f t="shared" si="21"/>
        <v>0</v>
      </c>
      <c r="I57" s="32">
        <f t="shared" si="21"/>
        <v>0</v>
      </c>
      <c r="J57" s="32">
        <f t="shared" si="21"/>
        <v>0</v>
      </c>
    </row>
    <row r="58" spans="1:10" ht="20.100000000000001" customHeight="1" x14ac:dyDescent="0.15">
      <c r="A58" s="824"/>
      <c r="B58" s="24" t="s">
        <v>1541</v>
      </c>
      <c r="C58" s="13">
        <f>C51+C56</f>
        <v>1383.7775066564677</v>
      </c>
      <c r="D58" s="13">
        <f t="shared" ref="D58:J58" si="22">D51+D56</f>
        <v>-0.91897491953040378</v>
      </c>
      <c r="E58" s="13">
        <f t="shared" si="22"/>
        <v>-65.336130878664974</v>
      </c>
      <c r="F58" s="13">
        <f t="shared" si="22"/>
        <v>-65.336130878664974</v>
      </c>
      <c r="G58" s="13">
        <f t="shared" si="22"/>
        <v>-65.336130878664974</v>
      </c>
      <c r="H58" s="13">
        <f t="shared" si="22"/>
        <v>-65.336130878664974</v>
      </c>
      <c r="I58" s="13">
        <f t="shared" si="22"/>
        <v>-65.336130878664974</v>
      </c>
      <c r="J58" s="13">
        <f t="shared" si="22"/>
        <v>-65.336130878664974</v>
      </c>
    </row>
    <row r="59" spans="1:10" ht="20.100000000000001" customHeight="1" x14ac:dyDescent="0.15">
      <c r="A59" s="824"/>
      <c r="B59" s="24" t="s">
        <v>1542</v>
      </c>
      <c r="C59" s="13">
        <f>C52+C57</f>
        <v>769.79404698479675</v>
      </c>
      <c r="D59" s="13">
        <f t="shared" ref="D59:J59" si="23">D52+D57</f>
        <v>5.0662723851115246</v>
      </c>
      <c r="E59" s="13">
        <f t="shared" si="23"/>
        <v>-65.336130878664974</v>
      </c>
      <c r="F59" s="13">
        <f t="shared" si="23"/>
        <v>-65.336130878664974</v>
      </c>
      <c r="G59" s="13">
        <f t="shared" si="23"/>
        <v>-65.336130878664974</v>
      </c>
      <c r="H59" s="13">
        <f t="shared" si="23"/>
        <v>-65.336130878664974</v>
      </c>
      <c r="I59" s="13">
        <f t="shared" si="23"/>
        <v>-65.336130878664974</v>
      </c>
      <c r="J59" s="13">
        <f t="shared" si="23"/>
        <v>-65.336130878664974</v>
      </c>
    </row>
    <row r="60" spans="1:10" ht="20.100000000000001" customHeight="1" x14ac:dyDescent="0.15">
      <c r="A60" s="824" t="s">
        <v>1543</v>
      </c>
      <c r="B60" s="822"/>
      <c r="C60" s="33" t="str">
        <f>IF(MIN(C58:J58)&gt;0,"内壁满足一级抗裂要求","内壁不满足一级抗裂要求")</f>
        <v>内壁不满足一级抗裂要求</v>
      </c>
      <c r="D60" s="33"/>
      <c r="E60" s="33"/>
      <c r="F60" s="33"/>
      <c r="G60" s="33"/>
      <c r="H60" s="33"/>
      <c r="I60" s="33"/>
      <c r="J60" s="42"/>
    </row>
    <row r="61" spans="1:10" ht="20.100000000000001" customHeight="1" x14ac:dyDescent="0.15">
      <c r="A61" s="824"/>
      <c r="B61" s="823"/>
      <c r="C61" s="34" t="str">
        <f>IF(MIN(C59:J59)&gt;-264*0.7,"外壁满足二级级抗裂要求","外壁不满足二级抗裂要求")</f>
        <v>外壁满足二级级抗裂要求</v>
      </c>
      <c r="D61" s="34"/>
      <c r="E61" s="34"/>
      <c r="F61" s="34"/>
      <c r="G61" s="34"/>
      <c r="H61" s="34"/>
      <c r="I61" s="34"/>
      <c r="J61" s="43"/>
    </row>
  </sheetData>
  <mergeCells count="11">
    <mergeCell ref="B60:B61"/>
    <mergeCell ref="A26:A28"/>
    <mergeCell ref="A29:A37"/>
    <mergeCell ref="A38:A39"/>
    <mergeCell ref="A40:A59"/>
    <mergeCell ref="A60:A61"/>
    <mergeCell ref="C3:J3"/>
    <mergeCell ref="A3:A4"/>
    <mergeCell ref="A5:A8"/>
    <mergeCell ref="A9:A14"/>
    <mergeCell ref="A15:A25"/>
  </mergeCells>
  <phoneticPr fontId="143" type="noConversion"/>
  <dataValidations disablePrompts="1" count="3">
    <dataValidation type="list" allowBlank="1" showInputMessage="1" showErrorMessage="1" prompt="下拉菜单选择" sqref="C3" xr:uid="{00000000-0002-0000-0800-000000000000}">
      <formula1>"1级,2级,3级,4级,5级"</formula1>
    </dataValidation>
    <dataValidation type="list" allowBlank="1" showInputMessage="1" showErrorMessage="1" prompt="下拉菜单选择" sqref="C5" xr:uid="{00000000-0002-0000-0800-000001000000}">
      <formula1>"C15,C20,C25,C30,C40"</formula1>
    </dataValidation>
    <dataValidation type="list" allowBlank="1" showInputMessage="1" showErrorMessage="1" sqref="C6" xr:uid="{00000000-0002-0000-0800-000002000000}">
      <formula1>"HPB235,HRB335,HRB400"</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2</vt:i4>
      </vt:variant>
    </vt:vector>
  </HeadingPairs>
  <TitlesOfParts>
    <vt:vector size="12" baseType="lpstr">
      <vt:lpstr>纵向结构计算及校核</vt:lpstr>
      <vt:lpstr>郭家沟纵向计算R1版</vt:lpstr>
      <vt:lpstr>纵向预应力计算</vt:lpstr>
      <vt:lpstr>part1-基本参数</vt:lpstr>
      <vt:lpstr>part2-预应力损失估算</vt:lpstr>
      <vt:lpstr>part3承载力验算</vt:lpstr>
      <vt:lpstr>part4抗裂验算</vt:lpstr>
      <vt:lpstr>part5 普通钢筋抗裂验算表</vt:lpstr>
      <vt:lpstr>part6槽身横向抗裂验算</vt:lpstr>
      <vt:lpstr>part7局部受压验算</vt:lpstr>
      <vt:lpstr>郭家沟纵向计算R1版!Print_Area</vt:lpstr>
      <vt:lpstr>纵向预应力计算!Print_Area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HMH</cp:lastModifiedBy>
  <cp:lastPrinted>2019-09-04T08:33:00Z</cp:lastPrinted>
  <dcterms:created xsi:type="dcterms:W3CDTF">2006-09-16T00:00:00Z</dcterms:created>
  <dcterms:modified xsi:type="dcterms:W3CDTF">2022-07-12T06:09:28Z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2052-11.8.2.10393</vt:lpwstr>
  </property>
</Properties>
</file>