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ya\GitHub\calc_dryingTimePredictor\data\"/>
    </mc:Choice>
  </mc:AlternateContent>
  <xr:revisionPtr revIDLastSave="0" documentId="13_ncr:1_{CD2B5C64-39BD-469A-9D49-3ACA30E87D80}" xr6:coauthVersionLast="47" xr6:coauthVersionMax="47" xr10:uidLastSave="{00000000-0000-0000-0000-000000000000}"/>
  <bookViews>
    <workbookView xWindow="-120" yWindow="-120" windowWidth="19800" windowHeight="11760" tabRatio="387" xr2:uid="{00000000-000D-0000-FFFF-FFFF00000000}"/>
  </bookViews>
  <sheets>
    <sheet name="MTC Comparison" sheetId="2" r:id="rId1"/>
  </sheets>
  <definedNames>
    <definedName name="_xlnm._FilterDatabase" localSheetId="0" hidden="1">'MTC Comparison'!$A$1:$AR$559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38" i="2" l="1"/>
  <c r="AP559" i="2"/>
  <c r="AQ559" i="2" s="1"/>
  <c r="AN559" i="2"/>
  <c r="AH559" i="2"/>
  <c r="AI559" i="2" s="1"/>
  <c r="AF559" i="2" s="1"/>
  <c r="AC559" i="2" s="1"/>
  <c r="AE559" i="2"/>
  <c r="AA559" i="2"/>
  <c r="AP558" i="2"/>
  <c r="AN558" i="2"/>
  <c r="AH558" i="2"/>
  <c r="AI558" i="2" s="1"/>
  <c r="AF558" i="2" s="1"/>
  <c r="AC558" i="2" s="1"/>
  <c r="AE558" i="2"/>
  <c r="AA558" i="2"/>
  <c r="AP557" i="2"/>
  <c r="AQ557" i="2" s="1"/>
  <c r="AN557" i="2"/>
  <c r="AH557" i="2"/>
  <c r="AE557" i="2"/>
  <c r="AA557" i="2"/>
  <c r="AP556" i="2"/>
  <c r="AN556" i="2"/>
  <c r="AH556" i="2"/>
  <c r="AI556" i="2" s="1"/>
  <c r="AF556" i="2" s="1"/>
  <c r="AC556" i="2" s="1"/>
  <c r="AE556" i="2"/>
  <c r="AA556" i="2"/>
  <c r="AP555" i="2"/>
  <c r="AN555" i="2"/>
  <c r="AH555" i="2"/>
  <c r="AI555" i="2" s="1"/>
  <c r="AF555" i="2" s="1"/>
  <c r="AC555" i="2" s="1"/>
  <c r="AE555" i="2"/>
  <c r="AA555" i="2"/>
  <c r="AP554" i="2"/>
  <c r="AN554" i="2"/>
  <c r="AH554" i="2"/>
  <c r="AI554" i="2" s="1"/>
  <c r="AF554" i="2" s="1"/>
  <c r="AC554" i="2" s="1"/>
  <c r="AE554" i="2"/>
  <c r="AA554" i="2"/>
  <c r="AP553" i="2"/>
  <c r="AQ553" i="2" s="1"/>
  <c r="AN553" i="2"/>
  <c r="AH553" i="2"/>
  <c r="AE553" i="2"/>
  <c r="AA553" i="2"/>
  <c r="AP552" i="2"/>
  <c r="AN552" i="2"/>
  <c r="AH552" i="2"/>
  <c r="AI552" i="2" s="1"/>
  <c r="AF552" i="2" s="1"/>
  <c r="AC552" i="2" s="1"/>
  <c r="AE552" i="2"/>
  <c r="AA552" i="2"/>
  <c r="AP551" i="2"/>
  <c r="AQ551" i="2" s="1"/>
  <c r="AN551" i="2"/>
  <c r="AI551" i="2"/>
  <c r="AF551" i="2" s="1"/>
  <c r="AC551" i="2" s="1"/>
  <c r="AE551" i="2"/>
  <c r="AA551" i="2"/>
  <c r="AP550" i="2"/>
  <c r="AQ550" i="2" s="1"/>
  <c r="AN550" i="2"/>
  <c r="AI550" i="2"/>
  <c r="AF550" i="2" s="1"/>
  <c r="AC550" i="2" s="1"/>
  <c r="AE550" i="2"/>
  <c r="AA550" i="2"/>
  <c r="AP549" i="2"/>
  <c r="AQ549" i="2" s="1"/>
  <c r="AN549" i="2"/>
  <c r="AI549" i="2"/>
  <c r="AF549" i="2" s="1"/>
  <c r="AC549" i="2" s="1"/>
  <c r="AE549" i="2"/>
  <c r="AA549" i="2"/>
  <c r="AP548" i="2"/>
  <c r="AQ548" i="2" s="1"/>
  <c r="AN548" i="2"/>
  <c r="AI548" i="2"/>
  <c r="AF548" i="2" s="1"/>
  <c r="AC548" i="2" s="1"/>
  <c r="AE548" i="2"/>
  <c r="AA548" i="2"/>
  <c r="AP547" i="2"/>
  <c r="AQ547" i="2" s="1"/>
  <c r="AN547" i="2"/>
  <c r="AI547" i="2"/>
  <c r="AF547" i="2" s="1"/>
  <c r="AC547" i="2" s="1"/>
  <c r="AE547" i="2"/>
  <c r="AA547" i="2"/>
  <c r="AP546" i="2"/>
  <c r="AQ546" i="2" s="1"/>
  <c r="AN546" i="2"/>
  <c r="AI546" i="2"/>
  <c r="AF546" i="2" s="1"/>
  <c r="AC546" i="2" s="1"/>
  <c r="AE546" i="2"/>
  <c r="AA546" i="2"/>
  <c r="AP545" i="2"/>
  <c r="AQ545" i="2" s="1"/>
  <c r="AN545" i="2"/>
  <c r="AI545" i="2"/>
  <c r="AF545" i="2" s="1"/>
  <c r="AC545" i="2" s="1"/>
  <c r="AE545" i="2"/>
  <c r="AA545" i="2"/>
  <c r="AP544" i="2"/>
  <c r="AQ544" i="2" s="1"/>
  <c r="AN544" i="2"/>
  <c r="AI544" i="2"/>
  <c r="AF544" i="2" s="1"/>
  <c r="AC544" i="2" s="1"/>
  <c r="AE544" i="2"/>
  <c r="AA544" i="2"/>
  <c r="AP543" i="2"/>
  <c r="AQ543" i="2" s="1"/>
  <c r="AN543" i="2"/>
  <c r="AI543" i="2"/>
  <c r="AF543" i="2" s="1"/>
  <c r="AC543" i="2" s="1"/>
  <c r="AE543" i="2"/>
  <c r="AA543" i="2"/>
  <c r="AP542" i="2"/>
  <c r="AQ542" i="2" s="1"/>
  <c r="AN542" i="2"/>
  <c r="AI542" i="2"/>
  <c r="AF542" i="2" s="1"/>
  <c r="AC542" i="2" s="1"/>
  <c r="AE542" i="2"/>
  <c r="AA542" i="2"/>
  <c r="AM541" i="2"/>
  <c r="AN541" i="2" s="1"/>
  <c r="AH541" i="2"/>
  <c r="AE541" i="2"/>
  <c r="AA541" i="2"/>
  <c r="AM540" i="2"/>
  <c r="AN540" i="2" s="1"/>
  <c r="AH540" i="2"/>
  <c r="AE540" i="2"/>
  <c r="AA540" i="2"/>
  <c r="AM539" i="2"/>
  <c r="AN539" i="2" s="1"/>
  <c r="AH539" i="2"/>
  <c r="AE539" i="2"/>
  <c r="AA539" i="2"/>
  <c r="AM538" i="2"/>
  <c r="AH538" i="2"/>
  <c r="AI538" i="2" s="1"/>
  <c r="AF538" i="2" s="1"/>
  <c r="AC538" i="2" s="1"/>
  <c r="AE538" i="2"/>
  <c r="AA538" i="2"/>
  <c r="AM537" i="2"/>
  <c r="AN537" i="2" s="1"/>
  <c r="AH537" i="2"/>
  <c r="AE537" i="2"/>
  <c r="AA537" i="2"/>
  <c r="AN536" i="2"/>
  <c r="AH536" i="2"/>
  <c r="AI536" i="2" s="1"/>
  <c r="AF536" i="2" s="1"/>
  <c r="AC536" i="2" s="1"/>
  <c r="AE536" i="2"/>
  <c r="AA536" i="2"/>
  <c r="AN535" i="2"/>
  <c r="AH535" i="2"/>
  <c r="AE535" i="2"/>
  <c r="AA535" i="2"/>
  <c r="AN534" i="2"/>
  <c r="AH534" i="2"/>
  <c r="AI534" i="2" s="1"/>
  <c r="AF534" i="2" s="1"/>
  <c r="AC534" i="2" s="1"/>
  <c r="AE534" i="2"/>
  <c r="AA534" i="2"/>
  <c r="AN533" i="2"/>
  <c r="AH533" i="2"/>
  <c r="AE533" i="2"/>
  <c r="AA533" i="2"/>
  <c r="AN532" i="2"/>
  <c r="AH532" i="2"/>
  <c r="AI532" i="2" s="1"/>
  <c r="AF532" i="2" s="1"/>
  <c r="AC532" i="2" s="1"/>
  <c r="AE532" i="2"/>
  <c r="AA532" i="2"/>
  <c r="AN531" i="2"/>
  <c r="AH531" i="2"/>
  <c r="AE531" i="2"/>
  <c r="AA531" i="2"/>
  <c r="AN530" i="2"/>
  <c r="AH530" i="2"/>
  <c r="AI530" i="2" s="1"/>
  <c r="AF530" i="2" s="1"/>
  <c r="AC530" i="2" s="1"/>
  <c r="AE530" i="2"/>
  <c r="AA530" i="2"/>
  <c r="AP529" i="2"/>
  <c r="AQ529" i="2" s="1"/>
  <c r="AN529" i="2"/>
  <c r="AI529" i="2"/>
  <c r="AF529" i="2" s="1"/>
  <c r="AC529" i="2" s="1"/>
  <c r="AE529" i="2"/>
  <c r="AA529" i="2"/>
  <c r="AP528" i="2"/>
  <c r="AQ528" i="2" s="1"/>
  <c r="AN528" i="2"/>
  <c r="AI528" i="2"/>
  <c r="AF528" i="2" s="1"/>
  <c r="AC528" i="2" s="1"/>
  <c r="AE528" i="2"/>
  <c r="AA528" i="2"/>
  <c r="AP527" i="2"/>
  <c r="AQ527" i="2" s="1"/>
  <c r="AN527" i="2"/>
  <c r="AI527" i="2"/>
  <c r="AF527" i="2" s="1"/>
  <c r="AC527" i="2" s="1"/>
  <c r="AE527" i="2"/>
  <c r="AA527" i="2"/>
  <c r="AP526" i="2"/>
  <c r="AQ526" i="2" s="1"/>
  <c r="AN526" i="2"/>
  <c r="AI526" i="2"/>
  <c r="AF526" i="2" s="1"/>
  <c r="AC526" i="2" s="1"/>
  <c r="AE526" i="2"/>
  <c r="AA526" i="2"/>
  <c r="AP525" i="2"/>
  <c r="AQ525" i="2" s="1"/>
  <c r="AN525" i="2"/>
  <c r="AI525" i="2"/>
  <c r="AF525" i="2" s="1"/>
  <c r="AC525" i="2" s="1"/>
  <c r="AE525" i="2"/>
  <c r="AA525" i="2"/>
  <c r="AP524" i="2"/>
  <c r="AQ524" i="2" s="1"/>
  <c r="AN524" i="2"/>
  <c r="AI524" i="2"/>
  <c r="AF524" i="2" s="1"/>
  <c r="AC524" i="2" s="1"/>
  <c r="AE524" i="2"/>
  <c r="AA524" i="2"/>
  <c r="AP523" i="2"/>
  <c r="AN523" i="2"/>
  <c r="AH523" i="2"/>
  <c r="AI523" i="2" s="1"/>
  <c r="AF523" i="2" s="1"/>
  <c r="AC523" i="2" s="1"/>
  <c r="AE523" i="2"/>
  <c r="AA523" i="2"/>
  <c r="AP522" i="2"/>
  <c r="AQ522" i="2" s="1"/>
  <c r="AN522" i="2"/>
  <c r="AH522" i="2"/>
  <c r="AI522" i="2" s="1"/>
  <c r="AF522" i="2" s="1"/>
  <c r="AC522" i="2" s="1"/>
  <c r="AE522" i="2"/>
  <c r="AA522" i="2"/>
  <c r="AP521" i="2"/>
  <c r="AN521" i="2"/>
  <c r="AH521" i="2"/>
  <c r="AI521" i="2" s="1"/>
  <c r="AF521" i="2" s="1"/>
  <c r="AC521" i="2" s="1"/>
  <c r="AE521" i="2"/>
  <c r="AA521" i="2"/>
  <c r="AP520" i="2"/>
  <c r="AQ520" i="2" s="1"/>
  <c r="AN520" i="2"/>
  <c r="AH520" i="2"/>
  <c r="AE520" i="2"/>
  <c r="AA520" i="2"/>
  <c r="AP519" i="2"/>
  <c r="AN519" i="2"/>
  <c r="AH519" i="2"/>
  <c r="AI519" i="2" s="1"/>
  <c r="AF519" i="2" s="1"/>
  <c r="AC519" i="2" s="1"/>
  <c r="AE519" i="2"/>
  <c r="AA519" i="2"/>
  <c r="AP518" i="2"/>
  <c r="AQ518" i="2" s="1"/>
  <c r="AN518" i="2"/>
  <c r="AH518" i="2"/>
  <c r="AI518" i="2" s="1"/>
  <c r="AF518" i="2" s="1"/>
  <c r="AC518" i="2" s="1"/>
  <c r="AE518" i="2"/>
  <c r="AA518" i="2"/>
  <c r="AP517" i="2"/>
  <c r="AN517" i="2"/>
  <c r="AH517" i="2"/>
  <c r="AI517" i="2" s="1"/>
  <c r="AF517" i="2" s="1"/>
  <c r="AC517" i="2" s="1"/>
  <c r="AE517" i="2"/>
  <c r="AA517" i="2"/>
  <c r="AQ516" i="2"/>
  <c r="AO516" i="2"/>
  <c r="AN516" i="2"/>
  <c r="AI516" i="2"/>
  <c r="AF516" i="2" s="1"/>
  <c r="AC516" i="2" s="1"/>
  <c r="AE516" i="2"/>
  <c r="AA516" i="2"/>
  <c r="AQ515" i="2"/>
  <c r="AN515" i="2"/>
  <c r="AH515" i="2"/>
  <c r="AE515" i="2"/>
  <c r="AA515" i="2"/>
  <c r="AQ514" i="2"/>
  <c r="AN514" i="2"/>
  <c r="AH514" i="2"/>
  <c r="AI514" i="2" s="1"/>
  <c r="AF514" i="2" s="1"/>
  <c r="AC514" i="2" s="1"/>
  <c r="AE514" i="2"/>
  <c r="AA514" i="2"/>
  <c r="AM513" i="2"/>
  <c r="AH513" i="2"/>
  <c r="AI513" i="2" s="1"/>
  <c r="AF513" i="2" s="1"/>
  <c r="AC513" i="2" s="1"/>
  <c r="AE513" i="2"/>
  <c r="AA513" i="2"/>
  <c r="AM512" i="2"/>
  <c r="AN512" i="2" s="1"/>
  <c r="AH512" i="2"/>
  <c r="AE512" i="2"/>
  <c r="AA512" i="2"/>
  <c r="AP511" i="2"/>
  <c r="AN511" i="2"/>
  <c r="AH511" i="2"/>
  <c r="AI511" i="2" s="1"/>
  <c r="AF511" i="2" s="1"/>
  <c r="AC511" i="2" s="1"/>
  <c r="AE511" i="2"/>
  <c r="AA511" i="2"/>
  <c r="AP510" i="2"/>
  <c r="AN510" i="2"/>
  <c r="AH510" i="2"/>
  <c r="AI510" i="2" s="1"/>
  <c r="AF510" i="2" s="1"/>
  <c r="AC510" i="2" s="1"/>
  <c r="AE510" i="2"/>
  <c r="AA510" i="2"/>
  <c r="AP509" i="2"/>
  <c r="AN509" i="2"/>
  <c r="AH509" i="2"/>
  <c r="AI509" i="2" s="1"/>
  <c r="AF509" i="2" s="1"/>
  <c r="AC509" i="2" s="1"/>
  <c r="AE509" i="2"/>
  <c r="AA509" i="2"/>
  <c r="AP508" i="2"/>
  <c r="AQ508" i="2" s="1"/>
  <c r="AN508" i="2"/>
  <c r="AH508" i="2"/>
  <c r="AE508" i="2"/>
  <c r="AA508" i="2"/>
  <c r="AH507" i="2"/>
  <c r="AI507" i="2" s="1"/>
  <c r="AF507" i="2" s="1"/>
  <c r="AC507" i="2" s="1"/>
  <c r="AP507" i="2" s="1"/>
  <c r="AE507" i="2"/>
  <c r="AA507" i="2"/>
  <c r="AH506" i="2"/>
  <c r="AI506" i="2" s="1"/>
  <c r="AF506" i="2" s="1"/>
  <c r="AC506" i="2" s="1"/>
  <c r="AE506" i="2"/>
  <c r="AA506" i="2"/>
  <c r="AQ505" i="2"/>
  <c r="AN505" i="2"/>
  <c r="AI505" i="2"/>
  <c r="AF505" i="2" s="1"/>
  <c r="AC505" i="2" s="1"/>
  <c r="AE505" i="2"/>
  <c r="AA505" i="2"/>
  <c r="AQ504" i="2"/>
  <c r="AN504" i="2"/>
  <c r="AI504" i="2"/>
  <c r="AF504" i="2" s="1"/>
  <c r="AC504" i="2" s="1"/>
  <c r="AE504" i="2"/>
  <c r="AA504" i="2"/>
  <c r="AQ503" i="2"/>
  <c r="AO503" i="2"/>
  <c r="AN503" i="2"/>
  <c r="AI503" i="2"/>
  <c r="AF503" i="2" s="1"/>
  <c r="AC503" i="2" s="1"/>
  <c r="AE503" i="2"/>
  <c r="AA503" i="2"/>
  <c r="AQ502" i="2"/>
  <c r="AN502" i="2"/>
  <c r="AI502" i="2"/>
  <c r="AF502" i="2" s="1"/>
  <c r="AC502" i="2" s="1"/>
  <c r="AE502" i="2"/>
  <c r="AA502" i="2"/>
  <c r="AP501" i="2"/>
  <c r="AQ501" i="2" s="1"/>
  <c r="AN501" i="2"/>
  <c r="AI501" i="2"/>
  <c r="AF501" i="2" s="1"/>
  <c r="AC501" i="2" s="1"/>
  <c r="AE501" i="2"/>
  <c r="AA501" i="2"/>
  <c r="AP500" i="2"/>
  <c r="AQ500" i="2" s="1"/>
  <c r="AN500" i="2"/>
  <c r="AI500" i="2"/>
  <c r="AF500" i="2" s="1"/>
  <c r="AC500" i="2" s="1"/>
  <c r="AE500" i="2"/>
  <c r="AA500" i="2"/>
  <c r="AP499" i="2"/>
  <c r="AQ499" i="2" s="1"/>
  <c r="AN499" i="2"/>
  <c r="AI499" i="2"/>
  <c r="AF499" i="2" s="1"/>
  <c r="AC499" i="2" s="1"/>
  <c r="AE499" i="2"/>
  <c r="AA499" i="2"/>
  <c r="AP498" i="2"/>
  <c r="AQ498" i="2" s="1"/>
  <c r="AN498" i="2"/>
  <c r="AI498" i="2"/>
  <c r="AF498" i="2" s="1"/>
  <c r="AC498" i="2" s="1"/>
  <c r="AE498" i="2"/>
  <c r="AA498" i="2"/>
  <c r="AP497" i="2"/>
  <c r="AQ497" i="2" s="1"/>
  <c r="AN497" i="2"/>
  <c r="AI497" i="2"/>
  <c r="AF497" i="2" s="1"/>
  <c r="AC497" i="2" s="1"/>
  <c r="AE497" i="2"/>
  <c r="AA497" i="2"/>
  <c r="AP496" i="2"/>
  <c r="AQ496" i="2" s="1"/>
  <c r="AN496" i="2"/>
  <c r="AI496" i="2"/>
  <c r="AF496" i="2" s="1"/>
  <c r="AC496" i="2" s="1"/>
  <c r="AE496" i="2"/>
  <c r="AA496" i="2"/>
  <c r="AP495" i="2"/>
  <c r="AQ495" i="2" s="1"/>
  <c r="AN495" i="2"/>
  <c r="AI495" i="2"/>
  <c r="AF495" i="2" s="1"/>
  <c r="AC495" i="2" s="1"/>
  <c r="AE495" i="2"/>
  <c r="AA495" i="2"/>
  <c r="AP494" i="2"/>
  <c r="AQ494" i="2" s="1"/>
  <c r="AN494" i="2"/>
  <c r="AI494" i="2"/>
  <c r="AF494" i="2" s="1"/>
  <c r="AC494" i="2" s="1"/>
  <c r="AE494" i="2"/>
  <c r="AA494" i="2"/>
  <c r="AP493" i="2"/>
  <c r="AQ493" i="2" s="1"/>
  <c r="AN493" i="2"/>
  <c r="AI493" i="2"/>
  <c r="AF493" i="2" s="1"/>
  <c r="AC493" i="2" s="1"/>
  <c r="AE493" i="2"/>
  <c r="AA493" i="2"/>
  <c r="AP492" i="2"/>
  <c r="AQ492" i="2" s="1"/>
  <c r="AN492" i="2"/>
  <c r="AI492" i="2"/>
  <c r="AF492" i="2" s="1"/>
  <c r="AC492" i="2" s="1"/>
  <c r="AE492" i="2"/>
  <c r="AA492" i="2"/>
  <c r="AP491" i="2"/>
  <c r="AQ491" i="2" s="1"/>
  <c r="AN491" i="2"/>
  <c r="AI491" i="2"/>
  <c r="AF491" i="2" s="1"/>
  <c r="AC491" i="2" s="1"/>
  <c r="AE491" i="2"/>
  <c r="AA491" i="2"/>
  <c r="AP490" i="2"/>
  <c r="AQ490" i="2" s="1"/>
  <c r="AN490" i="2"/>
  <c r="AI490" i="2"/>
  <c r="AF490" i="2" s="1"/>
  <c r="AC490" i="2" s="1"/>
  <c r="AE490" i="2"/>
  <c r="AA490" i="2"/>
  <c r="AQ489" i="2"/>
  <c r="AO489" i="2"/>
  <c r="AN489" i="2"/>
  <c r="AI489" i="2"/>
  <c r="AF489" i="2" s="1"/>
  <c r="AC489" i="2" s="1"/>
  <c r="AE489" i="2"/>
  <c r="AA489" i="2"/>
  <c r="AQ488" i="2"/>
  <c r="AO488" i="2"/>
  <c r="AN488" i="2"/>
  <c r="AI488" i="2"/>
  <c r="AF488" i="2" s="1"/>
  <c r="AC488" i="2" s="1"/>
  <c r="AE488" i="2"/>
  <c r="AA488" i="2"/>
  <c r="AQ487" i="2"/>
  <c r="AO487" i="2"/>
  <c r="AN487" i="2"/>
  <c r="AI487" i="2"/>
  <c r="AF487" i="2" s="1"/>
  <c r="AC487" i="2" s="1"/>
  <c r="AE487" i="2"/>
  <c r="AA487" i="2"/>
  <c r="AQ486" i="2"/>
  <c r="AO486" i="2"/>
  <c r="AN486" i="2"/>
  <c r="AI486" i="2"/>
  <c r="AF486" i="2" s="1"/>
  <c r="AC486" i="2" s="1"/>
  <c r="AE486" i="2"/>
  <c r="AA486" i="2"/>
  <c r="AP485" i="2"/>
  <c r="AQ485" i="2" s="1"/>
  <c r="AN485" i="2"/>
  <c r="AI485" i="2"/>
  <c r="AF485" i="2" s="1"/>
  <c r="AC485" i="2" s="1"/>
  <c r="AE485" i="2"/>
  <c r="AA485" i="2"/>
  <c r="AP484" i="2"/>
  <c r="AQ484" i="2" s="1"/>
  <c r="AN484" i="2"/>
  <c r="AI484" i="2"/>
  <c r="AF484" i="2" s="1"/>
  <c r="AC484" i="2" s="1"/>
  <c r="AE484" i="2"/>
  <c r="AA484" i="2"/>
  <c r="AP483" i="2"/>
  <c r="AQ483" i="2" s="1"/>
  <c r="AN483" i="2"/>
  <c r="AI483" i="2"/>
  <c r="AF483" i="2" s="1"/>
  <c r="AC483" i="2" s="1"/>
  <c r="AE483" i="2"/>
  <c r="AA483" i="2"/>
  <c r="AP482" i="2"/>
  <c r="AQ482" i="2" s="1"/>
  <c r="AN482" i="2"/>
  <c r="AI482" i="2"/>
  <c r="AF482" i="2" s="1"/>
  <c r="AC482" i="2" s="1"/>
  <c r="AE482" i="2"/>
  <c r="AA482" i="2"/>
  <c r="AP481" i="2"/>
  <c r="AQ481" i="2" s="1"/>
  <c r="AN481" i="2"/>
  <c r="AI481" i="2"/>
  <c r="AF481" i="2" s="1"/>
  <c r="AC481" i="2" s="1"/>
  <c r="AE481" i="2"/>
  <c r="AA481" i="2"/>
  <c r="AP480" i="2"/>
  <c r="AQ480" i="2" s="1"/>
  <c r="AN480" i="2"/>
  <c r="AI480" i="2"/>
  <c r="AF480" i="2" s="1"/>
  <c r="AC480" i="2" s="1"/>
  <c r="AE480" i="2"/>
  <c r="AA480" i="2"/>
  <c r="AP479" i="2"/>
  <c r="AQ479" i="2" s="1"/>
  <c r="AN479" i="2"/>
  <c r="AI479" i="2"/>
  <c r="AF479" i="2" s="1"/>
  <c r="AC479" i="2" s="1"/>
  <c r="AE479" i="2"/>
  <c r="AA479" i="2"/>
  <c r="AP478" i="2"/>
  <c r="AQ478" i="2" s="1"/>
  <c r="AN478" i="2"/>
  <c r="AI478" i="2"/>
  <c r="AF478" i="2" s="1"/>
  <c r="AC478" i="2" s="1"/>
  <c r="AE478" i="2"/>
  <c r="AA478" i="2"/>
  <c r="AP477" i="2"/>
  <c r="AQ477" i="2" s="1"/>
  <c r="AN477" i="2"/>
  <c r="AI477" i="2"/>
  <c r="AF477" i="2" s="1"/>
  <c r="AC477" i="2" s="1"/>
  <c r="AE477" i="2"/>
  <c r="AA477" i="2"/>
  <c r="AP476" i="2"/>
  <c r="AQ476" i="2" s="1"/>
  <c r="AN476" i="2"/>
  <c r="AI476" i="2"/>
  <c r="AF476" i="2" s="1"/>
  <c r="AC476" i="2" s="1"/>
  <c r="AE476" i="2"/>
  <c r="AA476" i="2"/>
  <c r="AP475" i="2"/>
  <c r="AQ475" i="2" s="1"/>
  <c r="AN475" i="2"/>
  <c r="AI475" i="2"/>
  <c r="AF475" i="2" s="1"/>
  <c r="AC475" i="2" s="1"/>
  <c r="AE475" i="2"/>
  <c r="AA475" i="2"/>
  <c r="AP474" i="2"/>
  <c r="AQ474" i="2" s="1"/>
  <c r="AN474" i="2"/>
  <c r="AI474" i="2"/>
  <c r="AF474" i="2" s="1"/>
  <c r="AC474" i="2" s="1"/>
  <c r="AE474" i="2"/>
  <c r="AA474" i="2"/>
  <c r="AP473" i="2"/>
  <c r="AQ473" i="2" s="1"/>
  <c r="AN473" i="2"/>
  <c r="AI473" i="2"/>
  <c r="AF473" i="2" s="1"/>
  <c r="AC473" i="2" s="1"/>
  <c r="AE473" i="2"/>
  <c r="AA473" i="2"/>
  <c r="AP472" i="2"/>
  <c r="AQ472" i="2" s="1"/>
  <c r="AN472" i="2"/>
  <c r="AI472" i="2"/>
  <c r="AF472" i="2" s="1"/>
  <c r="AC472" i="2" s="1"/>
  <c r="AE472" i="2"/>
  <c r="AA472" i="2"/>
  <c r="AP471" i="2"/>
  <c r="AQ471" i="2" s="1"/>
  <c r="AN471" i="2"/>
  <c r="AI471" i="2"/>
  <c r="AF471" i="2" s="1"/>
  <c r="AC471" i="2" s="1"/>
  <c r="AE471" i="2"/>
  <c r="AA471" i="2"/>
  <c r="AP470" i="2"/>
  <c r="AQ470" i="2" s="1"/>
  <c r="AN470" i="2"/>
  <c r="AI470" i="2"/>
  <c r="AF470" i="2" s="1"/>
  <c r="AC470" i="2" s="1"/>
  <c r="AE470" i="2"/>
  <c r="AA470" i="2"/>
  <c r="AP469" i="2"/>
  <c r="AQ469" i="2" s="1"/>
  <c r="AN469" i="2"/>
  <c r="AI469" i="2"/>
  <c r="AF469" i="2" s="1"/>
  <c r="AC469" i="2" s="1"/>
  <c r="AE469" i="2"/>
  <c r="AA469" i="2"/>
  <c r="AQ468" i="2"/>
  <c r="AN468" i="2"/>
  <c r="AH468" i="2"/>
  <c r="AI468" i="2" s="1"/>
  <c r="AF468" i="2" s="1"/>
  <c r="AC468" i="2" s="1"/>
  <c r="AE468" i="2"/>
  <c r="AA468" i="2"/>
  <c r="AQ467" i="2"/>
  <c r="AN467" i="2"/>
  <c r="AH467" i="2"/>
  <c r="AI467" i="2" s="1"/>
  <c r="AF467" i="2" s="1"/>
  <c r="AC467" i="2" s="1"/>
  <c r="AE467" i="2"/>
  <c r="AA467" i="2"/>
  <c r="AN466" i="2"/>
  <c r="AH466" i="2"/>
  <c r="AE466" i="2"/>
  <c r="AA466" i="2"/>
  <c r="AN465" i="2"/>
  <c r="AH465" i="2"/>
  <c r="AE465" i="2"/>
  <c r="AA465" i="2"/>
  <c r="AN464" i="2"/>
  <c r="AH464" i="2"/>
  <c r="AI464" i="2" s="1"/>
  <c r="AF464" i="2" s="1"/>
  <c r="AC464" i="2" s="1"/>
  <c r="AE464" i="2"/>
  <c r="AA464" i="2"/>
  <c r="AN463" i="2"/>
  <c r="AH463" i="2"/>
  <c r="AI463" i="2" s="1"/>
  <c r="AF463" i="2" s="1"/>
  <c r="AC463" i="2" s="1"/>
  <c r="AE463" i="2"/>
  <c r="AA463" i="2"/>
  <c r="AN462" i="2"/>
  <c r="AH462" i="2"/>
  <c r="AE462" i="2"/>
  <c r="AA462" i="2"/>
  <c r="AN461" i="2"/>
  <c r="AH461" i="2"/>
  <c r="AE461" i="2"/>
  <c r="AA461" i="2"/>
  <c r="AN460" i="2"/>
  <c r="AH460" i="2"/>
  <c r="AP460" i="2" s="1"/>
  <c r="AQ460" i="2" s="1"/>
  <c r="AE460" i="2"/>
  <c r="AA460" i="2"/>
  <c r="AN459" i="2"/>
  <c r="AH459" i="2"/>
  <c r="AI459" i="2" s="1"/>
  <c r="AF459" i="2" s="1"/>
  <c r="AC459" i="2" s="1"/>
  <c r="AE459" i="2"/>
  <c r="AA459" i="2"/>
  <c r="AN458" i="2"/>
  <c r="AH458" i="2"/>
  <c r="AE458" i="2"/>
  <c r="AA458" i="2"/>
  <c r="AN457" i="2"/>
  <c r="AH457" i="2"/>
  <c r="AE457" i="2"/>
  <c r="AA457" i="2"/>
  <c r="AN456" i="2"/>
  <c r="AH456" i="2"/>
  <c r="AP456" i="2" s="1"/>
  <c r="AQ456" i="2" s="1"/>
  <c r="AE456" i="2"/>
  <c r="AA456" i="2"/>
  <c r="AN455" i="2"/>
  <c r="AH455" i="2"/>
  <c r="AI455" i="2" s="1"/>
  <c r="AF455" i="2" s="1"/>
  <c r="AC455" i="2" s="1"/>
  <c r="AE455" i="2"/>
  <c r="AA455" i="2"/>
  <c r="AN454" i="2"/>
  <c r="AH454" i="2"/>
  <c r="AE454" i="2"/>
  <c r="AA454" i="2"/>
  <c r="AQ453" i="2"/>
  <c r="AN453" i="2"/>
  <c r="AH453" i="2"/>
  <c r="AE453" i="2"/>
  <c r="AA453" i="2"/>
  <c r="AQ452" i="2"/>
  <c r="AN452" i="2"/>
  <c r="AH452" i="2"/>
  <c r="AE452" i="2"/>
  <c r="AA452" i="2"/>
  <c r="AQ451" i="2"/>
  <c r="AN451" i="2"/>
  <c r="AH451" i="2"/>
  <c r="AE451" i="2"/>
  <c r="AA451" i="2"/>
  <c r="AQ450" i="2"/>
  <c r="AN450" i="2"/>
  <c r="AH450" i="2"/>
  <c r="AE450" i="2"/>
  <c r="AA450" i="2"/>
  <c r="AQ449" i="2"/>
  <c r="AN449" i="2"/>
  <c r="AH449" i="2"/>
  <c r="AE449" i="2"/>
  <c r="AA449" i="2"/>
  <c r="AQ448" i="2"/>
  <c r="AN448" i="2"/>
  <c r="AH448" i="2"/>
  <c r="AE448" i="2"/>
  <c r="AA448" i="2"/>
  <c r="AN447" i="2"/>
  <c r="AH447" i="2"/>
  <c r="AE447" i="2"/>
  <c r="AA447" i="2"/>
  <c r="AN446" i="2"/>
  <c r="AH446" i="2"/>
  <c r="AP446" i="2" s="1"/>
  <c r="AQ446" i="2" s="1"/>
  <c r="AE446" i="2"/>
  <c r="AA446" i="2"/>
  <c r="AN445" i="2"/>
  <c r="AH445" i="2"/>
  <c r="AI445" i="2" s="1"/>
  <c r="AF445" i="2" s="1"/>
  <c r="AC445" i="2" s="1"/>
  <c r="AE445" i="2"/>
  <c r="AA445" i="2"/>
  <c r="AN444" i="2"/>
  <c r="AH444" i="2"/>
  <c r="AE444" i="2"/>
  <c r="AA444" i="2"/>
  <c r="AN443" i="2"/>
  <c r="AH443" i="2"/>
  <c r="AE443" i="2"/>
  <c r="AA443" i="2"/>
  <c r="AN442" i="2"/>
  <c r="AH442" i="2"/>
  <c r="AP442" i="2" s="1"/>
  <c r="AQ442" i="2" s="1"/>
  <c r="AE442" i="2"/>
  <c r="AA442" i="2"/>
  <c r="AN441" i="2"/>
  <c r="AH441" i="2"/>
  <c r="AI441" i="2" s="1"/>
  <c r="AF441" i="2" s="1"/>
  <c r="AC441" i="2" s="1"/>
  <c r="AE441" i="2"/>
  <c r="AA441" i="2"/>
  <c r="AN440" i="2"/>
  <c r="AH440" i="2"/>
  <c r="AE440" i="2"/>
  <c r="AA440" i="2"/>
  <c r="AN439" i="2"/>
  <c r="AH439" i="2"/>
  <c r="AE439" i="2"/>
  <c r="AA439" i="2"/>
  <c r="AN438" i="2"/>
  <c r="AH438" i="2"/>
  <c r="AI438" i="2" s="1"/>
  <c r="AF438" i="2" s="1"/>
  <c r="AC438" i="2" s="1"/>
  <c r="AE438" i="2"/>
  <c r="AA438" i="2"/>
  <c r="AN437" i="2"/>
  <c r="AH437" i="2"/>
  <c r="AI437" i="2" s="1"/>
  <c r="AF437" i="2" s="1"/>
  <c r="AC437" i="2" s="1"/>
  <c r="AE437" i="2"/>
  <c r="AA437" i="2"/>
  <c r="AN436" i="2"/>
  <c r="AH436" i="2"/>
  <c r="AE436" i="2"/>
  <c r="AA436" i="2"/>
  <c r="AQ435" i="2"/>
  <c r="AN435" i="2"/>
  <c r="AI435" i="2"/>
  <c r="AF435" i="2" s="1"/>
  <c r="AC435" i="2" s="1"/>
  <c r="AE435" i="2"/>
  <c r="AA435" i="2"/>
  <c r="AQ434" i="2"/>
  <c r="AN434" i="2"/>
  <c r="AI434" i="2"/>
  <c r="AF434" i="2" s="1"/>
  <c r="AC434" i="2" s="1"/>
  <c r="AE434" i="2"/>
  <c r="AA434" i="2"/>
  <c r="AQ433" i="2"/>
  <c r="AN433" i="2"/>
  <c r="AI433" i="2"/>
  <c r="AF433" i="2" s="1"/>
  <c r="AC433" i="2" s="1"/>
  <c r="AE433" i="2"/>
  <c r="AA433" i="2"/>
  <c r="AQ432" i="2"/>
  <c r="AN432" i="2"/>
  <c r="AI432" i="2"/>
  <c r="AF432" i="2" s="1"/>
  <c r="AC432" i="2" s="1"/>
  <c r="AE432" i="2"/>
  <c r="AA432" i="2"/>
  <c r="AQ431" i="2"/>
  <c r="AN431" i="2"/>
  <c r="AI431" i="2"/>
  <c r="AF431" i="2" s="1"/>
  <c r="AC431" i="2" s="1"/>
  <c r="AE431" i="2"/>
  <c r="AA431" i="2"/>
  <c r="AQ430" i="2"/>
  <c r="AN430" i="2"/>
  <c r="AI430" i="2"/>
  <c r="AF430" i="2" s="1"/>
  <c r="AC430" i="2" s="1"/>
  <c r="AE430" i="2"/>
  <c r="AA430" i="2"/>
  <c r="AQ429" i="2"/>
  <c r="AN429" i="2"/>
  <c r="AI429" i="2"/>
  <c r="AF429" i="2" s="1"/>
  <c r="AC429" i="2" s="1"/>
  <c r="AE429" i="2"/>
  <c r="AA429" i="2"/>
  <c r="AQ428" i="2"/>
  <c r="AN428" i="2"/>
  <c r="AI428" i="2"/>
  <c r="AF428" i="2" s="1"/>
  <c r="AC428" i="2" s="1"/>
  <c r="AE428" i="2"/>
  <c r="AA428" i="2"/>
  <c r="AP427" i="2"/>
  <c r="AQ427" i="2" s="1"/>
  <c r="AN427" i="2"/>
  <c r="AI427" i="2"/>
  <c r="AF427" i="2" s="1"/>
  <c r="AC427" i="2" s="1"/>
  <c r="AE427" i="2"/>
  <c r="AA427" i="2"/>
  <c r="AP426" i="2"/>
  <c r="AQ426" i="2" s="1"/>
  <c r="AN426" i="2"/>
  <c r="AI426" i="2"/>
  <c r="AF426" i="2" s="1"/>
  <c r="AC426" i="2" s="1"/>
  <c r="AE426" i="2"/>
  <c r="AA426" i="2"/>
  <c r="AP425" i="2"/>
  <c r="AQ425" i="2" s="1"/>
  <c r="AN425" i="2"/>
  <c r="AI425" i="2"/>
  <c r="AF425" i="2" s="1"/>
  <c r="AC425" i="2" s="1"/>
  <c r="AE425" i="2"/>
  <c r="AA425" i="2"/>
  <c r="AP424" i="2"/>
  <c r="AQ424" i="2" s="1"/>
  <c r="AN424" i="2"/>
  <c r="AI424" i="2"/>
  <c r="AF424" i="2" s="1"/>
  <c r="AC424" i="2" s="1"/>
  <c r="AE424" i="2"/>
  <c r="AA424" i="2"/>
  <c r="AP423" i="2"/>
  <c r="AQ423" i="2" s="1"/>
  <c r="AN423" i="2"/>
  <c r="AI423" i="2"/>
  <c r="AF423" i="2" s="1"/>
  <c r="AC423" i="2" s="1"/>
  <c r="AE423" i="2"/>
  <c r="AA423" i="2"/>
  <c r="AP422" i="2"/>
  <c r="AQ422" i="2" s="1"/>
  <c r="AN422" i="2"/>
  <c r="AI422" i="2"/>
  <c r="AF422" i="2" s="1"/>
  <c r="AC422" i="2" s="1"/>
  <c r="AE422" i="2"/>
  <c r="AA422" i="2"/>
  <c r="AP421" i="2"/>
  <c r="AQ421" i="2" s="1"/>
  <c r="AN421" i="2"/>
  <c r="AI421" i="2"/>
  <c r="AF421" i="2" s="1"/>
  <c r="AC421" i="2" s="1"/>
  <c r="AE421" i="2"/>
  <c r="AA421" i="2"/>
  <c r="AQ420" i="2"/>
  <c r="AM420" i="2"/>
  <c r="AN420" i="2" s="1"/>
  <c r="AH420" i="2"/>
  <c r="AI420" i="2" s="1"/>
  <c r="AF420" i="2" s="1"/>
  <c r="AC420" i="2" s="1"/>
  <c r="AE420" i="2"/>
  <c r="AA420" i="2"/>
  <c r="AQ419" i="2"/>
  <c r="AM419" i="2"/>
  <c r="AN419" i="2" s="1"/>
  <c r="AH419" i="2"/>
  <c r="AI419" i="2" s="1"/>
  <c r="AF419" i="2" s="1"/>
  <c r="AC419" i="2" s="1"/>
  <c r="AE419" i="2"/>
  <c r="AA419" i="2"/>
  <c r="AQ418" i="2"/>
  <c r="AM418" i="2"/>
  <c r="AN418" i="2" s="1"/>
  <c r="AH418" i="2"/>
  <c r="AI418" i="2" s="1"/>
  <c r="AF418" i="2" s="1"/>
  <c r="AC418" i="2" s="1"/>
  <c r="AE418" i="2"/>
  <c r="AA418" i="2"/>
  <c r="AQ417" i="2"/>
  <c r="AM417" i="2"/>
  <c r="AN417" i="2" s="1"/>
  <c r="AH417" i="2"/>
  <c r="AE417" i="2"/>
  <c r="AA417" i="2"/>
  <c r="AQ416" i="2"/>
  <c r="AM416" i="2"/>
  <c r="AN416" i="2" s="1"/>
  <c r="AH416" i="2"/>
  <c r="AI416" i="2" s="1"/>
  <c r="AF416" i="2" s="1"/>
  <c r="AC416" i="2" s="1"/>
  <c r="AE416" i="2"/>
  <c r="AA416" i="2"/>
  <c r="AQ415" i="2"/>
  <c r="AM415" i="2"/>
  <c r="AN415" i="2" s="1"/>
  <c r="AH415" i="2"/>
  <c r="AI415" i="2" s="1"/>
  <c r="AF415" i="2" s="1"/>
  <c r="AC415" i="2" s="1"/>
  <c r="AE415" i="2"/>
  <c r="AA415" i="2"/>
  <c r="AQ414" i="2"/>
  <c r="AM414" i="2"/>
  <c r="AN414" i="2" s="1"/>
  <c r="AH414" i="2"/>
  <c r="AI414" i="2" s="1"/>
  <c r="AF414" i="2" s="1"/>
  <c r="AC414" i="2" s="1"/>
  <c r="AE414" i="2"/>
  <c r="AA414" i="2"/>
  <c r="AQ413" i="2"/>
  <c r="AM413" i="2"/>
  <c r="AN413" i="2" s="1"/>
  <c r="AH413" i="2"/>
  <c r="AE413" i="2"/>
  <c r="AA413" i="2"/>
  <c r="AQ412" i="2"/>
  <c r="AM412" i="2"/>
  <c r="AN412" i="2" s="1"/>
  <c r="AH412" i="2"/>
  <c r="AI412" i="2" s="1"/>
  <c r="AF412" i="2" s="1"/>
  <c r="AC412" i="2" s="1"/>
  <c r="AE412" i="2"/>
  <c r="AA412" i="2"/>
  <c r="AQ411" i="2"/>
  <c r="AM411" i="2"/>
  <c r="AH411" i="2"/>
  <c r="AI411" i="2" s="1"/>
  <c r="AF411" i="2" s="1"/>
  <c r="AC411" i="2" s="1"/>
  <c r="AE411" i="2"/>
  <c r="AA411" i="2"/>
  <c r="AQ410" i="2"/>
  <c r="AM410" i="2"/>
  <c r="AN410" i="2" s="1"/>
  <c r="AH410" i="2"/>
  <c r="AI410" i="2" s="1"/>
  <c r="AF410" i="2" s="1"/>
  <c r="AC410" i="2" s="1"/>
  <c r="AE410" i="2"/>
  <c r="AA410" i="2"/>
  <c r="AQ409" i="2"/>
  <c r="AM409" i="2"/>
  <c r="AN409" i="2" s="1"/>
  <c r="AH409" i="2"/>
  <c r="AE409" i="2"/>
  <c r="AA409" i="2"/>
  <c r="AQ408" i="2"/>
  <c r="AM408" i="2"/>
  <c r="AN408" i="2" s="1"/>
  <c r="AH408" i="2"/>
  <c r="AI408" i="2" s="1"/>
  <c r="AF408" i="2" s="1"/>
  <c r="AC408" i="2" s="1"/>
  <c r="AE408" i="2"/>
  <c r="AA408" i="2"/>
  <c r="AQ407" i="2"/>
  <c r="AM407" i="2"/>
  <c r="AN407" i="2" s="1"/>
  <c r="AH407" i="2"/>
  <c r="AI407" i="2" s="1"/>
  <c r="AF407" i="2" s="1"/>
  <c r="AC407" i="2" s="1"/>
  <c r="AE407" i="2"/>
  <c r="AA407" i="2"/>
  <c r="AQ406" i="2"/>
  <c r="AM406" i="2"/>
  <c r="AN406" i="2" s="1"/>
  <c r="AH406" i="2"/>
  <c r="AI406" i="2" s="1"/>
  <c r="AF406" i="2" s="1"/>
  <c r="AC406" i="2" s="1"/>
  <c r="AE406" i="2"/>
  <c r="AA406" i="2"/>
  <c r="AQ405" i="2"/>
  <c r="AM405" i="2"/>
  <c r="AN405" i="2" s="1"/>
  <c r="AH405" i="2"/>
  <c r="AE405" i="2"/>
  <c r="AA405" i="2"/>
  <c r="AP404" i="2"/>
  <c r="AQ404" i="2" s="1"/>
  <c r="AN404" i="2"/>
  <c r="AI404" i="2"/>
  <c r="AF404" i="2" s="1"/>
  <c r="AC404" i="2" s="1"/>
  <c r="AE404" i="2"/>
  <c r="AA404" i="2"/>
  <c r="AP403" i="2"/>
  <c r="AQ403" i="2" s="1"/>
  <c r="AN403" i="2"/>
  <c r="AI403" i="2"/>
  <c r="AF403" i="2" s="1"/>
  <c r="AC403" i="2" s="1"/>
  <c r="AE403" i="2"/>
  <c r="AA403" i="2"/>
  <c r="AP402" i="2"/>
  <c r="AQ402" i="2" s="1"/>
  <c r="AN402" i="2"/>
  <c r="AI402" i="2"/>
  <c r="AF402" i="2" s="1"/>
  <c r="AC402" i="2" s="1"/>
  <c r="AE402" i="2"/>
  <c r="AA402" i="2"/>
  <c r="AP401" i="2"/>
  <c r="AQ401" i="2" s="1"/>
  <c r="AN401" i="2"/>
  <c r="AH401" i="2"/>
  <c r="AI401" i="2" s="1"/>
  <c r="AF401" i="2" s="1"/>
  <c r="AC401" i="2" s="1"/>
  <c r="AE401" i="2"/>
  <c r="AA401" i="2"/>
  <c r="AQ400" i="2"/>
  <c r="AN400" i="2"/>
  <c r="AH400" i="2"/>
  <c r="AI400" i="2" s="1"/>
  <c r="AF400" i="2" s="1"/>
  <c r="AC400" i="2" s="1"/>
  <c r="AE400" i="2"/>
  <c r="AA400" i="2"/>
  <c r="AQ399" i="2"/>
  <c r="AM399" i="2"/>
  <c r="AN399" i="2" s="1"/>
  <c r="AH399" i="2"/>
  <c r="AI399" i="2" s="1"/>
  <c r="AF399" i="2" s="1"/>
  <c r="AC399" i="2" s="1"/>
  <c r="AE399" i="2"/>
  <c r="AA399" i="2"/>
  <c r="AM398" i="2"/>
  <c r="AN398" i="2" s="1"/>
  <c r="AH398" i="2"/>
  <c r="AI398" i="2" s="1"/>
  <c r="AD398" i="2"/>
  <c r="AA398" i="2" s="1"/>
  <c r="AN397" i="2"/>
  <c r="AH397" i="2"/>
  <c r="AP397" i="2" s="1"/>
  <c r="AQ397" i="2" s="1"/>
  <c r="AE397" i="2"/>
  <c r="AA397" i="2"/>
  <c r="AN396" i="2"/>
  <c r="AH396" i="2"/>
  <c r="AP396" i="2" s="1"/>
  <c r="AQ396" i="2" s="1"/>
  <c r="AE396" i="2"/>
  <c r="AA396" i="2"/>
  <c r="AN395" i="2"/>
  <c r="AH395" i="2"/>
  <c r="AP395" i="2" s="1"/>
  <c r="AQ395" i="2" s="1"/>
  <c r="AE395" i="2"/>
  <c r="AA395" i="2"/>
  <c r="AN394" i="2"/>
  <c r="AH394" i="2"/>
  <c r="AP394" i="2" s="1"/>
  <c r="AQ394" i="2" s="1"/>
  <c r="AE394" i="2"/>
  <c r="AA394" i="2"/>
  <c r="AN393" i="2"/>
  <c r="AH393" i="2"/>
  <c r="AP393" i="2" s="1"/>
  <c r="AQ393" i="2" s="1"/>
  <c r="AE393" i="2"/>
  <c r="AA393" i="2"/>
  <c r="AN392" i="2"/>
  <c r="AH392" i="2"/>
  <c r="AP392" i="2" s="1"/>
  <c r="AQ392" i="2" s="1"/>
  <c r="AE392" i="2"/>
  <c r="AA392" i="2"/>
  <c r="AQ391" i="2"/>
  <c r="AN391" i="2"/>
  <c r="AI391" i="2"/>
  <c r="AF391" i="2" s="1"/>
  <c r="AC391" i="2" s="1"/>
  <c r="AE391" i="2"/>
  <c r="AA391" i="2"/>
  <c r="AQ390" i="2"/>
  <c r="AN390" i="2"/>
  <c r="AI390" i="2"/>
  <c r="AF390" i="2" s="1"/>
  <c r="AC390" i="2" s="1"/>
  <c r="AE390" i="2"/>
  <c r="AA390" i="2"/>
  <c r="AQ389" i="2"/>
  <c r="AN389" i="2"/>
  <c r="AI389" i="2"/>
  <c r="AF389" i="2" s="1"/>
  <c r="AC389" i="2" s="1"/>
  <c r="AE389" i="2"/>
  <c r="AA389" i="2"/>
  <c r="AQ388" i="2"/>
  <c r="AN388" i="2"/>
  <c r="AI388" i="2"/>
  <c r="AF388" i="2" s="1"/>
  <c r="AC388" i="2" s="1"/>
  <c r="AE388" i="2"/>
  <c r="AA388" i="2"/>
  <c r="AQ387" i="2"/>
  <c r="AN387" i="2"/>
  <c r="AI387" i="2"/>
  <c r="AF387" i="2" s="1"/>
  <c r="AC387" i="2" s="1"/>
  <c r="AE387" i="2"/>
  <c r="AA387" i="2"/>
  <c r="AQ386" i="2"/>
  <c r="AN386" i="2"/>
  <c r="AI386" i="2"/>
  <c r="AF386" i="2" s="1"/>
  <c r="AC386" i="2" s="1"/>
  <c r="AE386" i="2"/>
  <c r="AA386" i="2"/>
  <c r="AQ385" i="2"/>
  <c r="AN385" i="2"/>
  <c r="AI385" i="2"/>
  <c r="AF385" i="2" s="1"/>
  <c r="AC385" i="2" s="1"/>
  <c r="AE385" i="2"/>
  <c r="AA385" i="2"/>
  <c r="AM384" i="2"/>
  <c r="AN384" i="2" s="1"/>
  <c r="AH384" i="2"/>
  <c r="AE384" i="2"/>
  <c r="AA384" i="2"/>
  <c r="AM383" i="2"/>
  <c r="AN383" i="2" s="1"/>
  <c r="AH383" i="2"/>
  <c r="AE383" i="2"/>
  <c r="AA383" i="2"/>
  <c r="AM382" i="2"/>
  <c r="AN382" i="2" s="1"/>
  <c r="AH382" i="2"/>
  <c r="AE382" i="2"/>
  <c r="AA382" i="2"/>
  <c r="AP381" i="2"/>
  <c r="AN381" i="2"/>
  <c r="AH381" i="2"/>
  <c r="AI381" i="2" s="1"/>
  <c r="AF381" i="2" s="1"/>
  <c r="AC381" i="2" s="1"/>
  <c r="AE381" i="2"/>
  <c r="AA381" i="2"/>
  <c r="AP380" i="2"/>
  <c r="AQ380" i="2" s="1"/>
  <c r="AN380" i="2"/>
  <c r="AH380" i="2"/>
  <c r="AI380" i="2" s="1"/>
  <c r="AF380" i="2" s="1"/>
  <c r="AC380" i="2" s="1"/>
  <c r="AE380" i="2"/>
  <c r="AA380" i="2"/>
  <c r="AP379" i="2"/>
  <c r="AN379" i="2"/>
  <c r="AH379" i="2"/>
  <c r="AI379" i="2" s="1"/>
  <c r="AF379" i="2" s="1"/>
  <c r="AC379" i="2" s="1"/>
  <c r="AE379" i="2"/>
  <c r="AA379" i="2"/>
  <c r="AP378" i="2"/>
  <c r="AQ378" i="2" s="1"/>
  <c r="AN378" i="2"/>
  <c r="AH378" i="2"/>
  <c r="AI378" i="2" s="1"/>
  <c r="AF378" i="2" s="1"/>
  <c r="AC378" i="2" s="1"/>
  <c r="AE378" i="2"/>
  <c r="AA378" i="2"/>
  <c r="AP377" i="2"/>
  <c r="AN377" i="2"/>
  <c r="AH377" i="2"/>
  <c r="AI377" i="2" s="1"/>
  <c r="AF377" i="2" s="1"/>
  <c r="AC377" i="2" s="1"/>
  <c r="AE377" i="2"/>
  <c r="AA377" i="2"/>
  <c r="AM376" i="2"/>
  <c r="AN376" i="2" s="1"/>
  <c r="AH376" i="2"/>
  <c r="AI376" i="2" s="1"/>
  <c r="AF376" i="2" s="1"/>
  <c r="AE376" i="2"/>
  <c r="AA376" i="2"/>
  <c r="AM375" i="2"/>
  <c r="AN375" i="2" s="1"/>
  <c r="AH375" i="2"/>
  <c r="AI375" i="2" s="1"/>
  <c r="AF375" i="2" s="1"/>
  <c r="AE375" i="2"/>
  <c r="AA375" i="2"/>
  <c r="AM374" i="2"/>
  <c r="AN374" i="2" s="1"/>
  <c r="AH374" i="2"/>
  <c r="AI374" i="2" s="1"/>
  <c r="AF374" i="2" s="1"/>
  <c r="AE374" i="2"/>
  <c r="AA374" i="2"/>
  <c r="AM373" i="2"/>
  <c r="AN373" i="2" s="1"/>
  <c r="AH373" i="2"/>
  <c r="AI373" i="2" s="1"/>
  <c r="AF373" i="2" s="1"/>
  <c r="AE373" i="2"/>
  <c r="AA373" i="2"/>
  <c r="AM372" i="2"/>
  <c r="AN372" i="2" s="1"/>
  <c r="AH372" i="2"/>
  <c r="AI372" i="2" s="1"/>
  <c r="AF372" i="2" s="1"/>
  <c r="AE372" i="2"/>
  <c r="AA372" i="2"/>
  <c r="AP371" i="2"/>
  <c r="AQ371" i="2" s="1"/>
  <c r="AN371" i="2"/>
  <c r="AI371" i="2"/>
  <c r="AF371" i="2" s="1"/>
  <c r="AC371" i="2" s="1"/>
  <c r="AE371" i="2"/>
  <c r="AA371" i="2"/>
  <c r="AO370" i="2"/>
  <c r="AM370" i="2" s="1"/>
  <c r="AN370" i="2" s="1"/>
  <c r="AI370" i="2"/>
  <c r="AF370" i="2" s="1"/>
  <c r="AC370" i="2" s="1"/>
  <c r="AE370" i="2"/>
  <c r="AA370" i="2"/>
  <c r="AQ369" i="2"/>
  <c r="AN369" i="2"/>
  <c r="AI369" i="2"/>
  <c r="AF369" i="2" s="1"/>
  <c r="AC369" i="2" s="1"/>
  <c r="AE369" i="2"/>
  <c r="AA369" i="2"/>
  <c r="AQ368" i="2"/>
  <c r="AN368" i="2"/>
  <c r="AI368" i="2"/>
  <c r="AF368" i="2" s="1"/>
  <c r="AC368" i="2" s="1"/>
  <c r="AE368" i="2"/>
  <c r="AA368" i="2"/>
  <c r="AP367" i="2"/>
  <c r="AQ367" i="2" s="1"/>
  <c r="AN367" i="2"/>
  <c r="AI367" i="2"/>
  <c r="AF367" i="2" s="1"/>
  <c r="AC367" i="2" s="1"/>
  <c r="AE367" i="2"/>
  <c r="AA367" i="2"/>
  <c r="AP366" i="2"/>
  <c r="AQ366" i="2" s="1"/>
  <c r="AN366" i="2"/>
  <c r="AI366" i="2"/>
  <c r="AF366" i="2" s="1"/>
  <c r="AC366" i="2" s="1"/>
  <c r="AE366" i="2"/>
  <c r="AA366" i="2"/>
  <c r="AP365" i="2"/>
  <c r="AQ365" i="2" s="1"/>
  <c r="AN365" i="2"/>
  <c r="AI365" i="2"/>
  <c r="AF365" i="2" s="1"/>
  <c r="AC365" i="2" s="1"/>
  <c r="AE365" i="2"/>
  <c r="AA365" i="2"/>
  <c r="AP364" i="2"/>
  <c r="AQ364" i="2" s="1"/>
  <c r="AN364" i="2"/>
  <c r="AI364" i="2"/>
  <c r="AF364" i="2" s="1"/>
  <c r="AC364" i="2" s="1"/>
  <c r="AE364" i="2"/>
  <c r="AA364" i="2"/>
  <c r="AQ363" i="2"/>
  <c r="AN363" i="2"/>
  <c r="AI363" i="2"/>
  <c r="AF363" i="2" s="1"/>
  <c r="AC363" i="2" s="1"/>
  <c r="AE363" i="2"/>
  <c r="AA363" i="2"/>
  <c r="AQ362" i="2"/>
  <c r="AN362" i="2"/>
  <c r="AI362" i="2"/>
  <c r="AF362" i="2" s="1"/>
  <c r="AC362" i="2" s="1"/>
  <c r="AE362" i="2"/>
  <c r="AA362" i="2"/>
  <c r="AP361" i="2"/>
  <c r="AQ361" i="2" s="1"/>
  <c r="AN361" i="2"/>
  <c r="AI361" i="2"/>
  <c r="AF361" i="2" s="1"/>
  <c r="AC361" i="2" s="1"/>
  <c r="AE361" i="2"/>
  <c r="AA361" i="2"/>
  <c r="AP360" i="2"/>
  <c r="AQ360" i="2" s="1"/>
  <c r="AN360" i="2"/>
  <c r="AI360" i="2"/>
  <c r="AF360" i="2" s="1"/>
  <c r="AC360" i="2" s="1"/>
  <c r="AE360" i="2"/>
  <c r="AA360" i="2"/>
  <c r="AP359" i="2"/>
  <c r="AQ359" i="2" s="1"/>
  <c r="AN359" i="2"/>
  <c r="AI359" i="2"/>
  <c r="AF359" i="2" s="1"/>
  <c r="AC359" i="2" s="1"/>
  <c r="AE359" i="2"/>
  <c r="AA359" i="2"/>
  <c r="AP358" i="2"/>
  <c r="AQ358" i="2" s="1"/>
  <c r="AN358" i="2"/>
  <c r="AI358" i="2"/>
  <c r="AF358" i="2" s="1"/>
  <c r="AC358" i="2" s="1"/>
  <c r="AE358" i="2"/>
  <c r="AA358" i="2"/>
  <c r="AM356" i="2"/>
  <c r="AN356" i="2" s="1"/>
  <c r="AI356" i="2"/>
  <c r="AF356" i="2" s="1"/>
  <c r="AC356" i="2" s="1"/>
  <c r="AE356" i="2"/>
  <c r="AA356" i="2"/>
  <c r="AM355" i="2"/>
  <c r="AN355" i="2" s="1"/>
  <c r="AI355" i="2"/>
  <c r="AF355" i="2" s="1"/>
  <c r="AC355" i="2" s="1"/>
  <c r="AE355" i="2"/>
  <c r="AA355" i="2"/>
  <c r="AM354" i="2"/>
  <c r="AN354" i="2" s="1"/>
  <c r="AI354" i="2"/>
  <c r="AF354" i="2" s="1"/>
  <c r="AC354" i="2" s="1"/>
  <c r="AE354" i="2"/>
  <c r="AA354" i="2"/>
  <c r="AM353" i="2"/>
  <c r="AN353" i="2" s="1"/>
  <c r="AI353" i="2"/>
  <c r="AF353" i="2" s="1"/>
  <c r="AC353" i="2" s="1"/>
  <c r="AE353" i="2"/>
  <c r="AA353" i="2"/>
  <c r="AM352" i="2"/>
  <c r="AN352" i="2" s="1"/>
  <c r="AI352" i="2"/>
  <c r="AF352" i="2" s="1"/>
  <c r="AC352" i="2" s="1"/>
  <c r="AE352" i="2"/>
  <c r="AA352" i="2"/>
  <c r="AM351" i="2"/>
  <c r="AN351" i="2" s="1"/>
  <c r="AI351" i="2"/>
  <c r="AF351" i="2" s="1"/>
  <c r="AC351" i="2" s="1"/>
  <c r="AE351" i="2"/>
  <c r="AA351" i="2"/>
  <c r="AM350" i="2"/>
  <c r="AN350" i="2" s="1"/>
  <c r="AI350" i="2"/>
  <c r="AF350" i="2" s="1"/>
  <c r="AC350" i="2" s="1"/>
  <c r="AE350" i="2"/>
  <c r="AA350" i="2"/>
  <c r="AM349" i="2"/>
  <c r="AN349" i="2" s="1"/>
  <c r="AI349" i="2"/>
  <c r="AF349" i="2" s="1"/>
  <c r="AC349" i="2" s="1"/>
  <c r="AE349" i="2"/>
  <c r="AA349" i="2"/>
  <c r="AM348" i="2"/>
  <c r="AN348" i="2" s="1"/>
  <c r="AI348" i="2"/>
  <c r="AF348" i="2" s="1"/>
  <c r="AC348" i="2" s="1"/>
  <c r="AE348" i="2"/>
  <c r="AA348" i="2"/>
  <c r="AM347" i="2"/>
  <c r="AN347" i="2" s="1"/>
  <c r="AI347" i="2"/>
  <c r="AF347" i="2" s="1"/>
  <c r="AC347" i="2" s="1"/>
  <c r="AE347" i="2"/>
  <c r="AA347" i="2"/>
  <c r="AM346" i="2"/>
  <c r="AN346" i="2" s="1"/>
  <c r="AI346" i="2"/>
  <c r="AF346" i="2" s="1"/>
  <c r="AC346" i="2" s="1"/>
  <c r="AE346" i="2"/>
  <c r="AA346" i="2"/>
  <c r="AM345" i="2"/>
  <c r="AN345" i="2" s="1"/>
  <c r="AI345" i="2"/>
  <c r="AF345" i="2" s="1"/>
  <c r="AC345" i="2" s="1"/>
  <c r="AE345" i="2"/>
  <c r="AA345" i="2"/>
  <c r="AM344" i="2"/>
  <c r="AN344" i="2" s="1"/>
  <c r="AI344" i="2"/>
  <c r="AF344" i="2" s="1"/>
  <c r="AC344" i="2" s="1"/>
  <c r="AE344" i="2"/>
  <c r="AA344" i="2"/>
  <c r="AN343" i="2"/>
  <c r="AH343" i="2"/>
  <c r="AI343" i="2" s="1"/>
  <c r="AF343" i="2" s="1"/>
  <c r="AC343" i="2" s="1"/>
  <c r="AE343" i="2"/>
  <c r="AA343" i="2"/>
  <c r="AN342" i="2"/>
  <c r="AH342" i="2"/>
  <c r="AI342" i="2" s="1"/>
  <c r="AF342" i="2" s="1"/>
  <c r="AC342" i="2" s="1"/>
  <c r="AE342" i="2"/>
  <c r="AA342" i="2"/>
  <c r="AN341" i="2"/>
  <c r="AH341" i="2"/>
  <c r="AI341" i="2" s="1"/>
  <c r="AF341" i="2" s="1"/>
  <c r="AC341" i="2" s="1"/>
  <c r="AE341" i="2"/>
  <c r="AA341" i="2"/>
  <c r="AN340" i="2"/>
  <c r="AH340" i="2"/>
  <c r="AI340" i="2" s="1"/>
  <c r="AF340" i="2" s="1"/>
  <c r="AC340" i="2" s="1"/>
  <c r="AE340" i="2"/>
  <c r="AA340" i="2"/>
  <c r="AN339" i="2"/>
  <c r="AH339" i="2"/>
  <c r="AI339" i="2" s="1"/>
  <c r="AF339" i="2" s="1"/>
  <c r="AC339" i="2" s="1"/>
  <c r="AE339" i="2"/>
  <c r="AA339" i="2"/>
  <c r="AM338" i="2"/>
  <c r="AN338" i="2" s="1"/>
  <c r="AH338" i="2"/>
  <c r="AE338" i="2"/>
  <c r="AA338" i="2"/>
  <c r="AM337" i="2"/>
  <c r="AN337" i="2" s="1"/>
  <c r="AH337" i="2"/>
  <c r="AE337" i="2"/>
  <c r="AA337" i="2"/>
  <c r="AM336" i="2"/>
  <c r="AN336" i="2" s="1"/>
  <c r="AH336" i="2"/>
  <c r="AI336" i="2" s="1"/>
  <c r="AF336" i="2" s="1"/>
  <c r="AC336" i="2" s="1"/>
  <c r="AE336" i="2"/>
  <c r="AA336" i="2"/>
  <c r="AM335" i="2"/>
  <c r="AN335" i="2" s="1"/>
  <c r="AH335" i="2"/>
  <c r="AE335" i="2"/>
  <c r="AA335" i="2"/>
  <c r="AM334" i="2"/>
  <c r="AN334" i="2" s="1"/>
  <c r="AH334" i="2"/>
  <c r="AI334" i="2" s="1"/>
  <c r="AF334" i="2" s="1"/>
  <c r="AC334" i="2" s="1"/>
  <c r="AE334" i="2"/>
  <c r="AA334" i="2"/>
  <c r="AM333" i="2"/>
  <c r="AN333" i="2" s="1"/>
  <c r="AH333" i="2"/>
  <c r="AE333" i="2"/>
  <c r="AA333" i="2"/>
  <c r="AM332" i="2"/>
  <c r="AN332" i="2" s="1"/>
  <c r="AH332" i="2"/>
  <c r="AI332" i="2" s="1"/>
  <c r="AF332" i="2" s="1"/>
  <c r="AC332" i="2" s="1"/>
  <c r="AE332" i="2"/>
  <c r="AA332" i="2"/>
  <c r="AM331" i="2"/>
  <c r="AN331" i="2" s="1"/>
  <c r="AH331" i="2"/>
  <c r="AE331" i="2"/>
  <c r="AA331" i="2"/>
  <c r="AM330" i="2"/>
  <c r="AN330" i="2" s="1"/>
  <c r="AH330" i="2"/>
  <c r="AE330" i="2"/>
  <c r="AA330" i="2"/>
  <c r="AM329" i="2"/>
  <c r="AN329" i="2" s="1"/>
  <c r="AH329" i="2"/>
  <c r="AE329" i="2"/>
  <c r="AA329" i="2"/>
  <c r="AM328" i="2"/>
  <c r="AN328" i="2" s="1"/>
  <c r="AH328" i="2"/>
  <c r="AE328" i="2"/>
  <c r="AA328" i="2"/>
  <c r="AM327" i="2"/>
  <c r="AN327" i="2" s="1"/>
  <c r="AH327" i="2"/>
  <c r="AE327" i="2"/>
  <c r="AA327" i="2"/>
  <c r="AM326" i="2"/>
  <c r="AN326" i="2" s="1"/>
  <c r="AH326" i="2"/>
  <c r="AI326" i="2" s="1"/>
  <c r="AF326" i="2" s="1"/>
  <c r="AC326" i="2" s="1"/>
  <c r="AE326" i="2"/>
  <c r="AA326" i="2"/>
  <c r="AM325" i="2"/>
  <c r="AN325" i="2" s="1"/>
  <c r="AH325" i="2"/>
  <c r="AE325" i="2"/>
  <c r="AA325" i="2"/>
  <c r="AQ324" i="2"/>
  <c r="AO324" i="2"/>
  <c r="AN324" i="2"/>
  <c r="AI324" i="2"/>
  <c r="AF324" i="2" s="1"/>
  <c r="AC324" i="2" s="1"/>
  <c r="AE324" i="2"/>
  <c r="AA324" i="2"/>
  <c r="AQ323" i="2"/>
  <c r="AO323" i="2"/>
  <c r="AN323" i="2"/>
  <c r="AI323" i="2"/>
  <c r="AF323" i="2" s="1"/>
  <c r="AC323" i="2" s="1"/>
  <c r="AE323" i="2"/>
  <c r="AA323" i="2"/>
  <c r="AQ322" i="2"/>
  <c r="AO322" i="2"/>
  <c r="AN322" i="2"/>
  <c r="AI322" i="2"/>
  <c r="AF322" i="2" s="1"/>
  <c r="AC322" i="2" s="1"/>
  <c r="AE322" i="2"/>
  <c r="AA322" i="2"/>
  <c r="AQ321" i="2"/>
  <c r="AO321" i="2"/>
  <c r="AN321" i="2"/>
  <c r="AI321" i="2"/>
  <c r="AF321" i="2" s="1"/>
  <c r="AC321" i="2" s="1"/>
  <c r="AE321" i="2"/>
  <c r="AA321" i="2"/>
  <c r="AQ320" i="2"/>
  <c r="AO320" i="2"/>
  <c r="AN320" i="2"/>
  <c r="AI320" i="2"/>
  <c r="AF320" i="2" s="1"/>
  <c r="AC320" i="2" s="1"/>
  <c r="AE320" i="2"/>
  <c r="AA320" i="2"/>
  <c r="AN319" i="2"/>
  <c r="AH319" i="2"/>
  <c r="AE319" i="2"/>
  <c r="AA319" i="2"/>
  <c r="AN318" i="2"/>
  <c r="AH318" i="2"/>
  <c r="AP318" i="2" s="1"/>
  <c r="AQ318" i="2" s="1"/>
  <c r="AE318" i="2"/>
  <c r="AA318" i="2"/>
  <c r="AN317" i="2"/>
  <c r="AH317" i="2"/>
  <c r="AI317" i="2" s="1"/>
  <c r="AF317" i="2" s="1"/>
  <c r="AC317" i="2" s="1"/>
  <c r="AE317" i="2"/>
  <c r="AA317" i="2"/>
  <c r="AN316" i="2"/>
  <c r="AH316" i="2"/>
  <c r="AI316" i="2" s="1"/>
  <c r="AF316" i="2" s="1"/>
  <c r="AC316" i="2" s="1"/>
  <c r="AE316" i="2"/>
  <c r="AA316" i="2"/>
  <c r="AQ315" i="2"/>
  <c r="AO315" i="2"/>
  <c r="AN315" i="2"/>
  <c r="AI315" i="2"/>
  <c r="AF315" i="2" s="1"/>
  <c r="AC315" i="2" s="1"/>
  <c r="AE315" i="2"/>
  <c r="AA315" i="2"/>
  <c r="AQ314" i="2"/>
  <c r="AM314" i="2"/>
  <c r="AI314" i="2"/>
  <c r="AF314" i="2" s="1"/>
  <c r="AC314" i="2" s="1"/>
  <c r="AE314" i="2"/>
  <c r="AA314" i="2"/>
  <c r="AQ313" i="2"/>
  <c r="AO313" i="2"/>
  <c r="AN313" i="2"/>
  <c r="AI313" i="2"/>
  <c r="AF313" i="2" s="1"/>
  <c r="AC313" i="2" s="1"/>
  <c r="AE313" i="2"/>
  <c r="AA313" i="2"/>
  <c r="AQ312" i="2"/>
  <c r="AO312" i="2"/>
  <c r="AN312" i="2"/>
  <c r="AI312" i="2"/>
  <c r="AF312" i="2" s="1"/>
  <c r="AC312" i="2" s="1"/>
  <c r="AE312" i="2"/>
  <c r="AA312" i="2"/>
  <c r="AQ311" i="2"/>
  <c r="AO311" i="2"/>
  <c r="AN311" i="2"/>
  <c r="AI311" i="2"/>
  <c r="AF311" i="2" s="1"/>
  <c r="AC311" i="2" s="1"/>
  <c r="AE311" i="2"/>
  <c r="AA311" i="2"/>
  <c r="AP310" i="2"/>
  <c r="AQ310" i="2" s="1"/>
  <c r="AI310" i="2"/>
  <c r="AF310" i="2" s="1"/>
  <c r="AC310" i="2" s="1"/>
  <c r="AE310" i="2"/>
  <c r="AA310" i="2"/>
  <c r="AQ309" i="2"/>
  <c r="AO309" i="2"/>
  <c r="AN309" i="2"/>
  <c r="AI309" i="2"/>
  <c r="AF309" i="2" s="1"/>
  <c r="AC309" i="2" s="1"/>
  <c r="AE309" i="2"/>
  <c r="AA309" i="2"/>
  <c r="AQ308" i="2"/>
  <c r="AO308" i="2"/>
  <c r="AN308" i="2"/>
  <c r="AI308" i="2"/>
  <c r="AF308" i="2" s="1"/>
  <c r="AC308" i="2" s="1"/>
  <c r="AE308" i="2"/>
  <c r="AA308" i="2"/>
  <c r="AQ307" i="2"/>
  <c r="AO307" i="2"/>
  <c r="AN307" i="2"/>
  <c r="AI307" i="2"/>
  <c r="AF307" i="2" s="1"/>
  <c r="AC307" i="2" s="1"/>
  <c r="AE307" i="2"/>
  <c r="AA307" i="2"/>
  <c r="AQ306" i="2"/>
  <c r="AO306" i="2"/>
  <c r="AN306" i="2"/>
  <c r="AI306" i="2"/>
  <c r="AF306" i="2" s="1"/>
  <c r="AC306" i="2" s="1"/>
  <c r="AE306" i="2"/>
  <c r="AA306" i="2"/>
  <c r="AQ305" i="2"/>
  <c r="AO305" i="2"/>
  <c r="AN305" i="2"/>
  <c r="AI305" i="2"/>
  <c r="AF305" i="2" s="1"/>
  <c r="AC305" i="2" s="1"/>
  <c r="AE305" i="2"/>
  <c r="AA305" i="2"/>
  <c r="AQ304" i="2"/>
  <c r="AO304" i="2"/>
  <c r="AN304" i="2"/>
  <c r="AI304" i="2"/>
  <c r="AF304" i="2" s="1"/>
  <c r="AC304" i="2" s="1"/>
  <c r="AE304" i="2"/>
  <c r="AA304" i="2"/>
  <c r="AQ303" i="2"/>
  <c r="AO303" i="2"/>
  <c r="AN303" i="2"/>
  <c r="AI303" i="2"/>
  <c r="AF303" i="2" s="1"/>
  <c r="AC303" i="2" s="1"/>
  <c r="AE303" i="2"/>
  <c r="AA303" i="2"/>
  <c r="AQ302" i="2"/>
  <c r="AO302" i="2"/>
  <c r="AN302" i="2"/>
  <c r="AI302" i="2"/>
  <c r="AF302" i="2" s="1"/>
  <c r="AC302" i="2" s="1"/>
  <c r="AE302" i="2"/>
  <c r="AA302" i="2"/>
  <c r="AQ301" i="2"/>
  <c r="AO301" i="2"/>
  <c r="AN301" i="2"/>
  <c r="AI301" i="2"/>
  <c r="AF301" i="2" s="1"/>
  <c r="AC301" i="2" s="1"/>
  <c r="AE301" i="2"/>
  <c r="AA301" i="2"/>
  <c r="AQ300" i="2"/>
  <c r="AO300" i="2"/>
  <c r="AN300" i="2"/>
  <c r="AI300" i="2"/>
  <c r="AF300" i="2" s="1"/>
  <c r="AC300" i="2" s="1"/>
  <c r="AE300" i="2"/>
  <c r="AA300" i="2"/>
  <c r="AQ299" i="2"/>
  <c r="AO299" i="2"/>
  <c r="AN299" i="2"/>
  <c r="AI299" i="2"/>
  <c r="AF299" i="2" s="1"/>
  <c r="AC299" i="2" s="1"/>
  <c r="AE299" i="2"/>
  <c r="AA299" i="2"/>
  <c r="AQ298" i="2"/>
  <c r="AO298" i="2"/>
  <c r="AN298" i="2"/>
  <c r="AI298" i="2"/>
  <c r="AF298" i="2" s="1"/>
  <c r="AC298" i="2" s="1"/>
  <c r="AE298" i="2"/>
  <c r="AA298" i="2"/>
  <c r="AP297" i="2"/>
  <c r="AQ297" i="2" s="1"/>
  <c r="AN297" i="2"/>
  <c r="AI297" i="2"/>
  <c r="AF297" i="2" s="1"/>
  <c r="AC297" i="2" s="1"/>
  <c r="AE297" i="2"/>
  <c r="AA297" i="2"/>
  <c r="AP296" i="2"/>
  <c r="AQ296" i="2" s="1"/>
  <c r="AN296" i="2"/>
  <c r="AI296" i="2"/>
  <c r="AF296" i="2" s="1"/>
  <c r="AC296" i="2" s="1"/>
  <c r="AE296" i="2"/>
  <c r="AA296" i="2"/>
  <c r="AP295" i="2"/>
  <c r="AQ295" i="2" s="1"/>
  <c r="AN295" i="2"/>
  <c r="AI295" i="2"/>
  <c r="AF295" i="2" s="1"/>
  <c r="AC295" i="2" s="1"/>
  <c r="AE295" i="2"/>
  <c r="AA295" i="2"/>
  <c r="AP294" i="2"/>
  <c r="AQ294" i="2" s="1"/>
  <c r="AM294" i="2"/>
  <c r="AH294" i="2"/>
  <c r="AI294" i="2" s="1"/>
  <c r="AF294" i="2" s="1"/>
  <c r="AC294" i="2" s="1"/>
  <c r="AE294" i="2"/>
  <c r="AA294" i="2"/>
  <c r="AP293" i="2"/>
  <c r="AQ293" i="2" s="1"/>
  <c r="AH293" i="2"/>
  <c r="AI293" i="2" s="1"/>
  <c r="AF293" i="2" s="1"/>
  <c r="AC293" i="2" s="1"/>
  <c r="AE293" i="2"/>
  <c r="AA293" i="2"/>
  <c r="AQ292" i="2"/>
  <c r="AM292" i="2"/>
  <c r="AN292" i="2" s="1"/>
  <c r="AH292" i="2"/>
  <c r="AI292" i="2" s="1"/>
  <c r="AF292" i="2" s="1"/>
  <c r="AC292" i="2" s="1"/>
  <c r="AE292" i="2"/>
  <c r="AA292" i="2"/>
  <c r="AQ291" i="2"/>
  <c r="AN291" i="2"/>
  <c r="AH291" i="2"/>
  <c r="AI291" i="2" s="1"/>
  <c r="AF291" i="2" s="1"/>
  <c r="AC291" i="2" s="1"/>
  <c r="AE291" i="2"/>
  <c r="AA291" i="2"/>
  <c r="AQ290" i="2"/>
  <c r="AN290" i="2"/>
  <c r="AH290" i="2"/>
  <c r="AI290" i="2" s="1"/>
  <c r="AF290" i="2" s="1"/>
  <c r="AC290" i="2" s="1"/>
  <c r="AE290" i="2"/>
  <c r="AA290" i="2"/>
  <c r="AM289" i="2"/>
  <c r="AP289" i="2" s="1"/>
  <c r="AQ289" i="2" s="1"/>
  <c r="AI289" i="2"/>
  <c r="AF289" i="2" s="1"/>
  <c r="AC289" i="2" s="1"/>
  <c r="AE289" i="2"/>
  <c r="AA289" i="2"/>
  <c r="AM288" i="2"/>
  <c r="AI288" i="2"/>
  <c r="AF288" i="2" s="1"/>
  <c r="AC288" i="2" s="1"/>
  <c r="AE288" i="2"/>
  <c r="AA288" i="2"/>
  <c r="AM287" i="2"/>
  <c r="AN287" i="2" s="1"/>
  <c r="AI287" i="2"/>
  <c r="AF287" i="2" s="1"/>
  <c r="AC287" i="2" s="1"/>
  <c r="AE287" i="2"/>
  <c r="AA287" i="2"/>
  <c r="AM286" i="2"/>
  <c r="AN286" i="2" s="1"/>
  <c r="AI286" i="2"/>
  <c r="AF286" i="2" s="1"/>
  <c r="AC286" i="2" s="1"/>
  <c r="AE286" i="2"/>
  <c r="AA286" i="2"/>
  <c r="AM285" i="2"/>
  <c r="AP285" i="2" s="1"/>
  <c r="AQ285" i="2" s="1"/>
  <c r="AI285" i="2"/>
  <c r="AF285" i="2" s="1"/>
  <c r="AC285" i="2" s="1"/>
  <c r="AE285" i="2"/>
  <c r="AA285" i="2"/>
  <c r="AM284" i="2"/>
  <c r="AI284" i="2"/>
  <c r="AF284" i="2" s="1"/>
  <c r="AC284" i="2" s="1"/>
  <c r="AE284" i="2"/>
  <c r="AA284" i="2"/>
  <c r="AP283" i="2"/>
  <c r="AQ283" i="2" s="1"/>
  <c r="AN283" i="2"/>
  <c r="AI283" i="2"/>
  <c r="AF283" i="2" s="1"/>
  <c r="AC283" i="2" s="1"/>
  <c r="AE283" i="2"/>
  <c r="AA283" i="2"/>
  <c r="AP282" i="2"/>
  <c r="AQ282" i="2" s="1"/>
  <c r="AN282" i="2"/>
  <c r="AI282" i="2"/>
  <c r="AF282" i="2" s="1"/>
  <c r="AC282" i="2" s="1"/>
  <c r="AE282" i="2"/>
  <c r="AA282" i="2"/>
  <c r="AP281" i="2"/>
  <c r="AQ281" i="2" s="1"/>
  <c r="AN281" i="2"/>
  <c r="AI281" i="2"/>
  <c r="AF281" i="2" s="1"/>
  <c r="AC281" i="2" s="1"/>
  <c r="AE281" i="2"/>
  <c r="AA281" i="2"/>
  <c r="AQ280" i="2"/>
  <c r="AO280" i="2"/>
  <c r="AN280" i="2"/>
  <c r="AI280" i="2"/>
  <c r="AF280" i="2" s="1"/>
  <c r="AC280" i="2" s="1"/>
  <c r="AE280" i="2"/>
  <c r="AA280" i="2"/>
  <c r="AQ279" i="2"/>
  <c r="AO279" i="2"/>
  <c r="AN279" i="2"/>
  <c r="AI279" i="2"/>
  <c r="AF279" i="2" s="1"/>
  <c r="AC279" i="2" s="1"/>
  <c r="AE279" i="2"/>
  <c r="AA279" i="2"/>
  <c r="AQ278" i="2"/>
  <c r="AO278" i="2"/>
  <c r="AN278" i="2"/>
  <c r="AI278" i="2"/>
  <c r="AF278" i="2" s="1"/>
  <c r="AC278" i="2" s="1"/>
  <c r="AE278" i="2"/>
  <c r="AA278" i="2"/>
  <c r="AQ277" i="2"/>
  <c r="AO277" i="2"/>
  <c r="AN277" i="2"/>
  <c r="AI277" i="2"/>
  <c r="AF277" i="2" s="1"/>
  <c r="AC277" i="2" s="1"/>
  <c r="AE277" i="2"/>
  <c r="AA277" i="2"/>
  <c r="AQ276" i="2"/>
  <c r="AO276" i="2"/>
  <c r="AN276" i="2"/>
  <c r="AI276" i="2"/>
  <c r="AF276" i="2" s="1"/>
  <c r="AC276" i="2" s="1"/>
  <c r="AE276" i="2"/>
  <c r="AA276" i="2"/>
  <c r="AQ275" i="2"/>
  <c r="AO275" i="2"/>
  <c r="AN275" i="2"/>
  <c r="AI275" i="2"/>
  <c r="AD275" i="2"/>
  <c r="AQ274" i="2"/>
  <c r="AM274" i="2"/>
  <c r="AN274" i="2" s="1"/>
  <c r="AI274" i="2"/>
  <c r="AD274" i="2"/>
  <c r="AQ273" i="2"/>
  <c r="AM273" i="2"/>
  <c r="AN273" i="2" s="1"/>
  <c r="AI273" i="2"/>
  <c r="AD273" i="2"/>
  <c r="AQ272" i="2"/>
  <c r="AO272" i="2"/>
  <c r="AN272" i="2"/>
  <c r="AI272" i="2"/>
  <c r="AD272" i="2"/>
  <c r="AQ271" i="2"/>
  <c r="AM271" i="2"/>
  <c r="AN271" i="2" s="1"/>
  <c r="AI271" i="2"/>
  <c r="AD271" i="2"/>
  <c r="AQ270" i="2"/>
  <c r="AO270" i="2"/>
  <c r="AN270" i="2"/>
  <c r="AI270" i="2"/>
  <c r="AD270" i="2"/>
  <c r="AQ269" i="2"/>
  <c r="AM269" i="2"/>
  <c r="AN269" i="2" s="1"/>
  <c r="AI269" i="2"/>
  <c r="AD269" i="2"/>
  <c r="AQ268" i="2"/>
  <c r="AO268" i="2"/>
  <c r="AN268" i="2"/>
  <c r="AI268" i="2"/>
  <c r="AD268" i="2"/>
  <c r="AQ267" i="2"/>
  <c r="AO267" i="2"/>
  <c r="AN267" i="2"/>
  <c r="AI267" i="2"/>
  <c r="AD267" i="2"/>
  <c r="AQ266" i="2"/>
  <c r="AO266" i="2"/>
  <c r="AN266" i="2"/>
  <c r="AI266" i="2"/>
  <c r="AD266" i="2"/>
  <c r="AQ265" i="2"/>
  <c r="AO265" i="2"/>
  <c r="AN265" i="2"/>
  <c r="AI265" i="2"/>
  <c r="AD265" i="2"/>
  <c r="AQ264" i="2"/>
  <c r="AO264" i="2"/>
  <c r="AN264" i="2"/>
  <c r="AI264" i="2"/>
  <c r="AD264" i="2"/>
  <c r="AQ263" i="2"/>
  <c r="AO263" i="2"/>
  <c r="AN263" i="2"/>
  <c r="AI263" i="2"/>
  <c r="AD263" i="2"/>
  <c r="AQ262" i="2"/>
  <c r="AO262" i="2"/>
  <c r="AN262" i="2"/>
  <c r="AI262" i="2"/>
  <c r="AD262" i="2"/>
  <c r="AA262" i="2" s="1"/>
  <c r="AQ261" i="2"/>
  <c r="AO261" i="2"/>
  <c r="AN261" i="2"/>
  <c r="AI261" i="2"/>
  <c r="AD261" i="2"/>
  <c r="AQ260" i="2"/>
  <c r="AO260" i="2"/>
  <c r="AN260" i="2"/>
  <c r="AI260" i="2"/>
  <c r="AD260" i="2"/>
  <c r="AA260" i="2" s="1"/>
  <c r="AQ259" i="2"/>
  <c r="AO259" i="2"/>
  <c r="AN259" i="2"/>
  <c r="AI259" i="2"/>
  <c r="AD259" i="2"/>
  <c r="AQ258" i="2"/>
  <c r="AO258" i="2"/>
  <c r="AN258" i="2"/>
  <c r="AI258" i="2"/>
  <c r="AD258" i="2"/>
  <c r="AE258" i="2" s="1"/>
  <c r="AQ257" i="2"/>
  <c r="AO257" i="2"/>
  <c r="AN257" i="2"/>
  <c r="AI257" i="2"/>
  <c r="AD257" i="2"/>
  <c r="AP256" i="2"/>
  <c r="AQ256" i="2" s="1"/>
  <c r="AN256" i="2"/>
  <c r="AI256" i="2"/>
  <c r="AF256" i="2" s="1"/>
  <c r="AC256" i="2" s="1"/>
  <c r="AE256" i="2"/>
  <c r="AA256" i="2"/>
  <c r="AP255" i="2"/>
  <c r="AQ255" i="2" s="1"/>
  <c r="AN255" i="2"/>
  <c r="AI255" i="2"/>
  <c r="AF255" i="2" s="1"/>
  <c r="AC255" i="2" s="1"/>
  <c r="AE255" i="2"/>
  <c r="AA255" i="2"/>
  <c r="AP254" i="2"/>
  <c r="AQ254" i="2" s="1"/>
  <c r="AN254" i="2"/>
  <c r="AI254" i="2"/>
  <c r="AF254" i="2" s="1"/>
  <c r="AC254" i="2" s="1"/>
  <c r="AE254" i="2"/>
  <c r="AA254" i="2"/>
  <c r="AP253" i="2"/>
  <c r="AQ253" i="2" s="1"/>
  <c r="AN253" i="2"/>
  <c r="AI253" i="2"/>
  <c r="AF253" i="2" s="1"/>
  <c r="AC253" i="2" s="1"/>
  <c r="AE253" i="2"/>
  <c r="AA253" i="2"/>
  <c r="AP252" i="2"/>
  <c r="AQ252" i="2" s="1"/>
  <c r="AN252" i="2"/>
  <c r="AI252" i="2"/>
  <c r="AF252" i="2" s="1"/>
  <c r="AC252" i="2" s="1"/>
  <c r="AE252" i="2"/>
  <c r="AA252" i="2"/>
  <c r="AP251" i="2"/>
  <c r="AQ251" i="2" s="1"/>
  <c r="AN251" i="2"/>
  <c r="AI251" i="2"/>
  <c r="AF251" i="2" s="1"/>
  <c r="AC251" i="2" s="1"/>
  <c r="AE251" i="2"/>
  <c r="AA251" i="2"/>
  <c r="AP250" i="2"/>
  <c r="AQ250" i="2" s="1"/>
  <c r="AN250" i="2"/>
  <c r="AI250" i="2"/>
  <c r="AF250" i="2" s="1"/>
  <c r="AC250" i="2" s="1"/>
  <c r="AE250" i="2"/>
  <c r="AA250" i="2"/>
  <c r="AP249" i="2"/>
  <c r="AQ249" i="2" s="1"/>
  <c r="AN249" i="2"/>
  <c r="AI249" i="2"/>
  <c r="AF249" i="2" s="1"/>
  <c r="AC249" i="2" s="1"/>
  <c r="AE249" i="2"/>
  <c r="AA249" i="2"/>
  <c r="AP248" i="2"/>
  <c r="AQ248" i="2" s="1"/>
  <c r="AN248" i="2"/>
  <c r="AI248" i="2"/>
  <c r="AF248" i="2" s="1"/>
  <c r="AC248" i="2" s="1"/>
  <c r="AE248" i="2"/>
  <c r="AA248" i="2"/>
  <c r="AP247" i="2"/>
  <c r="AQ247" i="2" s="1"/>
  <c r="AN247" i="2"/>
  <c r="AI247" i="2"/>
  <c r="AF247" i="2" s="1"/>
  <c r="AC247" i="2" s="1"/>
  <c r="AE247" i="2"/>
  <c r="AA247" i="2"/>
  <c r="AP246" i="2"/>
  <c r="AQ246" i="2" s="1"/>
  <c r="AN246" i="2"/>
  <c r="AI246" i="2"/>
  <c r="AF246" i="2" s="1"/>
  <c r="AC246" i="2" s="1"/>
  <c r="AE246" i="2"/>
  <c r="AA246" i="2"/>
  <c r="AP245" i="2"/>
  <c r="AQ245" i="2" s="1"/>
  <c r="AN245" i="2"/>
  <c r="AI245" i="2"/>
  <c r="AF245" i="2" s="1"/>
  <c r="AC245" i="2" s="1"/>
  <c r="AE245" i="2"/>
  <c r="AA245" i="2"/>
  <c r="AP244" i="2"/>
  <c r="AQ244" i="2" s="1"/>
  <c r="AN244" i="2"/>
  <c r="AI244" i="2"/>
  <c r="AF244" i="2" s="1"/>
  <c r="AC244" i="2" s="1"/>
  <c r="AE244" i="2"/>
  <c r="AA244" i="2"/>
  <c r="AP243" i="2"/>
  <c r="AQ243" i="2" s="1"/>
  <c r="AN243" i="2"/>
  <c r="AI243" i="2"/>
  <c r="AF243" i="2" s="1"/>
  <c r="AC243" i="2" s="1"/>
  <c r="AE243" i="2"/>
  <c r="AA243" i="2"/>
  <c r="AP242" i="2"/>
  <c r="AQ242" i="2" s="1"/>
  <c r="AN242" i="2"/>
  <c r="AI242" i="2"/>
  <c r="AF242" i="2" s="1"/>
  <c r="AC242" i="2" s="1"/>
  <c r="AE242" i="2"/>
  <c r="AA242" i="2"/>
  <c r="AP241" i="2"/>
  <c r="AQ241" i="2" s="1"/>
  <c r="AN241" i="2"/>
  <c r="AI241" i="2"/>
  <c r="AF241" i="2" s="1"/>
  <c r="AC241" i="2" s="1"/>
  <c r="AE241" i="2"/>
  <c r="AA241" i="2"/>
  <c r="AP240" i="2"/>
  <c r="AQ240" i="2" s="1"/>
  <c r="AN240" i="2"/>
  <c r="AI240" i="2"/>
  <c r="AF240" i="2" s="1"/>
  <c r="AC240" i="2" s="1"/>
  <c r="AE240" i="2"/>
  <c r="AA240" i="2"/>
  <c r="AP239" i="2"/>
  <c r="AQ239" i="2" s="1"/>
  <c r="AN239" i="2"/>
  <c r="AI239" i="2"/>
  <c r="AF239" i="2" s="1"/>
  <c r="AC239" i="2" s="1"/>
  <c r="AE239" i="2"/>
  <c r="AA239" i="2"/>
  <c r="AP238" i="2"/>
  <c r="AQ238" i="2" s="1"/>
  <c r="AN238" i="2"/>
  <c r="AI238" i="2"/>
  <c r="AF238" i="2" s="1"/>
  <c r="AC238" i="2" s="1"/>
  <c r="AE238" i="2"/>
  <c r="AA238" i="2"/>
  <c r="AQ237" i="2"/>
  <c r="AM237" i="2"/>
  <c r="AN237" i="2" s="1"/>
  <c r="AI237" i="2"/>
  <c r="AD237" i="2"/>
  <c r="AQ236" i="2"/>
  <c r="AO236" i="2"/>
  <c r="AN236" i="2"/>
  <c r="AI236" i="2"/>
  <c r="AD236" i="2"/>
  <c r="AE236" i="2" s="1"/>
  <c r="AB236" i="2" s="1"/>
  <c r="AQ235" i="2"/>
  <c r="AO235" i="2"/>
  <c r="AN235" i="2"/>
  <c r="AI235" i="2"/>
  <c r="AD235" i="2"/>
  <c r="AE235" i="2" s="1"/>
  <c r="AB235" i="2" s="1"/>
  <c r="AP234" i="2"/>
  <c r="AH234" i="2"/>
  <c r="AI234" i="2" s="1"/>
  <c r="AF234" i="2" s="1"/>
  <c r="AC234" i="2" s="1"/>
  <c r="AE234" i="2"/>
  <c r="AA234" i="2"/>
  <c r="AP233" i="2"/>
  <c r="AQ233" i="2" s="1"/>
  <c r="AH233" i="2"/>
  <c r="AI233" i="2" s="1"/>
  <c r="AF233" i="2" s="1"/>
  <c r="AC233" i="2" s="1"/>
  <c r="AE233" i="2"/>
  <c r="AA233" i="2"/>
  <c r="AP232" i="2"/>
  <c r="AQ232" i="2" s="1"/>
  <c r="AH232" i="2"/>
  <c r="AI232" i="2" s="1"/>
  <c r="AF232" i="2" s="1"/>
  <c r="AC232" i="2" s="1"/>
  <c r="AE232" i="2"/>
  <c r="AA232" i="2"/>
  <c r="AP231" i="2"/>
  <c r="AQ231" i="2" s="1"/>
  <c r="AN231" i="2"/>
  <c r="AI231" i="2"/>
  <c r="AF231" i="2" s="1"/>
  <c r="AC231" i="2" s="1"/>
  <c r="AE231" i="2"/>
  <c r="AA231" i="2"/>
  <c r="AP230" i="2"/>
  <c r="AQ230" i="2" s="1"/>
  <c r="AN230" i="2"/>
  <c r="AI230" i="2"/>
  <c r="AF230" i="2" s="1"/>
  <c r="AC230" i="2" s="1"/>
  <c r="AE230" i="2"/>
  <c r="AA230" i="2"/>
  <c r="AP229" i="2"/>
  <c r="AQ229" i="2" s="1"/>
  <c r="AN229" i="2"/>
  <c r="AI229" i="2"/>
  <c r="AF229" i="2" s="1"/>
  <c r="AC229" i="2" s="1"/>
  <c r="AE229" i="2"/>
  <c r="AA229" i="2"/>
  <c r="AP228" i="2"/>
  <c r="AQ228" i="2" s="1"/>
  <c r="AN228" i="2"/>
  <c r="AI228" i="2"/>
  <c r="AF228" i="2" s="1"/>
  <c r="AC228" i="2" s="1"/>
  <c r="AE228" i="2"/>
  <c r="AA228" i="2"/>
  <c r="AP227" i="2"/>
  <c r="AQ227" i="2" s="1"/>
  <c r="AN227" i="2"/>
  <c r="AI227" i="2"/>
  <c r="AF227" i="2" s="1"/>
  <c r="AC227" i="2" s="1"/>
  <c r="AE227" i="2"/>
  <c r="AA227" i="2"/>
  <c r="AP226" i="2"/>
  <c r="AQ226" i="2" s="1"/>
  <c r="AN226" i="2"/>
  <c r="AI226" i="2"/>
  <c r="AF226" i="2" s="1"/>
  <c r="AC226" i="2" s="1"/>
  <c r="AE226" i="2"/>
  <c r="AA226" i="2"/>
  <c r="AP225" i="2"/>
  <c r="AQ225" i="2" s="1"/>
  <c r="AN225" i="2"/>
  <c r="AI225" i="2"/>
  <c r="AF225" i="2" s="1"/>
  <c r="AC225" i="2" s="1"/>
  <c r="AE225" i="2"/>
  <c r="AA225" i="2"/>
  <c r="AP224" i="2"/>
  <c r="AQ224" i="2" s="1"/>
  <c r="AN224" i="2"/>
  <c r="AI224" i="2"/>
  <c r="AF224" i="2" s="1"/>
  <c r="AC224" i="2" s="1"/>
  <c r="AE224" i="2"/>
  <c r="AA224" i="2"/>
  <c r="AP223" i="2"/>
  <c r="AQ223" i="2" s="1"/>
  <c r="AN223" i="2"/>
  <c r="AI223" i="2"/>
  <c r="AF223" i="2" s="1"/>
  <c r="AC223" i="2" s="1"/>
  <c r="AE223" i="2"/>
  <c r="AA223" i="2"/>
  <c r="AP222" i="2"/>
  <c r="AQ222" i="2" s="1"/>
  <c r="AN222" i="2"/>
  <c r="AI222" i="2"/>
  <c r="AF222" i="2" s="1"/>
  <c r="AC222" i="2" s="1"/>
  <c r="AE222" i="2"/>
  <c r="AA222" i="2"/>
  <c r="AP221" i="2"/>
  <c r="AQ221" i="2" s="1"/>
  <c r="AN221" i="2"/>
  <c r="AI221" i="2"/>
  <c r="AF221" i="2" s="1"/>
  <c r="AC221" i="2" s="1"/>
  <c r="AE221" i="2"/>
  <c r="AA221" i="2"/>
  <c r="AP220" i="2"/>
  <c r="AQ220" i="2" s="1"/>
  <c r="AN220" i="2"/>
  <c r="AI220" i="2"/>
  <c r="AF220" i="2" s="1"/>
  <c r="AC220" i="2" s="1"/>
  <c r="AE220" i="2"/>
  <c r="AA220" i="2"/>
  <c r="AQ219" i="2"/>
  <c r="AM219" i="2"/>
  <c r="AN219" i="2" s="1"/>
  <c r="AI219" i="2"/>
  <c r="AF219" i="2" s="1"/>
  <c r="AC219" i="2" s="1"/>
  <c r="AE219" i="2"/>
  <c r="AA219" i="2"/>
  <c r="AQ218" i="2"/>
  <c r="AM218" i="2"/>
  <c r="AN218" i="2" s="1"/>
  <c r="AI218" i="2"/>
  <c r="AF218" i="2" s="1"/>
  <c r="AC218" i="2" s="1"/>
  <c r="AE218" i="2"/>
  <c r="AA218" i="2"/>
  <c r="AQ217" i="2"/>
  <c r="AM217" i="2"/>
  <c r="AN217" i="2" s="1"/>
  <c r="AI217" i="2"/>
  <c r="AF217" i="2" s="1"/>
  <c r="AC217" i="2" s="1"/>
  <c r="AE217" i="2"/>
  <c r="AA217" i="2"/>
  <c r="AQ216" i="2"/>
  <c r="AM216" i="2"/>
  <c r="AN216" i="2" s="1"/>
  <c r="AI216" i="2"/>
  <c r="AF216" i="2" s="1"/>
  <c r="AC216" i="2" s="1"/>
  <c r="AE216" i="2"/>
  <c r="AA216" i="2"/>
  <c r="AQ215" i="2"/>
  <c r="AM215" i="2"/>
  <c r="AN215" i="2" s="1"/>
  <c r="AI215" i="2"/>
  <c r="AF215" i="2" s="1"/>
  <c r="AC215" i="2" s="1"/>
  <c r="AE215" i="2"/>
  <c r="AA215" i="2"/>
  <c r="AQ214" i="2"/>
  <c r="AM214" i="2"/>
  <c r="AN214" i="2" s="1"/>
  <c r="AI214" i="2"/>
  <c r="AF214" i="2" s="1"/>
  <c r="AC214" i="2" s="1"/>
  <c r="AE214" i="2"/>
  <c r="AA214" i="2"/>
  <c r="AQ213" i="2"/>
  <c r="AM213" i="2"/>
  <c r="AN213" i="2" s="1"/>
  <c r="AI213" i="2"/>
  <c r="AF213" i="2" s="1"/>
  <c r="AC213" i="2" s="1"/>
  <c r="AE213" i="2"/>
  <c r="AA213" i="2"/>
  <c r="AQ212" i="2"/>
  <c r="AM212" i="2"/>
  <c r="AN212" i="2" s="1"/>
  <c r="AI212" i="2"/>
  <c r="AF212" i="2" s="1"/>
  <c r="AC212" i="2" s="1"/>
  <c r="AE212" i="2"/>
  <c r="AA212" i="2"/>
  <c r="AQ211" i="2"/>
  <c r="AM211" i="2"/>
  <c r="AN211" i="2" s="1"/>
  <c r="AI211" i="2"/>
  <c r="AF211" i="2" s="1"/>
  <c r="AC211" i="2" s="1"/>
  <c r="AE211" i="2"/>
  <c r="AA211" i="2"/>
  <c r="AQ210" i="2"/>
  <c r="AM210" i="2"/>
  <c r="AN210" i="2" s="1"/>
  <c r="AI210" i="2"/>
  <c r="AF210" i="2" s="1"/>
  <c r="AC210" i="2" s="1"/>
  <c r="AE210" i="2"/>
  <c r="AA210" i="2"/>
  <c r="AQ209" i="2"/>
  <c r="AM209" i="2"/>
  <c r="AN209" i="2" s="1"/>
  <c r="AI209" i="2"/>
  <c r="AF209" i="2" s="1"/>
  <c r="AC209" i="2" s="1"/>
  <c r="AE209" i="2"/>
  <c r="AA209" i="2"/>
  <c r="AQ208" i="2"/>
  <c r="AM208" i="2"/>
  <c r="AN208" i="2" s="1"/>
  <c r="AI208" i="2"/>
  <c r="AF208" i="2" s="1"/>
  <c r="AC208" i="2" s="1"/>
  <c r="AE208" i="2"/>
  <c r="AA208" i="2"/>
  <c r="AM207" i="2"/>
  <c r="AH207" i="2"/>
  <c r="AF207" i="2"/>
  <c r="AC207" i="2" s="1"/>
  <c r="AE207" i="2"/>
  <c r="AA207" i="2"/>
  <c r="AM206" i="2"/>
  <c r="AH206" i="2"/>
  <c r="AF206" i="2"/>
  <c r="AC206" i="2" s="1"/>
  <c r="AE206" i="2"/>
  <c r="AA206" i="2"/>
  <c r="AQ205" i="2"/>
  <c r="AM205" i="2"/>
  <c r="AO205" i="2" s="1"/>
  <c r="AI205" i="2"/>
  <c r="AF205" i="2" s="1"/>
  <c r="AC205" i="2" s="1"/>
  <c r="AE205" i="2"/>
  <c r="AA205" i="2"/>
  <c r="AQ204" i="2"/>
  <c r="AM204" i="2"/>
  <c r="AN204" i="2" s="1"/>
  <c r="AI204" i="2"/>
  <c r="AF204" i="2" s="1"/>
  <c r="AC204" i="2" s="1"/>
  <c r="AE204" i="2"/>
  <c r="AA204" i="2"/>
  <c r="AQ203" i="2"/>
  <c r="AM203" i="2"/>
  <c r="AO203" i="2" s="1"/>
  <c r="AI203" i="2"/>
  <c r="AF203" i="2" s="1"/>
  <c r="AC203" i="2" s="1"/>
  <c r="AE203" i="2"/>
  <c r="AA203" i="2"/>
  <c r="AQ202" i="2"/>
  <c r="AM202" i="2"/>
  <c r="AO202" i="2" s="1"/>
  <c r="AI202" i="2"/>
  <c r="AF202" i="2" s="1"/>
  <c r="AC202" i="2" s="1"/>
  <c r="AE202" i="2"/>
  <c r="AA202" i="2"/>
  <c r="AQ201" i="2"/>
  <c r="AM201" i="2"/>
  <c r="AO201" i="2" s="1"/>
  <c r="AI201" i="2"/>
  <c r="AF201" i="2" s="1"/>
  <c r="AC201" i="2" s="1"/>
  <c r="AE201" i="2"/>
  <c r="AA201" i="2"/>
  <c r="AQ200" i="2"/>
  <c r="AM200" i="2"/>
  <c r="AO200" i="2" s="1"/>
  <c r="AI200" i="2"/>
  <c r="AF200" i="2" s="1"/>
  <c r="AC200" i="2" s="1"/>
  <c r="AE200" i="2"/>
  <c r="AA200" i="2"/>
  <c r="AQ199" i="2"/>
  <c r="AM199" i="2"/>
  <c r="AO199" i="2" s="1"/>
  <c r="AI199" i="2"/>
  <c r="AF199" i="2" s="1"/>
  <c r="AC199" i="2" s="1"/>
  <c r="AE199" i="2"/>
  <c r="AA199" i="2"/>
  <c r="AQ198" i="2"/>
  <c r="AM198" i="2"/>
  <c r="AO198" i="2" s="1"/>
  <c r="AI198" i="2"/>
  <c r="AF198" i="2" s="1"/>
  <c r="AC198" i="2" s="1"/>
  <c r="AE198" i="2"/>
  <c r="AA198" i="2"/>
  <c r="AQ197" i="2"/>
  <c r="AM197" i="2"/>
  <c r="AO197" i="2" s="1"/>
  <c r="AI197" i="2"/>
  <c r="AF197" i="2" s="1"/>
  <c r="AC197" i="2" s="1"/>
  <c r="AE197" i="2"/>
  <c r="AA197" i="2"/>
  <c r="AQ196" i="2"/>
  <c r="AM196" i="2"/>
  <c r="AN196" i="2" s="1"/>
  <c r="AI196" i="2"/>
  <c r="AF196" i="2" s="1"/>
  <c r="AC196" i="2" s="1"/>
  <c r="AE196" i="2"/>
  <c r="AA196" i="2"/>
  <c r="AQ195" i="2"/>
  <c r="AM195" i="2"/>
  <c r="AN195" i="2" s="1"/>
  <c r="AI195" i="2"/>
  <c r="AF195" i="2" s="1"/>
  <c r="AC195" i="2" s="1"/>
  <c r="AE195" i="2"/>
  <c r="AA195" i="2"/>
  <c r="AQ194" i="2"/>
  <c r="AM194" i="2"/>
  <c r="AN194" i="2" s="1"/>
  <c r="AI194" i="2"/>
  <c r="AF194" i="2" s="1"/>
  <c r="AC194" i="2" s="1"/>
  <c r="AE194" i="2"/>
  <c r="AA194" i="2"/>
  <c r="AQ193" i="2"/>
  <c r="AM193" i="2"/>
  <c r="AN193" i="2" s="1"/>
  <c r="AI193" i="2"/>
  <c r="AF193" i="2" s="1"/>
  <c r="AC193" i="2" s="1"/>
  <c r="AE193" i="2"/>
  <c r="AA193" i="2"/>
  <c r="AQ192" i="2"/>
  <c r="AM192" i="2"/>
  <c r="AN192" i="2" s="1"/>
  <c r="AI192" i="2"/>
  <c r="AF192" i="2" s="1"/>
  <c r="AC192" i="2" s="1"/>
  <c r="AE192" i="2"/>
  <c r="AA192" i="2"/>
  <c r="AQ191" i="2"/>
  <c r="AM191" i="2"/>
  <c r="AN191" i="2" s="1"/>
  <c r="AI191" i="2"/>
  <c r="AF191" i="2" s="1"/>
  <c r="AC191" i="2" s="1"/>
  <c r="AE191" i="2"/>
  <c r="AA191" i="2"/>
  <c r="AQ190" i="2"/>
  <c r="AM190" i="2"/>
  <c r="AN190" i="2" s="1"/>
  <c r="AI190" i="2"/>
  <c r="AF190" i="2" s="1"/>
  <c r="AC190" i="2" s="1"/>
  <c r="AE190" i="2"/>
  <c r="AA190" i="2"/>
  <c r="AQ189" i="2"/>
  <c r="AM189" i="2"/>
  <c r="AN189" i="2" s="1"/>
  <c r="AI189" i="2"/>
  <c r="AF189" i="2" s="1"/>
  <c r="AC189" i="2" s="1"/>
  <c r="AE189" i="2"/>
  <c r="AA189" i="2"/>
  <c r="AQ188" i="2"/>
  <c r="AM188" i="2"/>
  <c r="AO188" i="2" s="1"/>
  <c r="AI188" i="2"/>
  <c r="AF188" i="2" s="1"/>
  <c r="AC188" i="2" s="1"/>
  <c r="AE188" i="2"/>
  <c r="AA188" i="2"/>
  <c r="AQ187" i="2"/>
  <c r="AM187" i="2"/>
  <c r="AO187" i="2" s="1"/>
  <c r="AI187" i="2"/>
  <c r="AF187" i="2" s="1"/>
  <c r="AC187" i="2" s="1"/>
  <c r="AE187" i="2"/>
  <c r="AA187" i="2"/>
  <c r="AQ186" i="2"/>
  <c r="AM186" i="2"/>
  <c r="AO186" i="2" s="1"/>
  <c r="AI186" i="2"/>
  <c r="AF186" i="2" s="1"/>
  <c r="AC186" i="2" s="1"/>
  <c r="AE186" i="2"/>
  <c r="AA186" i="2"/>
  <c r="AQ185" i="2"/>
  <c r="AM185" i="2"/>
  <c r="AO185" i="2" s="1"/>
  <c r="AI185" i="2"/>
  <c r="AF185" i="2" s="1"/>
  <c r="AC185" i="2" s="1"/>
  <c r="AE185" i="2"/>
  <c r="AA185" i="2"/>
  <c r="AQ184" i="2"/>
  <c r="AM184" i="2"/>
  <c r="AO184" i="2" s="1"/>
  <c r="AI184" i="2"/>
  <c r="AF184" i="2" s="1"/>
  <c r="AC184" i="2" s="1"/>
  <c r="AE184" i="2"/>
  <c r="AA184" i="2"/>
  <c r="AQ183" i="2"/>
  <c r="AM183" i="2"/>
  <c r="AO183" i="2" s="1"/>
  <c r="AI183" i="2"/>
  <c r="AF183" i="2" s="1"/>
  <c r="AC183" i="2" s="1"/>
  <c r="AE183" i="2"/>
  <c r="AA183" i="2"/>
  <c r="AQ182" i="2"/>
  <c r="AM182" i="2"/>
  <c r="AO182" i="2" s="1"/>
  <c r="AI182" i="2"/>
  <c r="AF182" i="2" s="1"/>
  <c r="AC182" i="2" s="1"/>
  <c r="AE182" i="2"/>
  <c r="AA182" i="2"/>
  <c r="AQ181" i="2"/>
  <c r="AM181" i="2"/>
  <c r="AO181" i="2" s="1"/>
  <c r="AI181" i="2"/>
  <c r="AF181" i="2" s="1"/>
  <c r="AC181" i="2" s="1"/>
  <c r="AE181" i="2"/>
  <c r="AA181" i="2"/>
  <c r="AQ180" i="2"/>
  <c r="AM180" i="2"/>
  <c r="AN180" i="2" s="1"/>
  <c r="AI180" i="2"/>
  <c r="AF180" i="2" s="1"/>
  <c r="AC180" i="2" s="1"/>
  <c r="AE180" i="2"/>
  <c r="AA180" i="2"/>
  <c r="AQ179" i="2"/>
  <c r="AM179" i="2"/>
  <c r="AN179" i="2" s="1"/>
  <c r="AI179" i="2"/>
  <c r="AF179" i="2" s="1"/>
  <c r="AC179" i="2" s="1"/>
  <c r="AE179" i="2"/>
  <c r="AA179" i="2"/>
  <c r="AQ178" i="2"/>
  <c r="AM178" i="2"/>
  <c r="AN178" i="2" s="1"/>
  <c r="AI178" i="2"/>
  <c r="AF178" i="2" s="1"/>
  <c r="AC178" i="2" s="1"/>
  <c r="AE178" i="2"/>
  <c r="AA178" i="2"/>
  <c r="AQ177" i="2"/>
  <c r="AM177" i="2"/>
  <c r="AO177" i="2" s="1"/>
  <c r="AI177" i="2"/>
  <c r="AF177" i="2" s="1"/>
  <c r="AC177" i="2" s="1"/>
  <c r="AE177" i="2"/>
  <c r="AA177" i="2"/>
  <c r="AQ176" i="2"/>
  <c r="AM176" i="2"/>
  <c r="AO176" i="2" s="1"/>
  <c r="AI176" i="2"/>
  <c r="AF176" i="2" s="1"/>
  <c r="AC176" i="2" s="1"/>
  <c r="AE176" i="2"/>
  <c r="AA176" i="2"/>
  <c r="AQ175" i="2"/>
  <c r="AM175" i="2"/>
  <c r="AO175" i="2" s="1"/>
  <c r="AI175" i="2"/>
  <c r="AF175" i="2" s="1"/>
  <c r="AC175" i="2" s="1"/>
  <c r="AE175" i="2"/>
  <c r="AA175" i="2"/>
  <c r="AQ174" i="2"/>
  <c r="AM174" i="2"/>
  <c r="AO174" i="2" s="1"/>
  <c r="AI174" i="2"/>
  <c r="AF174" i="2" s="1"/>
  <c r="AC174" i="2" s="1"/>
  <c r="AE174" i="2"/>
  <c r="AA174" i="2"/>
  <c r="AQ173" i="2"/>
  <c r="AM173" i="2"/>
  <c r="AO173" i="2" s="1"/>
  <c r="AI173" i="2"/>
  <c r="AF173" i="2" s="1"/>
  <c r="AC173" i="2" s="1"/>
  <c r="AE173" i="2"/>
  <c r="AA173" i="2"/>
  <c r="AQ172" i="2"/>
  <c r="AM172" i="2"/>
  <c r="AN172" i="2" s="1"/>
  <c r="AI172" i="2"/>
  <c r="AF172" i="2" s="1"/>
  <c r="AC172" i="2" s="1"/>
  <c r="AE172" i="2"/>
  <c r="AA172" i="2"/>
  <c r="AQ171" i="2"/>
  <c r="AM171" i="2"/>
  <c r="AO171" i="2" s="1"/>
  <c r="AI171" i="2"/>
  <c r="AF171" i="2" s="1"/>
  <c r="AC171" i="2" s="1"/>
  <c r="AE171" i="2"/>
  <c r="AA171" i="2"/>
  <c r="AQ170" i="2"/>
  <c r="AM170" i="2"/>
  <c r="AO170" i="2" s="1"/>
  <c r="AI170" i="2"/>
  <c r="AF170" i="2" s="1"/>
  <c r="AC170" i="2" s="1"/>
  <c r="AE170" i="2"/>
  <c r="AA170" i="2"/>
  <c r="AQ169" i="2"/>
  <c r="AM169" i="2"/>
  <c r="AO169" i="2" s="1"/>
  <c r="AI169" i="2"/>
  <c r="AF169" i="2" s="1"/>
  <c r="AC169" i="2" s="1"/>
  <c r="AE169" i="2"/>
  <c r="AA169" i="2"/>
  <c r="AQ168" i="2"/>
  <c r="AM168" i="2"/>
  <c r="AO168" i="2" s="1"/>
  <c r="AI168" i="2"/>
  <c r="AF168" i="2" s="1"/>
  <c r="AC168" i="2" s="1"/>
  <c r="AE168" i="2"/>
  <c r="AA168" i="2"/>
  <c r="AQ167" i="2"/>
  <c r="AM167" i="2"/>
  <c r="AO167" i="2" s="1"/>
  <c r="AI167" i="2"/>
  <c r="AF167" i="2" s="1"/>
  <c r="AC167" i="2" s="1"/>
  <c r="AE167" i="2"/>
  <c r="AA167" i="2"/>
  <c r="AQ166" i="2"/>
  <c r="AM166" i="2"/>
  <c r="AO166" i="2" s="1"/>
  <c r="AI166" i="2"/>
  <c r="AF166" i="2" s="1"/>
  <c r="AC166" i="2" s="1"/>
  <c r="AE166" i="2"/>
  <c r="AA166" i="2"/>
  <c r="AQ165" i="2"/>
  <c r="AM165" i="2"/>
  <c r="AO165" i="2" s="1"/>
  <c r="AI165" i="2"/>
  <c r="AF165" i="2" s="1"/>
  <c r="AC165" i="2" s="1"/>
  <c r="AE165" i="2"/>
  <c r="AA165" i="2"/>
  <c r="AQ164" i="2"/>
  <c r="AM164" i="2"/>
  <c r="AN164" i="2" s="1"/>
  <c r="AI164" i="2"/>
  <c r="AF164" i="2" s="1"/>
  <c r="AC164" i="2" s="1"/>
  <c r="AE164" i="2"/>
  <c r="AA164" i="2"/>
  <c r="AQ163" i="2"/>
  <c r="AN163" i="2"/>
  <c r="AI163" i="2"/>
  <c r="AF163" i="2" s="1"/>
  <c r="AC163" i="2" s="1"/>
  <c r="AE163" i="2"/>
  <c r="AA163" i="2"/>
  <c r="AQ162" i="2"/>
  <c r="AM162" i="2"/>
  <c r="AO162" i="2" s="1"/>
  <c r="AI162" i="2"/>
  <c r="AF162" i="2" s="1"/>
  <c r="AC162" i="2" s="1"/>
  <c r="AE162" i="2"/>
  <c r="AA162" i="2"/>
  <c r="AQ161" i="2"/>
  <c r="AM161" i="2"/>
  <c r="AO161" i="2" s="1"/>
  <c r="AI161" i="2"/>
  <c r="AF161" i="2" s="1"/>
  <c r="AC161" i="2" s="1"/>
  <c r="AE161" i="2"/>
  <c r="AA161" i="2"/>
  <c r="AQ160" i="2"/>
  <c r="AM160" i="2"/>
  <c r="AN160" i="2" s="1"/>
  <c r="AI160" i="2"/>
  <c r="AF160" i="2" s="1"/>
  <c r="AC160" i="2" s="1"/>
  <c r="AE160" i="2"/>
  <c r="AA160" i="2"/>
  <c r="AQ159" i="2"/>
  <c r="AM159" i="2"/>
  <c r="AN159" i="2" s="1"/>
  <c r="AI159" i="2"/>
  <c r="AF159" i="2" s="1"/>
  <c r="AC159" i="2" s="1"/>
  <c r="AE159" i="2"/>
  <c r="AA159" i="2"/>
  <c r="AQ158" i="2"/>
  <c r="AO158" i="2"/>
  <c r="AN158" i="2"/>
  <c r="AI158" i="2"/>
  <c r="AF158" i="2" s="1"/>
  <c r="AC158" i="2" s="1"/>
  <c r="AE158" i="2"/>
  <c r="AA158" i="2"/>
  <c r="AQ157" i="2"/>
  <c r="AM157" i="2"/>
  <c r="AN157" i="2" s="1"/>
  <c r="AI157" i="2"/>
  <c r="AF157" i="2" s="1"/>
  <c r="AC157" i="2" s="1"/>
  <c r="AE157" i="2"/>
  <c r="AA157" i="2"/>
  <c r="AQ156" i="2"/>
  <c r="AO156" i="2"/>
  <c r="AN156" i="2"/>
  <c r="AI156" i="2"/>
  <c r="AF156" i="2" s="1"/>
  <c r="AC156" i="2" s="1"/>
  <c r="AE156" i="2"/>
  <c r="AA156" i="2"/>
  <c r="AQ155" i="2"/>
  <c r="AM155" i="2"/>
  <c r="AN155" i="2" s="1"/>
  <c r="AI155" i="2"/>
  <c r="AF155" i="2" s="1"/>
  <c r="AC155" i="2" s="1"/>
  <c r="AE155" i="2"/>
  <c r="AA155" i="2"/>
  <c r="AQ154" i="2"/>
  <c r="AN154" i="2"/>
  <c r="AI154" i="2"/>
  <c r="AF154" i="2" s="1"/>
  <c r="AC154" i="2" s="1"/>
  <c r="AE154" i="2"/>
  <c r="AA154" i="2"/>
  <c r="AQ153" i="2"/>
  <c r="AM153" i="2"/>
  <c r="AN153" i="2" s="1"/>
  <c r="AI153" i="2"/>
  <c r="AF153" i="2" s="1"/>
  <c r="AC153" i="2" s="1"/>
  <c r="AE153" i="2"/>
  <c r="AA153" i="2"/>
  <c r="AQ152" i="2"/>
  <c r="AM152" i="2"/>
  <c r="AO152" i="2" s="1"/>
  <c r="AI152" i="2"/>
  <c r="AF152" i="2" s="1"/>
  <c r="AC152" i="2" s="1"/>
  <c r="AE152" i="2"/>
  <c r="AA152" i="2"/>
  <c r="AQ151" i="2"/>
  <c r="AM151" i="2"/>
  <c r="AN151" i="2" s="1"/>
  <c r="AI151" i="2"/>
  <c r="AF151" i="2" s="1"/>
  <c r="AC151" i="2" s="1"/>
  <c r="AE151" i="2"/>
  <c r="AA151" i="2"/>
  <c r="AQ150" i="2"/>
  <c r="AM150" i="2"/>
  <c r="AO150" i="2" s="1"/>
  <c r="AI150" i="2"/>
  <c r="AF150" i="2" s="1"/>
  <c r="AC150" i="2" s="1"/>
  <c r="AE150" i="2"/>
  <c r="AA150" i="2"/>
  <c r="AQ149" i="2"/>
  <c r="AM149" i="2"/>
  <c r="AO149" i="2" s="1"/>
  <c r="AI149" i="2"/>
  <c r="AF149" i="2" s="1"/>
  <c r="AC149" i="2" s="1"/>
  <c r="AE149" i="2"/>
  <c r="AA149" i="2"/>
  <c r="AM148" i="2"/>
  <c r="AH148" i="2"/>
  <c r="AF148" i="2"/>
  <c r="AC148" i="2" s="1"/>
  <c r="AE148" i="2"/>
  <c r="AA148" i="2"/>
  <c r="AM147" i="2"/>
  <c r="AH147" i="2"/>
  <c r="AF147" i="2"/>
  <c r="AC147" i="2" s="1"/>
  <c r="AE147" i="2"/>
  <c r="AA147" i="2"/>
  <c r="AM146" i="2"/>
  <c r="AH146" i="2"/>
  <c r="AF146" i="2"/>
  <c r="AC146" i="2" s="1"/>
  <c r="AE146" i="2"/>
  <c r="AA146" i="2"/>
  <c r="AM145" i="2"/>
  <c r="AH145" i="2"/>
  <c r="AF145" i="2"/>
  <c r="AC145" i="2" s="1"/>
  <c r="AE145" i="2"/>
  <c r="AA145" i="2"/>
  <c r="AM144" i="2"/>
  <c r="AH144" i="2"/>
  <c r="AF144" i="2"/>
  <c r="AC144" i="2" s="1"/>
  <c r="AE144" i="2"/>
  <c r="AA144" i="2"/>
  <c r="AM143" i="2"/>
  <c r="AH143" i="2"/>
  <c r="AF143" i="2"/>
  <c r="AC143" i="2" s="1"/>
  <c r="AE143" i="2"/>
  <c r="AA143" i="2"/>
  <c r="AM142" i="2"/>
  <c r="AH142" i="2"/>
  <c r="AF142" i="2"/>
  <c r="AC142" i="2" s="1"/>
  <c r="AE142" i="2"/>
  <c r="AA142" i="2"/>
  <c r="AM141" i="2"/>
  <c r="AP141" i="2" s="1"/>
  <c r="AQ141" i="2" s="1"/>
  <c r="AI141" i="2"/>
  <c r="AF141" i="2" s="1"/>
  <c r="AC141" i="2" s="1"/>
  <c r="AE141" i="2"/>
  <c r="AA141" i="2"/>
  <c r="AM140" i="2"/>
  <c r="AP140" i="2" s="1"/>
  <c r="AQ140" i="2" s="1"/>
  <c r="AI140" i="2"/>
  <c r="AF140" i="2" s="1"/>
  <c r="AC140" i="2" s="1"/>
  <c r="AE140" i="2"/>
  <c r="AA140" i="2"/>
  <c r="AM139" i="2"/>
  <c r="AP139" i="2" s="1"/>
  <c r="AQ139" i="2" s="1"/>
  <c r="AI139" i="2"/>
  <c r="AF139" i="2" s="1"/>
  <c r="AC139" i="2" s="1"/>
  <c r="AE139" i="2"/>
  <c r="AA139" i="2"/>
  <c r="AM138" i="2"/>
  <c r="AP138" i="2" s="1"/>
  <c r="AQ138" i="2" s="1"/>
  <c r="AI138" i="2"/>
  <c r="AF138" i="2" s="1"/>
  <c r="AC138" i="2" s="1"/>
  <c r="AE138" i="2"/>
  <c r="AA138" i="2"/>
  <c r="AM137" i="2"/>
  <c r="AP137" i="2" s="1"/>
  <c r="AQ137" i="2" s="1"/>
  <c r="AI137" i="2"/>
  <c r="AF137" i="2" s="1"/>
  <c r="AC137" i="2" s="1"/>
  <c r="AE137" i="2"/>
  <c r="AA137" i="2"/>
  <c r="AM136" i="2"/>
  <c r="AP136" i="2" s="1"/>
  <c r="AQ136" i="2" s="1"/>
  <c r="AI136" i="2"/>
  <c r="AF136" i="2" s="1"/>
  <c r="AC136" i="2" s="1"/>
  <c r="AE136" i="2"/>
  <c r="AA136" i="2"/>
  <c r="AM135" i="2"/>
  <c r="AP135" i="2" s="1"/>
  <c r="AQ135" i="2" s="1"/>
  <c r="AI135" i="2"/>
  <c r="AF135" i="2" s="1"/>
  <c r="AC135" i="2" s="1"/>
  <c r="AE135" i="2"/>
  <c r="AA135" i="2"/>
  <c r="AM134" i="2"/>
  <c r="AP134" i="2" s="1"/>
  <c r="AQ134" i="2" s="1"/>
  <c r="AI134" i="2"/>
  <c r="AF134" i="2" s="1"/>
  <c r="AC134" i="2" s="1"/>
  <c r="AE134" i="2"/>
  <c r="AA134" i="2"/>
  <c r="AM133" i="2"/>
  <c r="AP133" i="2" s="1"/>
  <c r="AQ133" i="2" s="1"/>
  <c r="AI133" i="2"/>
  <c r="AF133" i="2" s="1"/>
  <c r="AC133" i="2" s="1"/>
  <c r="AE133" i="2"/>
  <c r="AA133" i="2"/>
  <c r="AM132" i="2"/>
  <c r="AP132" i="2" s="1"/>
  <c r="AQ132" i="2" s="1"/>
  <c r="AI132" i="2"/>
  <c r="AF132" i="2" s="1"/>
  <c r="AC132" i="2" s="1"/>
  <c r="AE132" i="2"/>
  <c r="AA132" i="2"/>
  <c r="AM131" i="2"/>
  <c r="AP131" i="2" s="1"/>
  <c r="AQ131" i="2" s="1"/>
  <c r="AI131" i="2"/>
  <c r="AF131" i="2" s="1"/>
  <c r="AC131" i="2" s="1"/>
  <c r="AE131" i="2"/>
  <c r="AA131" i="2"/>
  <c r="AM130" i="2"/>
  <c r="AP130" i="2" s="1"/>
  <c r="AQ130" i="2" s="1"/>
  <c r="AI130" i="2"/>
  <c r="AF130" i="2" s="1"/>
  <c r="AC130" i="2" s="1"/>
  <c r="AE130" i="2"/>
  <c r="AA130" i="2"/>
  <c r="AN129" i="2"/>
  <c r="AH129" i="2"/>
  <c r="AE129" i="2"/>
  <c r="AA129" i="2"/>
  <c r="AN128" i="2"/>
  <c r="AH128" i="2"/>
  <c r="AP128" i="2" s="1"/>
  <c r="AQ128" i="2" s="1"/>
  <c r="AE128" i="2"/>
  <c r="AA128" i="2"/>
  <c r="AN127" i="2"/>
  <c r="AH127" i="2"/>
  <c r="AE127" i="2"/>
  <c r="AA127" i="2"/>
  <c r="AN126" i="2"/>
  <c r="AH126" i="2"/>
  <c r="AP126" i="2" s="1"/>
  <c r="AQ126" i="2" s="1"/>
  <c r="AE126" i="2"/>
  <c r="AA126" i="2"/>
  <c r="AN125" i="2"/>
  <c r="AH125" i="2"/>
  <c r="AE125" i="2"/>
  <c r="AA125" i="2"/>
  <c r="AM124" i="2"/>
  <c r="AN124" i="2" s="1"/>
  <c r="AH124" i="2"/>
  <c r="AI124" i="2" s="1"/>
  <c r="AF124" i="2" s="1"/>
  <c r="AC124" i="2" s="1"/>
  <c r="AP124" i="2" s="1"/>
  <c r="AE124" i="2"/>
  <c r="AA124" i="2"/>
  <c r="AH123" i="2"/>
  <c r="AI123" i="2" s="1"/>
  <c r="AF123" i="2" s="1"/>
  <c r="AC123" i="2" s="1"/>
  <c r="AP123" i="2" s="1"/>
  <c r="AE123" i="2"/>
  <c r="AA123" i="2"/>
  <c r="AH122" i="2"/>
  <c r="AI122" i="2" s="1"/>
  <c r="AF122" i="2" s="1"/>
  <c r="AC122" i="2" s="1"/>
  <c r="AP122" i="2" s="1"/>
  <c r="AQ122" i="2" s="1"/>
  <c r="AE122" i="2"/>
  <c r="AA122" i="2"/>
  <c r="AQ121" i="2"/>
  <c r="AM121" i="2"/>
  <c r="AN121" i="2" s="1"/>
  <c r="AI121" i="2"/>
  <c r="AF121" i="2" s="1"/>
  <c r="AC121" i="2" s="1"/>
  <c r="AE121" i="2"/>
  <c r="AA121" i="2"/>
  <c r="AQ120" i="2"/>
  <c r="AO120" i="2"/>
  <c r="AN120" i="2"/>
  <c r="AI120" i="2"/>
  <c r="AF120" i="2" s="1"/>
  <c r="AC120" i="2" s="1"/>
  <c r="AE120" i="2"/>
  <c r="AA120" i="2"/>
  <c r="AQ119" i="2"/>
  <c r="AO119" i="2"/>
  <c r="AN119" i="2"/>
  <c r="AI119" i="2"/>
  <c r="AF119" i="2" s="1"/>
  <c r="AC119" i="2" s="1"/>
  <c r="AE119" i="2"/>
  <c r="AA119" i="2"/>
  <c r="AQ118" i="2"/>
  <c r="AO118" i="2"/>
  <c r="AN118" i="2"/>
  <c r="AI118" i="2"/>
  <c r="AF118" i="2" s="1"/>
  <c r="AC118" i="2" s="1"/>
  <c r="AE118" i="2"/>
  <c r="AA118" i="2"/>
  <c r="AQ117" i="2"/>
  <c r="AO117" i="2"/>
  <c r="AN117" i="2"/>
  <c r="AI117" i="2"/>
  <c r="AF117" i="2" s="1"/>
  <c r="AC117" i="2" s="1"/>
  <c r="AE117" i="2"/>
  <c r="AA117" i="2"/>
  <c r="AQ116" i="2"/>
  <c r="AO116" i="2"/>
  <c r="AN116" i="2"/>
  <c r="AI116" i="2"/>
  <c r="AF116" i="2" s="1"/>
  <c r="AC116" i="2" s="1"/>
  <c r="AE116" i="2"/>
  <c r="AA116" i="2"/>
  <c r="AQ115" i="2"/>
  <c r="AO115" i="2"/>
  <c r="AN115" i="2"/>
  <c r="AI115" i="2"/>
  <c r="AF115" i="2" s="1"/>
  <c r="AC115" i="2" s="1"/>
  <c r="AE115" i="2"/>
  <c r="AA115" i="2"/>
  <c r="AQ114" i="2"/>
  <c r="AO114" i="2"/>
  <c r="AN114" i="2"/>
  <c r="AI114" i="2"/>
  <c r="AF114" i="2" s="1"/>
  <c r="AC114" i="2" s="1"/>
  <c r="AE114" i="2"/>
  <c r="AA114" i="2"/>
  <c r="AM113" i="2"/>
  <c r="AP113" i="2" s="1"/>
  <c r="AQ113" i="2" s="1"/>
  <c r="AI113" i="2"/>
  <c r="AF113" i="2" s="1"/>
  <c r="AC113" i="2" s="1"/>
  <c r="AE113" i="2"/>
  <c r="AA113" i="2"/>
  <c r="AM112" i="2"/>
  <c r="AP112" i="2" s="1"/>
  <c r="AQ112" i="2" s="1"/>
  <c r="AI112" i="2"/>
  <c r="AF112" i="2" s="1"/>
  <c r="AC112" i="2" s="1"/>
  <c r="AE112" i="2"/>
  <c r="AA112" i="2"/>
  <c r="AM111" i="2"/>
  <c r="AP111" i="2" s="1"/>
  <c r="AQ111" i="2" s="1"/>
  <c r="AI111" i="2"/>
  <c r="AF111" i="2" s="1"/>
  <c r="AC111" i="2" s="1"/>
  <c r="AE111" i="2"/>
  <c r="AA111" i="2"/>
  <c r="AM110" i="2"/>
  <c r="AN110" i="2" s="1"/>
  <c r="AI110" i="2"/>
  <c r="AF110" i="2" s="1"/>
  <c r="AC110" i="2" s="1"/>
  <c r="AE110" i="2"/>
  <c r="AA110" i="2"/>
  <c r="AM109" i="2"/>
  <c r="AN109" i="2" s="1"/>
  <c r="AI109" i="2"/>
  <c r="AF109" i="2" s="1"/>
  <c r="AC109" i="2" s="1"/>
  <c r="AE109" i="2"/>
  <c r="AA109" i="2"/>
  <c r="AM108" i="2"/>
  <c r="AP108" i="2" s="1"/>
  <c r="AQ108" i="2" s="1"/>
  <c r="AI108" i="2"/>
  <c r="AF108" i="2" s="1"/>
  <c r="AC108" i="2" s="1"/>
  <c r="AE108" i="2"/>
  <c r="AA108" i="2"/>
  <c r="AM107" i="2"/>
  <c r="AP107" i="2" s="1"/>
  <c r="AO107" i="2" s="1"/>
  <c r="AI107" i="2"/>
  <c r="AF107" i="2" s="1"/>
  <c r="AC107" i="2" s="1"/>
  <c r="AE107" i="2"/>
  <c r="AA107" i="2"/>
  <c r="AM106" i="2"/>
  <c r="AN106" i="2" s="1"/>
  <c r="AI106" i="2"/>
  <c r="AF106" i="2" s="1"/>
  <c r="AC106" i="2" s="1"/>
  <c r="AE106" i="2"/>
  <c r="AA106" i="2"/>
  <c r="AM105" i="2"/>
  <c r="AN105" i="2" s="1"/>
  <c r="AI105" i="2"/>
  <c r="AF105" i="2" s="1"/>
  <c r="AC105" i="2" s="1"/>
  <c r="AE105" i="2"/>
  <c r="AA105" i="2"/>
  <c r="AM104" i="2"/>
  <c r="AN104" i="2" s="1"/>
  <c r="AI104" i="2"/>
  <c r="AF104" i="2" s="1"/>
  <c r="AC104" i="2" s="1"/>
  <c r="AE104" i="2"/>
  <c r="AA104" i="2"/>
  <c r="AM103" i="2"/>
  <c r="AP103" i="2" s="1"/>
  <c r="AO103" i="2" s="1"/>
  <c r="AI103" i="2"/>
  <c r="AF103" i="2" s="1"/>
  <c r="AC103" i="2" s="1"/>
  <c r="AE103" i="2"/>
  <c r="AA103" i="2"/>
  <c r="AM102" i="2"/>
  <c r="AN102" i="2" s="1"/>
  <c r="AI102" i="2"/>
  <c r="AF102" i="2" s="1"/>
  <c r="AC102" i="2" s="1"/>
  <c r="AE102" i="2"/>
  <c r="AA102" i="2"/>
  <c r="AQ101" i="2"/>
  <c r="AM101" i="2"/>
  <c r="AO101" i="2" s="1"/>
  <c r="AI101" i="2"/>
  <c r="AF101" i="2" s="1"/>
  <c r="AC101" i="2" s="1"/>
  <c r="AE101" i="2"/>
  <c r="AA101" i="2"/>
  <c r="AM100" i="2"/>
  <c r="AN100" i="2" s="1"/>
  <c r="AI100" i="2"/>
  <c r="AF100" i="2" s="1"/>
  <c r="AC100" i="2" s="1"/>
  <c r="AE100" i="2"/>
  <c r="AA100" i="2"/>
  <c r="AM99" i="2"/>
  <c r="AN99" i="2" s="1"/>
  <c r="AI99" i="2"/>
  <c r="AF99" i="2" s="1"/>
  <c r="AC99" i="2" s="1"/>
  <c r="AE99" i="2"/>
  <c r="AA99" i="2"/>
  <c r="AQ98" i="2"/>
  <c r="AM98" i="2"/>
  <c r="AO98" i="2" s="1"/>
  <c r="AI98" i="2"/>
  <c r="AF98" i="2" s="1"/>
  <c r="AC98" i="2" s="1"/>
  <c r="AE98" i="2"/>
  <c r="AA98" i="2"/>
  <c r="AQ97" i="2"/>
  <c r="AM97" i="2"/>
  <c r="AO97" i="2" s="1"/>
  <c r="AI97" i="2"/>
  <c r="AF97" i="2" s="1"/>
  <c r="AC97" i="2" s="1"/>
  <c r="AE97" i="2"/>
  <c r="AA97" i="2"/>
  <c r="AQ96" i="2"/>
  <c r="AM96" i="2"/>
  <c r="AN96" i="2" s="1"/>
  <c r="AI96" i="2"/>
  <c r="AF96" i="2" s="1"/>
  <c r="AC96" i="2" s="1"/>
  <c r="AE96" i="2"/>
  <c r="AA96" i="2"/>
  <c r="AQ95" i="2"/>
  <c r="AM95" i="2"/>
  <c r="AN95" i="2" s="1"/>
  <c r="AI95" i="2"/>
  <c r="AF95" i="2" s="1"/>
  <c r="AC95" i="2" s="1"/>
  <c r="AE95" i="2"/>
  <c r="AA95" i="2"/>
  <c r="AQ94" i="2"/>
  <c r="AM94" i="2"/>
  <c r="AO94" i="2" s="1"/>
  <c r="AI94" i="2"/>
  <c r="AF94" i="2" s="1"/>
  <c r="AC94" i="2" s="1"/>
  <c r="AE94" i="2"/>
  <c r="AA94" i="2"/>
  <c r="AQ93" i="2"/>
  <c r="AM93" i="2"/>
  <c r="AN93" i="2" s="1"/>
  <c r="AI93" i="2"/>
  <c r="AF93" i="2" s="1"/>
  <c r="AC93" i="2" s="1"/>
  <c r="AE93" i="2"/>
  <c r="AA93" i="2"/>
  <c r="AQ92" i="2"/>
  <c r="AM92" i="2"/>
  <c r="AN92" i="2" s="1"/>
  <c r="AI92" i="2"/>
  <c r="AF92" i="2" s="1"/>
  <c r="AC92" i="2" s="1"/>
  <c r="AE92" i="2"/>
  <c r="AA92" i="2"/>
  <c r="AQ91" i="2"/>
  <c r="AM91" i="2"/>
  <c r="AN91" i="2" s="1"/>
  <c r="AI91" i="2"/>
  <c r="AF91" i="2" s="1"/>
  <c r="AC91" i="2" s="1"/>
  <c r="AE91" i="2"/>
  <c r="AA91" i="2"/>
  <c r="AQ90" i="2"/>
  <c r="AM90" i="2"/>
  <c r="AN90" i="2" s="1"/>
  <c r="AI90" i="2"/>
  <c r="AF90" i="2" s="1"/>
  <c r="AC90" i="2" s="1"/>
  <c r="AE90" i="2"/>
  <c r="AA90" i="2"/>
  <c r="AQ89" i="2"/>
  <c r="AM89" i="2"/>
  <c r="AO89" i="2" s="1"/>
  <c r="AI89" i="2"/>
  <c r="AF89" i="2" s="1"/>
  <c r="AC89" i="2" s="1"/>
  <c r="AE89" i="2"/>
  <c r="AA89" i="2"/>
  <c r="AQ88" i="2"/>
  <c r="AM88" i="2"/>
  <c r="AN88" i="2" s="1"/>
  <c r="AI88" i="2"/>
  <c r="AF88" i="2" s="1"/>
  <c r="AC88" i="2" s="1"/>
  <c r="AE88" i="2"/>
  <c r="AA88" i="2"/>
  <c r="AQ87" i="2"/>
  <c r="AM87" i="2"/>
  <c r="AN87" i="2" s="1"/>
  <c r="AI87" i="2"/>
  <c r="AF87" i="2" s="1"/>
  <c r="AC87" i="2" s="1"/>
  <c r="AE87" i="2"/>
  <c r="AA87" i="2"/>
  <c r="AQ86" i="2"/>
  <c r="AM86" i="2"/>
  <c r="AO86" i="2" s="1"/>
  <c r="AI86" i="2"/>
  <c r="AF86" i="2" s="1"/>
  <c r="AC86" i="2" s="1"/>
  <c r="AE86" i="2"/>
  <c r="AA86" i="2"/>
  <c r="AQ85" i="2"/>
  <c r="AM85" i="2"/>
  <c r="AN85" i="2" s="1"/>
  <c r="AI85" i="2"/>
  <c r="AF85" i="2" s="1"/>
  <c r="AC85" i="2" s="1"/>
  <c r="AE85" i="2"/>
  <c r="AA85" i="2"/>
  <c r="AQ84" i="2"/>
  <c r="AM84" i="2"/>
  <c r="AN84" i="2" s="1"/>
  <c r="AI84" i="2"/>
  <c r="AF84" i="2" s="1"/>
  <c r="AC84" i="2" s="1"/>
  <c r="AE84" i="2"/>
  <c r="AA84" i="2"/>
  <c r="AQ83" i="2"/>
  <c r="AM83" i="2"/>
  <c r="AN83" i="2" s="1"/>
  <c r="AI83" i="2"/>
  <c r="AF83" i="2" s="1"/>
  <c r="AC83" i="2" s="1"/>
  <c r="AE83" i="2"/>
  <c r="AA83" i="2"/>
  <c r="AQ82" i="2"/>
  <c r="AM82" i="2"/>
  <c r="AN82" i="2" s="1"/>
  <c r="AI82" i="2"/>
  <c r="AF82" i="2" s="1"/>
  <c r="AC82" i="2" s="1"/>
  <c r="AE82" i="2"/>
  <c r="AA82" i="2"/>
  <c r="AQ81" i="2"/>
  <c r="AM81" i="2"/>
  <c r="AN81" i="2" s="1"/>
  <c r="AI81" i="2"/>
  <c r="AF81" i="2" s="1"/>
  <c r="AC81" i="2" s="1"/>
  <c r="AE81" i="2"/>
  <c r="AA81" i="2"/>
  <c r="AM80" i="2"/>
  <c r="AN80" i="2" s="1"/>
  <c r="AH80" i="2"/>
  <c r="AI80" i="2" s="1"/>
  <c r="AF80" i="2" s="1"/>
  <c r="AC80" i="2" s="1"/>
  <c r="AE80" i="2"/>
  <c r="AA80" i="2"/>
  <c r="AM79" i="2"/>
  <c r="AN79" i="2" s="1"/>
  <c r="AH79" i="2"/>
  <c r="AI79" i="2" s="1"/>
  <c r="AF79" i="2" s="1"/>
  <c r="AC79" i="2" s="1"/>
  <c r="AE79" i="2"/>
  <c r="AA79" i="2"/>
  <c r="AM78" i="2"/>
  <c r="AN78" i="2" s="1"/>
  <c r="AH78" i="2"/>
  <c r="AI78" i="2" s="1"/>
  <c r="AF78" i="2" s="1"/>
  <c r="AC78" i="2" s="1"/>
  <c r="AE78" i="2"/>
  <c r="AA78" i="2"/>
  <c r="AN77" i="2"/>
  <c r="AH77" i="2"/>
  <c r="AP77" i="2" s="1"/>
  <c r="AQ77" i="2" s="1"/>
  <c r="AE77" i="2"/>
  <c r="AA77" i="2"/>
  <c r="AM76" i="2"/>
  <c r="AN76" i="2" s="1"/>
  <c r="AH76" i="2"/>
  <c r="AI76" i="2" s="1"/>
  <c r="AD76" i="2"/>
  <c r="AM75" i="2"/>
  <c r="AN75" i="2" s="1"/>
  <c r="AH75" i="2"/>
  <c r="AI75" i="2" s="1"/>
  <c r="AD75" i="2"/>
  <c r="AA75" i="2" s="1"/>
  <c r="AQ74" i="2"/>
  <c r="AO74" i="2"/>
  <c r="AN74" i="2"/>
  <c r="AI74" i="2"/>
  <c r="AF74" i="2" s="1"/>
  <c r="AC74" i="2" s="1"/>
  <c r="AE74" i="2"/>
  <c r="AA74" i="2"/>
  <c r="AQ73" i="2"/>
  <c r="AO73" i="2"/>
  <c r="AN73" i="2"/>
  <c r="AI73" i="2"/>
  <c r="AF73" i="2" s="1"/>
  <c r="AC73" i="2" s="1"/>
  <c r="AE73" i="2"/>
  <c r="AA73" i="2"/>
  <c r="AQ72" i="2"/>
  <c r="AO72" i="2"/>
  <c r="AN72" i="2"/>
  <c r="AI72" i="2"/>
  <c r="AF72" i="2" s="1"/>
  <c r="AC72" i="2" s="1"/>
  <c r="AE72" i="2"/>
  <c r="AA72" i="2"/>
  <c r="AQ71" i="2"/>
  <c r="AO71" i="2"/>
  <c r="AN71" i="2"/>
  <c r="AI71" i="2"/>
  <c r="AF71" i="2" s="1"/>
  <c r="AC71" i="2" s="1"/>
  <c r="AE71" i="2"/>
  <c r="AA71" i="2"/>
  <c r="AQ70" i="2"/>
  <c r="AO70" i="2"/>
  <c r="AN70" i="2"/>
  <c r="AI70" i="2"/>
  <c r="AF70" i="2" s="1"/>
  <c r="AC70" i="2" s="1"/>
  <c r="AE70" i="2"/>
  <c r="AA70" i="2"/>
  <c r="AQ69" i="2"/>
  <c r="AO69" i="2"/>
  <c r="AN69" i="2"/>
  <c r="AI69" i="2"/>
  <c r="AF69" i="2" s="1"/>
  <c r="AC69" i="2" s="1"/>
  <c r="AE69" i="2"/>
  <c r="AA69" i="2"/>
  <c r="AQ68" i="2"/>
  <c r="AO68" i="2"/>
  <c r="AN68" i="2"/>
  <c r="AI68" i="2"/>
  <c r="AF68" i="2" s="1"/>
  <c r="AC68" i="2" s="1"/>
  <c r="AE68" i="2"/>
  <c r="AA68" i="2"/>
  <c r="AQ67" i="2"/>
  <c r="AO67" i="2"/>
  <c r="AN67" i="2"/>
  <c r="AI67" i="2"/>
  <c r="AF67" i="2" s="1"/>
  <c r="AC67" i="2" s="1"/>
  <c r="AE67" i="2"/>
  <c r="AA67" i="2"/>
  <c r="AQ66" i="2"/>
  <c r="AO66" i="2"/>
  <c r="AN66" i="2"/>
  <c r="AI66" i="2"/>
  <c r="AF66" i="2" s="1"/>
  <c r="AC66" i="2" s="1"/>
  <c r="AE66" i="2"/>
  <c r="AA66" i="2"/>
  <c r="AQ65" i="2"/>
  <c r="AO65" i="2"/>
  <c r="AN65" i="2"/>
  <c r="AI65" i="2"/>
  <c r="AF65" i="2" s="1"/>
  <c r="AC65" i="2" s="1"/>
  <c r="AE65" i="2"/>
  <c r="AA65" i="2"/>
  <c r="AQ64" i="2"/>
  <c r="AO64" i="2"/>
  <c r="AN64" i="2"/>
  <c r="AI64" i="2"/>
  <c r="AF64" i="2" s="1"/>
  <c r="AC64" i="2" s="1"/>
  <c r="AE64" i="2"/>
  <c r="AA64" i="2"/>
  <c r="AQ63" i="2"/>
  <c r="AO63" i="2"/>
  <c r="AN63" i="2"/>
  <c r="AI63" i="2"/>
  <c r="AF63" i="2" s="1"/>
  <c r="AC63" i="2" s="1"/>
  <c r="AE63" i="2"/>
  <c r="AA63" i="2"/>
  <c r="AQ62" i="2"/>
  <c r="AM62" i="2"/>
  <c r="AO62" i="2" s="1"/>
  <c r="AI62" i="2"/>
  <c r="AF62" i="2" s="1"/>
  <c r="AC62" i="2" s="1"/>
  <c r="AE62" i="2"/>
  <c r="AA62" i="2"/>
  <c r="AQ61" i="2"/>
  <c r="AM61" i="2"/>
  <c r="AO61" i="2" s="1"/>
  <c r="AI61" i="2"/>
  <c r="AF61" i="2" s="1"/>
  <c r="AC61" i="2" s="1"/>
  <c r="AE61" i="2"/>
  <c r="AA61" i="2"/>
  <c r="AQ60" i="2"/>
  <c r="AM60" i="2"/>
  <c r="AO60" i="2" s="1"/>
  <c r="AI60" i="2"/>
  <c r="AF60" i="2" s="1"/>
  <c r="AC60" i="2" s="1"/>
  <c r="AE60" i="2"/>
  <c r="AA60" i="2"/>
  <c r="AQ59" i="2"/>
  <c r="AM59" i="2"/>
  <c r="AO59" i="2" s="1"/>
  <c r="AI59" i="2"/>
  <c r="AF59" i="2" s="1"/>
  <c r="AC59" i="2" s="1"/>
  <c r="AE59" i="2"/>
  <c r="AA59" i="2"/>
  <c r="AQ58" i="2"/>
  <c r="AO58" i="2"/>
  <c r="AN58" i="2"/>
  <c r="AI58" i="2"/>
  <c r="AF58" i="2" s="1"/>
  <c r="AC58" i="2" s="1"/>
  <c r="AE58" i="2"/>
  <c r="AA58" i="2"/>
  <c r="AQ57" i="2"/>
  <c r="AO57" i="2"/>
  <c r="AN57" i="2"/>
  <c r="AI57" i="2"/>
  <c r="AF57" i="2" s="1"/>
  <c r="AC57" i="2" s="1"/>
  <c r="AE57" i="2"/>
  <c r="AA57" i="2"/>
  <c r="AQ56" i="2"/>
  <c r="AO56" i="2"/>
  <c r="AN56" i="2"/>
  <c r="AI56" i="2"/>
  <c r="AF56" i="2" s="1"/>
  <c r="AC56" i="2" s="1"/>
  <c r="AE56" i="2"/>
  <c r="AA56" i="2"/>
  <c r="AQ55" i="2"/>
  <c r="AO55" i="2"/>
  <c r="AN55" i="2"/>
  <c r="AI55" i="2"/>
  <c r="AF55" i="2" s="1"/>
  <c r="AC55" i="2" s="1"/>
  <c r="AE55" i="2"/>
  <c r="AA55" i="2"/>
  <c r="AQ54" i="2"/>
  <c r="AO54" i="2"/>
  <c r="AN54" i="2"/>
  <c r="AI54" i="2"/>
  <c r="AF54" i="2" s="1"/>
  <c r="AC54" i="2" s="1"/>
  <c r="AE54" i="2"/>
  <c r="AA54" i="2"/>
  <c r="AQ53" i="2"/>
  <c r="AO53" i="2"/>
  <c r="AN53" i="2"/>
  <c r="AI53" i="2"/>
  <c r="AF53" i="2" s="1"/>
  <c r="AC53" i="2" s="1"/>
  <c r="AE53" i="2"/>
  <c r="AA53" i="2"/>
  <c r="AQ52" i="2"/>
  <c r="AO52" i="2"/>
  <c r="AN52" i="2"/>
  <c r="AI52" i="2"/>
  <c r="AF52" i="2" s="1"/>
  <c r="AC52" i="2" s="1"/>
  <c r="AE52" i="2"/>
  <c r="AA52" i="2"/>
  <c r="AQ51" i="2"/>
  <c r="AO51" i="2"/>
  <c r="AN51" i="2"/>
  <c r="AI51" i="2"/>
  <c r="AF51" i="2" s="1"/>
  <c r="AC51" i="2" s="1"/>
  <c r="AE51" i="2"/>
  <c r="AA51" i="2"/>
  <c r="AQ50" i="2"/>
  <c r="AO50" i="2"/>
  <c r="AN50" i="2"/>
  <c r="AI50" i="2"/>
  <c r="AF50" i="2" s="1"/>
  <c r="AC50" i="2" s="1"/>
  <c r="AE50" i="2"/>
  <c r="AA50" i="2"/>
  <c r="AQ49" i="2"/>
  <c r="AO49" i="2"/>
  <c r="AN49" i="2"/>
  <c r="AI49" i="2"/>
  <c r="AF49" i="2" s="1"/>
  <c r="AC49" i="2" s="1"/>
  <c r="AE49" i="2"/>
  <c r="AA49" i="2"/>
  <c r="AM48" i="2"/>
  <c r="AH48" i="2"/>
  <c r="AF48" i="2"/>
  <c r="AC48" i="2" s="1"/>
  <c r="AE48" i="2"/>
  <c r="AA48" i="2"/>
  <c r="AM47" i="2"/>
  <c r="AH47" i="2"/>
  <c r="AF47" i="2"/>
  <c r="AC47" i="2" s="1"/>
  <c r="AE47" i="2"/>
  <c r="AA47" i="2"/>
  <c r="AM46" i="2"/>
  <c r="AH46" i="2"/>
  <c r="AF46" i="2"/>
  <c r="AC46" i="2" s="1"/>
  <c r="AE46" i="2"/>
  <c r="AA46" i="2"/>
  <c r="AM45" i="2"/>
  <c r="AH45" i="2"/>
  <c r="AF45" i="2"/>
  <c r="AC45" i="2" s="1"/>
  <c r="AE45" i="2"/>
  <c r="AA45" i="2"/>
  <c r="AM44" i="2"/>
  <c r="AH44" i="2"/>
  <c r="AF44" i="2"/>
  <c r="AC44" i="2" s="1"/>
  <c r="AE44" i="2"/>
  <c r="AA44" i="2"/>
  <c r="AM43" i="2"/>
  <c r="AH43" i="2"/>
  <c r="AF43" i="2"/>
  <c r="AC43" i="2" s="1"/>
  <c r="AE43" i="2"/>
  <c r="AA43" i="2"/>
  <c r="AM42" i="2"/>
  <c r="AH42" i="2"/>
  <c r="AF42" i="2"/>
  <c r="AC42" i="2" s="1"/>
  <c r="AE42" i="2"/>
  <c r="AA42" i="2"/>
  <c r="AM41" i="2"/>
  <c r="AH41" i="2"/>
  <c r="AF41" i="2"/>
  <c r="AC41" i="2" s="1"/>
  <c r="AE41" i="2"/>
  <c r="AA41" i="2"/>
  <c r="AM40" i="2"/>
  <c r="AH40" i="2"/>
  <c r="AF40" i="2"/>
  <c r="AC40" i="2" s="1"/>
  <c r="AE40" i="2"/>
  <c r="AA40" i="2"/>
  <c r="AP39" i="2"/>
  <c r="AN39" i="2"/>
  <c r="AM39" i="2" s="1"/>
  <c r="AH39" i="2"/>
  <c r="AF39" i="2"/>
  <c r="AC39" i="2" s="1"/>
  <c r="AJ39" i="2" s="1"/>
  <c r="AE39" i="2"/>
  <c r="AA39" i="2"/>
  <c r="AP38" i="2"/>
  <c r="AN38" i="2"/>
  <c r="AM38" i="2" s="1"/>
  <c r="AH38" i="2"/>
  <c r="AF38" i="2"/>
  <c r="AC38" i="2" s="1"/>
  <c r="AJ38" i="2" s="1"/>
  <c r="AL38" i="2" s="1"/>
  <c r="AE38" i="2"/>
  <c r="AA38" i="2"/>
  <c r="AP37" i="2"/>
  <c r="AN37" i="2"/>
  <c r="AM37" i="2" s="1"/>
  <c r="AH37" i="2"/>
  <c r="AF37" i="2"/>
  <c r="AC37" i="2" s="1"/>
  <c r="AJ37" i="2" s="1"/>
  <c r="AE37" i="2"/>
  <c r="AA37" i="2"/>
  <c r="AP36" i="2"/>
  <c r="AN36" i="2"/>
  <c r="AM36" i="2" s="1"/>
  <c r="AH36" i="2"/>
  <c r="AF36" i="2"/>
  <c r="AC36" i="2" s="1"/>
  <c r="AJ36" i="2" s="1"/>
  <c r="AE36" i="2"/>
  <c r="AA36" i="2"/>
  <c r="AP35" i="2"/>
  <c r="AN35" i="2"/>
  <c r="AM35" i="2" s="1"/>
  <c r="AH35" i="2"/>
  <c r="AF35" i="2"/>
  <c r="AC35" i="2" s="1"/>
  <c r="AJ35" i="2" s="1"/>
  <c r="AE35" i="2"/>
  <c r="AA35" i="2"/>
  <c r="AP34" i="2"/>
  <c r="AN34" i="2"/>
  <c r="AM34" i="2" s="1"/>
  <c r="AH34" i="2"/>
  <c r="AF34" i="2"/>
  <c r="AC34" i="2" s="1"/>
  <c r="AJ34" i="2" s="1"/>
  <c r="AL34" i="2" s="1"/>
  <c r="AE34" i="2"/>
  <c r="AA34" i="2"/>
  <c r="AP33" i="2"/>
  <c r="AN33" i="2"/>
  <c r="AM33" i="2" s="1"/>
  <c r="AH33" i="2"/>
  <c r="AF33" i="2"/>
  <c r="AC33" i="2" s="1"/>
  <c r="AJ33" i="2" s="1"/>
  <c r="AE33" i="2"/>
  <c r="AA33" i="2"/>
  <c r="AP32" i="2"/>
  <c r="AN32" i="2"/>
  <c r="AM32" i="2" s="1"/>
  <c r="AH32" i="2"/>
  <c r="AF32" i="2"/>
  <c r="AC32" i="2" s="1"/>
  <c r="AJ32" i="2" s="1"/>
  <c r="AE32" i="2"/>
  <c r="AA32" i="2"/>
  <c r="AP31" i="2"/>
  <c r="AN31" i="2"/>
  <c r="AM31" i="2" s="1"/>
  <c r="AH31" i="2"/>
  <c r="AF31" i="2"/>
  <c r="AC31" i="2" s="1"/>
  <c r="AJ31" i="2" s="1"/>
  <c r="AE31" i="2"/>
  <c r="AA31" i="2"/>
  <c r="AP30" i="2"/>
  <c r="AM30" i="2"/>
  <c r="AH30" i="2"/>
  <c r="AF30" i="2"/>
  <c r="AC30" i="2" s="1"/>
  <c r="AJ30" i="2" s="1"/>
  <c r="AL30" i="2" s="1"/>
  <c r="AE30" i="2"/>
  <c r="AA30" i="2"/>
  <c r="AP29" i="2"/>
  <c r="AM29" i="2"/>
  <c r="AH29" i="2"/>
  <c r="AF29" i="2"/>
  <c r="AC29" i="2" s="1"/>
  <c r="AJ29" i="2" s="1"/>
  <c r="AE29" i="2"/>
  <c r="AA29" i="2"/>
  <c r="AP28" i="2"/>
  <c r="AQ28" i="2" s="1"/>
  <c r="AM28" i="2"/>
  <c r="AH28" i="2"/>
  <c r="AI28" i="2" s="1"/>
  <c r="AF28" i="2" s="1"/>
  <c r="AC28" i="2" s="1"/>
  <c r="AE28" i="2"/>
  <c r="AA28" i="2"/>
  <c r="AP27" i="2"/>
  <c r="AQ27" i="2" s="1"/>
  <c r="AM27" i="2"/>
  <c r="AH27" i="2"/>
  <c r="AI27" i="2" s="1"/>
  <c r="AF27" i="2" s="1"/>
  <c r="AC27" i="2" s="1"/>
  <c r="AE27" i="2"/>
  <c r="AA27" i="2"/>
  <c r="AP26" i="2"/>
  <c r="AQ26" i="2" s="1"/>
  <c r="AM26" i="2"/>
  <c r="AH26" i="2"/>
  <c r="AI26" i="2" s="1"/>
  <c r="AF26" i="2" s="1"/>
  <c r="AC26" i="2" s="1"/>
  <c r="AE26" i="2"/>
  <c r="AA26" i="2"/>
  <c r="AP25" i="2"/>
  <c r="AQ25" i="2" s="1"/>
  <c r="AM25" i="2"/>
  <c r="AH25" i="2"/>
  <c r="AI25" i="2" s="1"/>
  <c r="AF25" i="2" s="1"/>
  <c r="AC25" i="2" s="1"/>
  <c r="AE25" i="2"/>
  <c r="AA25" i="2"/>
  <c r="AP24" i="2"/>
  <c r="AM24" i="2"/>
  <c r="AH24" i="2"/>
  <c r="AI24" i="2" s="1"/>
  <c r="AF24" i="2" s="1"/>
  <c r="AC24" i="2" s="1"/>
  <c r="AE24" i="2"/>
  <c r="AA24" i="2"/>
  <c r="AP23" i="2"/>
  <c r="AQ23" i="2" s="1"/>
  <c r="AM23" i="2"/>
  <c r="AH23" i="2"/>
  <c r="AI23" i="2" s="1"/>
  <c r="AF23" i="2" s="1"/>
  <c r="AC23" i="2" s="1"/>
  <c r="AE23" i="2"/>
  <c r="AA23" i="2"/>
  <c r="AP22" i="2"/>
  <c r="AQ22" i="2" s="1"/>
  <c r="AM22" i="2"/>
  <c r="AH22" i="2"/>
  <c r="AI22" i="2" s="1"/>
  <c r="AF22" i="2" s="1"/>
  <c r="AC22" i="2" s="1"/>
  <c r="AE22" i="2"/>
  <c r="AA22" i="2"/>
  <c r="AP21" i="2"/>
  <c r="AQ21" i="2" s="1"/>
  <c r="AM21" i="2"/>
  <c r="AH21" i="2"/>
  <c r="AI21" i="2" s="1"/>
  <c r="AF21" i="2" s="1"/>
  <c r="AC21" i="2" s="1"/>
  <c r="AE21" i="2"/>
  <c r="AA21" i="2"/>
  <c r="AM20" i="2"/>
  <c r="AH20" i="2"/>
  <c r="AI20" i="2" s="1"/>
  <c r="AF20" i="2" s="1"/>
  <c r="AE20" i="2"/>
  <c r="AA20" i="2"/>
  <c r="AM19" i="2"/>
  <c r="AH19" i="2"/>
  <c r="AI19" i="2" s="1"/>
  <c r="AF19" i="2" s="1"/>
  <c r="AE19" i="2"/>
  <c r="AA19" i="2"/>
  <c r="AM18" i="2"/>
  <c r="AH18" i="2"/>
  <c r="AI18" i="2" s="1"/>
  <c r="AF18" i="2" s="1"/>
  <c r="AE18" i="2"/>
  <c r="AA18" i="2"/>
  <c r="AM17" i="2"/>
  <c r="AH17" i="2"/>
  <c r="AI17" i="2" s="1"/>
  <c r="AF17" i="2" s="1"/>
  <c r="AE17" i="2"/>
  <c r="AA17" i="2"/>
  <c r="AM16" i="2"/>
  <c r="AH16" i="2"/>
  <c r="AI16" i="2" s="1"/>
  <c r="AF16" i="2" s="1"/>
  <c r="AE16" i="2"/>
  <c r="AA16" i="2"/>
  <c r="AM15" i="2"/>
  <c r="AH15" i="2"/>
  <c r="AI15" i="2" s="1"/>
  <c r="AF15" i="2" s="1"/>
  <c r="AE15" i="2"/>
  <c r="AA15" i="2"/>
  <c r="AM14" i="2"/>
  <c r="AH14" i="2"/>
  <c r="AI14" i="2" s="1"/>
  <c r="AF14" i="2" s="1"/>
  <c r="AE14" i="2"/>
  <c r="AA14" i="2"/>
  <c r="AM13" i="2"/>
  <c r="AH13" i="2"/>
  <c r="AI13" i="2" s="1"/>
  <c r="AF13" i="2" s="1"/>
  <c r="AE13" i="2"/>
  <c r="AA13" i="2"/>
  <c r="AM12" i="2"/>
  <c r="AH12" i="2"/>
  <c r="AI12" i="2" s="1"/>
  <c r="AF12" i="2" s="1"/>
  <c r="AC12" i="2" s="1"/>
  <c r="AE12" i="2"/>
  <c r="AA12" i="2"/>
  <c r="AM11" i="2"/>
  <c r="AH11" i="2"/>
  <c r="AI11" i="2" s="1"/>
  <c r="AF11" i="2" s="1"/>
  <c r="AC11" i="2" s="1"/>
  <c r="AE11" i="2"/>
  <c r="AA11" i="2"/>
  <c r="AM10" i="2"/>
  <c r="AH10" i="2"/>
  <c r="AI10" i="2" s="1"/>
  <c r="AF10" i="2" s="1"/>
  <c r="AC10" i="2" s="1"/>
  <c r="AE10" i="2"/>
  <c r="AA10" i="2"/>
  <c r="AM9" i="2"/>
  <c r="AH9" i="2"/>
  <c r="AI9" i="2" s="1"/>
  <c r="AF9" i="2" s="1"/>
  <c r="AC9" i="2" s="1"/>
  <c r="AE9" i="2"/>
  <c r="AA9" i="2"/>
  <c r="AM8" i="2"/>
  <c r="AH8" i="2"/>
  <c r="AI8" i="2" s="1"/>
  <c r="AF8" i="2" s="1"/>
  <c r="AC8" i="2" s="1"/>
  <c r="AE8" i="2"/>
  <c r="AA8" i="2"/>
  <c r="AP7" i="2"/>
  <c r="AQ7" i="2" s="1"/>
  <c r="AM7" i="2"/>
  <c r="AD7" i="2"/>
  <c r="AP6" i="2"/>
  <c r="AQ6" i="2" s="1"/>
  <c r="AM6" i="2"/>
  <c r="AD6" i="2"/>
  <c r="AP5" i="2"/>
  <c r="AQ5" i="2" s="1"/>
  <c r="AM5" i="2"/>
  <c r="AD5" i="2"/>
  <c r="AE5" i="2" s="1"/>
  <c r="AB5" i="2" s="1"/>
  <c r="AP4" i="2"/>
  <c r="AM4" i="2"/>
  <c r="AD4" i="2"/>
  <c r="AE4" i="2" s="1"/>
  <c r="AB4" i="2" s="1"/>
  <c r="AP3" i="2"/>
  <c r="AQ3" i="2" s="1"/>
  <c r="AM3" i="2"/>
  <c r="AD3" i="2"/>
  <c r="AP2" i="2"/>
  <c r="AQ2" i="2" s="1"/>
  <c r="AM2" i="2"/>
  <c r="AD2" i="2"/>
  <c r="AP383" i="2" l="1"/>
  <c r="AQ383" i="2" s="1"/>
  <c r="AP441" i="2"/>
  <c r="AQ441" i="2" s="1"/>
  <c r="AJ441" i="2" s="1"/>
  <c r="AK441" i="2" s="1"/>
  <c r="AP438" i="2"/>
  <c r="AQ438" i="2" s="1"/>
  <c r="AJ438" i="2" s="1"/>
  <c r="AO555" i="2"/>
  <c r="AA258" i="2"/>
  <c r="AP330" i="2"/>
  <c r="AQ330" i="2" s="1"/>
  <c r="AP338" i="2"/>
  <c r="AQ338" i="2" s="1"/>
  <c r="AO559" i="2"/>
  <c r="AP345" i="2"/>
  <c r="AQ345" i="2" s="1"/>
  <c r="AP530" i="2"/>
  <c r="AQ530" i="2" s="1"/>
  <c r="AJ530" i="2" s="1"/>
  <c r="AK530" i="2" s="1"/>
  <c r="AM233" i="2"/>
  <c r="AN233" i="2" s="1"/>
  <c r="AP343" i="2"/>
  <c r="AQ343" i="2" s="1"/>
  <c r="AJ343" i="2" s="1"/>
  <c r="AP464" i="2"/>
  <c r="AQ464" i="2" s="1"/>
  <c r="AP540" i="2"/>
  <c r="AQ540" i="2" s="1"/>
  <c r="AP353" i="2"/>
  <c r="AQ353" i="2" s="1"/>
  <c r="AJ353" i="2" s="1"/>
  <c r="AP104" i="2"/>
  <c r="AQ104" i="2" s="1"/>
  <c r="AJ104" i="2" s="1"/>
  <c r="AL104" i="2" s="1"/>
  <c r="AO468" i="2"/>
  <c r="AO509" i="2"/>
  <c r="AF258" i="2"/>
  <c r="AC258" i="2" s="1"/>
  <c r="AJ258" i="2" s="1"/>
  <c r="AL258" i="2" s="1"/>
  <c r="AP532" i="2"/>
  <c r="AQ532" i="2" s="1"/>
  <c r="AJ532" i="2" s="1"/>
  <c r="AL532" i="2" s="1"/>
  <c r="AO554" i="2"/>
  <c r="AP351" i="2"/>
  <c r="AQ351" i="2" s="1"/>
  <c r="AJ351" i="2" s="1"/>
  <c r="AI392" i="2"/>
  <c r="AF392" i="2" s="1"/>
  <c r="AC392" i="2" s="1"/>
  <c r="AJ392" i="2" s="1"/>
  <c r="AK392" i="2" s="1"/>
  <c r="AI446" i="2"/>
  <c r="AF446" i="2" s="1"/>
  <c r="AC446" i="2" s="1"/>
  <c r="AJ446" i="2" s="1"/>
  <c r="AP286" i="2"/>
  <c r="AQ286" i="2" s="1"/>
  <c r="AJ286" i="2" s="1"/>
  <c r="AN289" i="2"/>
  <c r="AP328" i="2"/>
  <c r="AQ328" i="2" s="1"/>
  <c r="AP332" i="2"/>
  <c r="AQ332" i="2" s="1"/>
  <c r="AJ332" i="2" s="1"/>
  <c r="AL332" i="2" s="1"/>
  <c r="AI338" i="2"/>
  <c r="AF338" i="2" s="1"/>
  <c r="AC338" i="2" s="1"/>
  <c r="AP349" i="2"/>
  <c r="AQ349" i="2" s="1"/>
  <c r="AJ349" i="2" s="1"/>
  <c r="AO410" i="2"/>
  <c r="AP437" i="2"/>
  <c r="AQ437" i="2" s="1"/>
  <c r="AJ437" i="2" s="1"/>
  <c r="AK437" i="2" s="1"/>
  <c r="AO518" i="2"/>
  <c r="AJ522" i="2"/>
  <c r="AK522" i="2" s="1"/>
  <c r="AF76" i="2"/>
  <c r="AC76" i="2" s="1"/>
  <c r="AI126" i="2"/>
  <c r="AF126" i="2" s="1"/>
  <c r="AC126" i="2" s="1"/>
  <c r="AJ126" i="2" s="1"/>
  <c r="AK126" i="2" s="1"/>
  <c r="AM232" i="2"/>
  <c r="AN232" i="2" s="1"/>
  <c r="AP317" i="2"/>
  <c r="AQ317" i="2" s="1"/>
  <c r="AJ317" i="2" s="1"/>
  <c r="AL317" i="2" s="1"/>
  <c r="AI328" i="2"/>
  <c r="AF328" i="2" s="1"/>
  <c r="AC328" i="2" s="1"/>
  <c r="AJ328" i="2" s="1"/>
  <c r="AL328" i="2" s="1"/>
  <c r="AP347" i="2"/>
  <c r="AQ347" i="2" s="1"/>
  <c r="AJ347" i="2" s="1"/>
  <c r="AP355" i="2"/>
  <c r="AQ355" i="2" s="1"/>
  <c r="AJ355" i="2" s="1"/>
  <c r="AI397" i="2"/>
  <c r="AF397" i="2" s="1"/>
  <c r="AC397" i="2" s="1"/>
  <c r="AJ397" i="2" s="1"/>
  <c r="AL397" i="2" s="1"/>
  <c r="AP459" i="2"/>
  <c r="AQ459" i="2" s="1"/>
  <c r="AJ459" i="2" s="1"/>
  <c r="AL459" i="2" s="1"/>
  <c r="AO510" i="2"/>
  <c r="AP539" i="2"/>
  <c r="AQ539" i="2" s="1"/>
  <c r="AO558" i="2"/>
  <c r="AE262" i="2"/>
  <c r="AB262" i="2" s="1"/>
  <c r="AI330" i="2"/>
  <c r="AF330" i="2" s="1"/>
  <c r="AC330" i="2" s="1"/>
  <c r="AP336" i="2"/>
  <c r="AQ336" i="2" s="1"/>
  <c r="AJ336" i="2" s="1"/>
  <c r="AK336" i="2" s="1"/>
  <c r="AI394" i="2"/>
  <c r="AF394" i="2" s="1"/>
  <c r="AC394" i="2" s="1"/>
  <c r="AJ394" i="2" s="1"/>
  <c r="AL394" i="2" s="1"/>
  <c r="AI396" i="2"/>
  <c r="AF396" i="2" s="1"/>
  <c r="AC396" i="2" s="1"/>
  <c r="AJ396" i="2" s="1"/>
  <c r="AK396" i="2" s="1"/>
  <c r="AE398" i="2"/>
  <c r="AB398" i="2" s="1"/>
  <c r="AO408" i="2"/>
  <c r="AI442" i="2"/>
  <c r="AF442" i="2" s="1"/>
  <c r="AC442" i="2" s="1"/>
  <c r="AJ442" i="2" s="1"/>
  <c r="AK442" i="2" s="1"/>
  <c r="AI460" i="2"/>
  <c r="AF460" i="2" s="1"/>
  <c r="AC460" i="2" s="1"/>
  <c r="AJ460" i="2" s="1"/>
  <c r="AK460" i="2" s="1"/>
  <c r="AQ510" i="2"/>
  <c r="AJ510" i="2" s="1"/>
  <c r="AI540" i="2"/>
  <c r="AF540" i="2" s="1"/>
  <c r="AC540" i="2" s="1"/>
  <c r="AQ555" i="2"/>
  <c r="AJ555" i="2" s="1"/>
  <c r="AF262" i="2"/>
  <c r="AC262" i="2" s="1"/>
  <c r="AJ262" i="2" s="1"/>
  <c r="AP316" i="2"/>
  <c r="AQ316" i="2" s="1"/>
  <c r="AJ316" i="2" s="1"/>
  <c r="AK316" i="2" s="1"/>
  <c r="AP334" i="2"/>
  <c r="AQ334" i="2" s="1"/>
  <c r="AJ334" i="2" s="1"/>
  <c r="AL334" i="2" s="1"/>
  <c r="AP344" i="2"/>
  <c r="AQ344" i="2" s="1"/>
  <c r="AJ344" i="2" s="1"/>
  <c r="AP346" i="2"/>
  <c r="AQ346" i="2" s="1"/>
  <c r="AJ346" i="2" s="1"/>
  <c r="AP348" i="2"/>
  <c r="AQ348" i="2" s="1"/>
  <c r="AJ348" i="2" s="1"/>
  <c r="AP350" i="2"/>
  <c r="AQ350" i="2" s="1"/>
  <c r="AJ350" i="2" s="1"/>
  <c r="AP352" i="2"/>
  <c r="AQ352" i="2" s="1"/>
  <c r="AJ352" i="2" s="1"/>
  <c r="AP354" i="2"/>
  <c r="AQ354" i="2" s="1"/>
  <c r="AJ354" i="2" s="1"/>
  <c r="AP356" i="2"/>
  <c r="AQ356" i="2" s="1"/>
  <c r="AJ356" i="2" s="1"/>
  <c r="AI383" i="2"/>
  <c r="AF383" i="2" s="1"/>
  <c r="AC383" i="2" s="1"/>
  <c r="AJ383" i="2" s="1"/>
  <c r="AL383" i="2" s="1"/>
  <c r="AO411" i="2"/>
  <c r="AP455" i="2"/>
  <c r="AQ455" i="2" s="1"/>
  <c r="AJ455" i="2" s="1"/>
  <c r="AK455" i="2" s="1"/>
  <c r="AO467" i="2"/>
  <c r="AO514" i="2"/>
  <c r="AO522" i="2"/>
  <c r="AP536" i="2"/>
  <c r="AQ536" i="2" s="1"/>
  <c r="AJ536" i="2" s="1"/>
  <c r="AL536" i="2" s="1"/>
  <c r="AO28" i="2"/>
  <c r="AI128" i="2"/>
  <c r="AF128" i="2" s="1"/>
  <c r="AC128" i="2" s="1"/>
  <c r="AJ128" i="2" s="1"/>
  <c r="AL128" i="2" s="1"/>
  <c r="AM293" i="2"/>
  <c r="AN293" i="2" s="1"/>
  <c r="AP326" i="2"/>
  <c r="AQ326" i="2" s="1"/>
  <c r="AJ326" i="2" s="1"/>
  <c r="AL326" i="2" s="1"/>
  <c r="AI393" i="2"/>
  <c r="AF393" i="2" s="1"/>
  <c r="AC393" i="2" s="1"/>
  <c r="AJ393" i="2" s="1"/>
  <c r="AL393" i="2" s="1"/>
  <c r="AI395" i="2"/>
  <c r="AF395" i="2" s="1"/>
  <c r="AC395" i="2" s="1"/>
  <c r="AJ395" i="2" s="1"/>
  <c r="AN411" i="2"/>
  <c r="AO416" i="2"/>
  <c r="AO418" i="2"/>
  <c r="AO419" i="2"/>
  <c r="AP445" i="2"/>
  <c r="AQ445" i="2" s="1"/>
  <c r="AJ445" i="2" s="1"/>
  <c r="AK445" i="2" s="1"/>
  <c r="AI456" i="2"/>
  <c r="AF456" i="2" s="1"/>
  <c r="AC456" i="2" s="1"/>
  <c r="AJ456" i="2" s="1"/>
  <c r="AP463" i="2"/>
  <c r="AQ463" i="2" s="1"/>
  <c r="AJ463" i="2" s="1"/>
  <c r="AK463" i="2" s="1"/>
  <c r="AO517" i="2"/>
  <c r="AJ518" i="2"/>
  <c r="AK518" i="2" s="1"/>
  <c r="AP534" i="2"/>
  <c r="AQ534" i="2" s="1"/>
  <c r="AJ534" i="2" s="1"/>
  <c r="AL534" i="2" s="1"/>
  <c r="AJ101" i="2"/>
  <c r="AL101" i="2" s="1"/>
  <c r="AN205" i="2"/>
  <c r="AE260" i="2"/>
  <c r="AB260" i="2" s="1"/>
  <c r="AN285" i="2"/>
  <c r="AP287" i="2"/>
  <c r="AQ287" i="2" s="1"/>
  <c r="AJ287" i="2" s="1"/>
  <c r="AL287" i="2" s="1"/>
  <c r="AN101" i="2"/>
  <c r="AP109" i="2"/>
  <c r="AQ109" i="2" s="1"/>
  <c r="AJ109" i="2" s="1"/>
  <c r="AO26" i="2"/>
  <c r="AO27" i="2"/>
  <c r="AI77" i="2"/>
  <c r="AF77" i="2" s="1"/>
  <c r="AC77" i="2" s="1"/>
  <c r="AJ77" i="2" s="1"/>
  <c r="AK77" i="2" s="1"/>
  <c r="AP105" i="2"/>
  <c r="AQ105" i="2" s="1"/>
  <c r="AJ105" i="2" s="1"/>
  <c r="AL105" i="2" s="1"/>
  <c r="AN108" i="2"/>
  <c r="AF260" i="2"/>
  <c r="AC260" i="2" s="1"/>
  <c r="AJ260" i="2" s="1"/>
  <c r="AK260" i="2" s="1"/>
  <c r="AO290" i="2"/>
  <c r="AB316" i="2" a="1"/>
  <c r="AB316" i="2" s="1"/>
  <c r="AO521" i="2"/>
  <c r="AO21" i="2"/>
  <c r="AO25" i="2"/>
  <c r="AJ28" i="2"/>
  <c r="AL28" i="2" s="1"/>
  <c r="AJ158" i="2"/>
  <c r="AK158" i="2" s="1"/>
  <c r="AB392" i="2"/>
  <c r="AJ411" i="2"/>
  <c r="AL411" i="2" s="1"/>
  <c r="AB550" i="2"/>
  <c r="AB557" i="2"/>
  <c r="AB157" i="2"/>
  <c r="AB293" i="2"/>
  <c r="AB411" i="2"/>
  <c r="AJ66" i="2"/>
  <c r="AL66" i="2" s="1"/>
  <c r="AB69" i="2"/>
  <c r="AB74" i="2"/>
  <c r="AJ216" i="2"/>
  <c r="AK216" i="2" s="1"/>
  <c r="AJ304" i="2"/>
  <c r="AK304" i="2" s="1"/>
  <c r="AJ71" i="2"/>
  <c r="AK71" i="2" s="1"/>
  <c r="AJ205" i="2"/>
  <c r="AL205" i="2" s="1"/>
  <c r="AJ22" i="2"/>
  <c r="AK22" i="2" s="1"/>
  <c r="AJ62" i="2"/>
  <c r="AK62" i="2" s="1"/>
  <c r="AJ116" i="2"/>
  <c r="AK116" i="2" s="1"/>
  <c r="AJ184" i="2"/>
  <c r="AK184" i="2" s="1"/>
  <c r="AJ159" i="2"/>
  <c r="AK159" i="2" s="1"/>
  <c r="AJ173" i="2"/>
  <c r="AL173" i="2" s="1"/>
  <c r="AJ559" i="2"/>
  <c r="AK559" i="2" s="1"/>
  <c r="AJ155" i="2"/>
  <c r="AK155" i="2" s="1"/>
  <c r="AJ200" i="2"/>
  <c r="AL200" i="2" s="1"/>
  <c r="AJ223" i="2"/>
  <c r="AK223" i="2" s="1"/>
  <c r="AJ87" i="2"/>
  <c r="AK87" i="2" s="1"/>
  <c r="AJ89" i="2"/>
  <c r="AL89" i="2" s="1"/>
  <c r="AB132" i="2"/>
  <c r="AJ180" i="2"/>
  <c r="AK180" i="2" s="1"/>
  <c r="AB184" i="2"/>
  <c r="AB185" i="2"/>
  <c r="AB187" i="2"/>
  <c r="AB224" i="2"/>
  <c r="AJ242" i="2"/>
  <c r="AL242" i="2" s="1"/>
  <c r="AJ256" i="2"/>
  <c r="AK256" i="2" s="1"/>
  <c r="AB258" i="2"/>
  <c r="AJ415" i="2"/>
  <c r="AK415" i="2" s="1"/>
  <c r="AJ416" i="2"/>
  <c r="AK416" i="2" s="1"/>
  <c r="AJ421" i="2"/>
  <c r="AL421" i="2" s="1"/>
  <c r="AB471" i="2"/>
  <c r="AJ498" i="2"/>
  <c r="AK498" i="2" s="1"/>
  <c r="AB501" i="2"/>
  <c r="AJ527" i="2"/>
  <c r="AK527" i="2" s="1"/>
  <c r="AB528" i="2"/>
  <c r="AJ320" i="2"/>
  <c r="AL320" i="2" s="1"/>
  <c r="AJ324" i="2"/>
  <c r="AK324" i="2" s="1"/>
  <c r="AB329" i="2"/>
  <c r="AJ362" i="2"/>
  <c r="AL362" i="2" s="1"/>
  <c r="AJ368" i="2"/>
  <c r="AL368" i="2" s="1"/>
  <c r="AB483" i="2"/>
  <c r="AJ503" i="2"/>
  <c r="AK503" i="2" s="1"/>
  <c r="AB505" i="2"/>
  <c r="AB553" i="2"/>
  <c r="AB360" i="2"/>
  <c r="AB454" i="2"/>
  <c r="AJ471" i="2"/>
  <c r="AL471" i="2" s="1"/>
  <c r="AB497" i="2"/>
  <c r="AJ505" i="2"/>
  <c r="AL505" i="2" s="1"/>
  <c r="AB507" i="2"/>
  <c r="AB531" i="2"/>
  <c r="AB42" i="2"/>
  <c r="AJ64" i="2"/>
  <c r="AL64" i="2" s="1"/>
  <c r="AJ119" i="2"/>
  <c r="AL119" i="2" s="1"/>
  <c r="AJ280" i="2"/>
  <c r="AK280" i="2" s="1"/>
  <c r="AJ292" i="2"/>
  <c r="AL292" i="2" s="1"/>
  <c r="AI7" i="2"/>
  <c r="AF7" i="2" s="1"/>
  <c r="AC7" i="2" s="1"/>
  <c r="AJ7" i="2" s="1"/>
  <c r="AI3" i="2"/>
  <c r="AF3" i="2" s="1"/>
  <c r="AC3" i="2" s="1"/>
  <c r="AJ3" i="2" s="1"/>
  <c r="AQ47" i="2"/>
  <c r="AP47" i="2" s="1"/>
  <c r="AB50" i="2"/>
  <c r="AJ51" i="2"/>
  <c r="AL51" i="2" s="1"/>
  <c r="AB54" i="2"/>
  <c r="AJ55" i="2"/>
  <c r="AL55" i="2" s="1"/>
  <c r="AB58" i="2"/>
  <c r="AJ59" i="2"/>
  <c r="AK59" i="2" s="1"/>
  <c r="AJ61" i="2"/>
  <c r="AL61" i="2" s="1"/>
  <c r="AJ67" i="2"/>
  <c r="AL67" i="2" s="1"/>
  <c r="AB87" i="2"/>
  <c r="AB93" i="2"/>
  <c r="AB95" i="2"/>
  <c r="AB107" i="2"/>
  <c r="AB116" i="2"/>
  <c r="AB117" i="2"/>
  <c r="AJ118" i="2"/>
  <c r="AL118" i="2" s="1"/>
  <c r="AJ160" i="2"/>
  <c r="AL160" i="2" s="1"/>
  <c r="AJ164" i="2"/>
  <c r="AL164" i="2" s="1"/>
  <c r="AB165" i="2"/>
  <c r="AB198" i="2"/>
  <c r="AJ201" i="2"/>
  <c r="AK201" i="2" s="1"/>
  <c r="AB206" i="2"/>
  <c r="AP207" i="2"/>
  <c r="AQ207" i="2" s="1"/>
  <c r="AJ207" i="2" s="1"/>
  <c r="AJ226" i="2"/>
  <c r="AL226" i="2" s="1"/>
  <c r="AJ279" i="2"/>
  <c r="AK279" i="2" s="1"/>
  <c r="AJ289" i="2"/>
  <c r="AL289" i="2" s="1"/>
  <c r="AB290" i="2"/>
  <c r="AB296" i="2"/>
  <c r="AJ309" i="2"/>
  <c r="AL309" i="2" s="1"/>
  <c r="AB455" i="2"/>
  <c r="AB459" i="2"/>
  <c r="AB508" i="2"/>
  <c r="AE7" i="2"/>
  <c r="AB7" i="2" s="1"/>
  <c r="AB23" i="2"/>
  <c r="AB41" i="2"/>
  <c r="AB115" i="2"/>
  <c r="AB158" i="2"/>
  <c r="AB168" i="2"/>
  <c r="AB180" i="2"/>
  <c r="AB219" i="2"/>
  <c r="AB231" i="2"/>
  <c r="AJ299" i="2"/>
  <c r="AL299" i="2" s="1"/>
  <c r="AJ410" i="2"/>
  <c r="AK410" i="2" s="1"/>
  <c r="AB413" i="2"/>
  <c r="AJ423" i="2"/>
  <c r="AB434" i="2"/>
  <c r="AB441" i="2"/>
  <c r="AB445" i="2"/>
  <c r="AB451" i="2"/>
  <c r="AB453" i="2"/>
  <c r="AB472" i="2"/>
  <c r="AB512" i="2"/>
  <c r="AB514" i="2"/>
  <c r="AB520" i="2"/>
  <c r="AB181" i="2"/>
  <c r="AB8" i="2"/>
  <c r="AB22" i="2"/>
  <c r="AK30" i="2"/>
  <c r="AJ49" i="2"/>
  <c r="AK49" i="2" s="1"/>
  <c r="AJ53" i="2"/>
  <c r="AK53" i="2" s="1"/>
  <c r="AB65" i="2"/>
  <c r="AJ68" i="2"/>
  <c r="AL68" i="2" s="1"/>
  <c r="AB72" i="2"/>
  <c r="AJ94" i="2"/>
  <c r="AL94" i="2" s="1"/>
  <c r="AJ96" i="2"/>
  <c r="AL96" i="2" s="1"/>
  <c r="AJ98" i="2"/>
  <c r="AK98" i="2" s="1"/>
  <c r="AB103" i="2"/>
  <c r="AJ108" i="2"/>
  <c r="AK108" i="2" s="1"/>
  <c r="AB130" i="2"/>
  <c r="AJ151" i="2"/>
  <c r="AK151" i="2" s="1"/>
  <c r="AJ153" i="2"/>
  <c r="AL153" i="2" s="1"/>
  <c r="AJ176" i="2"/>
  <c r="AK176" i="2" s="1"/>
  <c r="AJ191" i="2"/>
  <c r="AK191" i="2" s="1"/>
  <c r="AJ217" i="2"/>
  <c r="AK217" i="2" s="1"/>
  <c r="AJ219" i="2"/>
  <c r="AL219" i="2" s="1"/>
  <c r="AJ229" i="2"/>
  <c r="AL229" i="2" s="1"/>
  <c r="AJ231" i="2"/>
  <c r="AL231" i="2" s="1"/>
  <c r="AF236" i="2"/>
  <c r="AC236" i="2" s="1"/>
  <c r="AJ236" i="2" s="1"/>
  <c r="AL236" i="2" s="1"/>
  <c r="AJ241" i="2"/>
  <c r="AK241" i="2" s="1"/>
  <c r="AB291" i="2"/>
  <c r="AB295" i="2"/>
  <c r="AJ297" i="2"/>
  <c r="AL297" i="2" s="1"/>
  <c r="AB373" i="2"/>
  <c r="AB378" i="2"/>
  <c r="AJ387" i="2"/>
  <c r="AL387" i="2" s="1"/>
  <c r="AJ389" i="2"/>
  <c r="AL389" i="2" s="1"/>
  <c r="AB399" i="2"/>
  <c r="AB401" i="2"/>
  <c r="AJ402" i="2"/>
  <c r="AK402" i="2" s="1"/>
  <c r="AJ407" i="2"/>
  <c r="AK407" i="2" s="1"/>
  <c r="AJ408" i="2"/>
  <c r="AL408" i="2" s="1"/>
  <c r="AJ428" i="2"/>
  <c r="AK428" i="2" s="1"/>
  <c r="AB437" i="2"/>
  <c r="AB447" i="2"/>
  <c r="AJ487" i="2"/>
  <c r="AK487" i="2" s="1"/>
  <c r="AJ500" i="2"/>
  <c r="AK500" i="2" s="1"/>
  <c r="AB503" i="2"/>
  <c r="AB510" i="2"/>
  <c r="AJ514" i="2"/>
  <c r="AL514" i="2" s="1"/>
  <c r="AB535" i="2"/>
  <c r="AB541" i="2"/>
  <c r="AB543" i="2"/>
  <c r="AJ544" i="2"/>
  <c r="AK544" i="2" s="1"/>
  <c r="AE3" i="2"/>
  <c r="AB3" i="2" s="1"/>
  <c r="AB9" i="2"/>
  <c r="AB38" i="2"/>
  <c r="AB113" i="2"/>
  <c r="AB135" i="2"/>
  <c r="AJ156" i="2"/>
  <c r="AL156" i="2" s="1"/>
  <c r="AJ298" i="2"/>
  <c r="AL298" i="2" s="1"/>
  <c r="AJ300" i="2"/>
  <c r="AK300" i="2" s="1"/>
  <c r="AJ301" i="2"/>
  <c r="AL301" i="2" s="1"/>
  <c r="AJ302" i="2"/>
  <c r="AK302" i="2" s="1"/>
  <c r="AJ303" i="2"/>
  <c r="AL303" i="2" s="1"/>
  <c r="AJ313" i="2"/>
  <c r="AL313" i="2" s="1"/>
  <c r="AB29" i="2"/>
  <c r="AQ41" i="2"/>
  <c r="AP41" i="2" s="1"/>
  <c r="AQ43" i="2"/>
  <c r="AP43" i="2" s="1"/>
  <c r="AJ83" i="2"/>
  <c r="AL83" i="2" s="1"/>
  <c r="AJ85" i="2"/>
  <c r="AK85" i="2" s="1"/>
  <c r="AB144" i="2"/>
  <c r="AB148" i="2"/>
  <c r="AB166" i="2"/>
  <c r="AB189" i="2"/>
  <c r="AJ199" i="2"/>
  <c r="AL199" i="2" s="1"/>
  <c r="AB203" i="2"/>
  <c r="AB209" i="2"/>
  <c r="AJ210" i="2"/>
  <c r="AL210" i="2" s="1"/>
  <c r="AB212" i="2"/>
  <c r="AB214" i="2"/>
  <c r="AB216" i="2"/>
  <c r="AB225" i="2"/>
  <c r="AJ253" i="2"/>
  <c r="AL253" i="2" s="1"/>
  <c r="AB254" i="2"/>
  <c r="AB292" i="2"/>
  <c r="AJ311" i="2"/>
  <c r="AK311" i="2" s="1"/>
  <c r="AP370" i="2"/>
  <c r="AQ370" i="2" s="1"/>
  <c r="AJ370" i="2" s="1"/>
  <c r="AJ371" i="2"/>
  <c r="AL371" i="2" s="1"/>
  <c r="AB377" i="2"/>
  <c r="AJ399" i="2"/>
  <c r="AK399" i="2" s="1"/>
  <c r="AJ422" i="2"/>
  <c r="AK422" i="2" s="1"/>
  <c r="AB423" i="2"/>
  <c r="AB424" i="2"/>
  <c r="AB477" i="2"/>
  <c r="AJ490" i="2"/>
  <c r="AK490" i="2" s="1"/>
  <c r="AJ492" i="2"/>
  <c r="AL492" i="2" s="1"/>
  <c r="AJ496" i="2"/>
  <c r="AK496" i="2" s="1"/>
  <c r="AB527" i="2"/>
  <c r="AB540" i="2"/>
  <c r="AB435" i="2"/>
  <c r="AB446" i="2"/>
  <c r="AB460" i="2"/>
  <c r="AB462" i="2"/>
  <c r="AB19" i="2"/>
  <c r="AB20" i="2"/>
  <c r="AO24" i="2"/>
  <c r="AJ25" i="2"/>
  <c r="AK25" i="2" s="1"/>
  <c r="AB28" i="2"/>
  <c r="AB37" i="2"/>
  <c r="AB49" i="2"/>
  <c r="AJ50" i="2"/>
  <c r="AL50" i="2" s="1"/>
  <c r="AB53" i="2"/>
  <c r="AB57" i="2"/>
  <c r="AJ58" i="2"/>
  <c r="AL58" i="2" s="1"/>
  <c r="AB60" i="2"/>
  <c r="AJ63" i="2"/>
  <c r="AL63" i="2" s="1"/>
  <c r="AB66" i="2"/>
  <c r="AJ69" i="2"/>
  <c r="AK69" i="2" s="1"/>
  <c r="AB124" i="2"/>
  <c r="AP145" i="2"/>
  <c r="AQ145" i="2" s="1"/>
  <c r="AJ145" i="2" s="1"/>
  <c r="AP147" i="2"/>
  <c r="AQ147" i="2" s="1"/>
  <c r="AJ147" i="2" s="1"/>
  <c r="AB190" i="2"/>
  <c r="AB221" i="2"/>
  <c r="AB328" i="2"/>
  <c r="AB336" i="2"/>
  <c r="AB386" i="2"/>
  <c r="AJ401" i="2"/>
  <c r="AK401" i="2" s="1"/>
  <c r="AB405" i="2"/>
  <c r="AJ419" i="2"/>
  <c r="AB504" i="2"/>
  <c r="AB545" i="2"/>
  <c r="AB84" i="2"/>
  <c r="AB439" i="2"/>
  <c r="AB448" i="2"/>
  <c r="AB450" i="2"/>
  <c r="AB15" i="2"/>
  <c r="AJ168" i="2"/>
  <c r="AL168" i="2" s="1"/>
  <c r="AJ215" i="2"/>
  <c r="AL215" i="2" s="1"/>
  <c r="AJ244" i="2"/>
  <c r="AL244" i="2" s="1"/>
  <c r="AJ93" i="2"/>
  <c r="AL93" i="2" s="1"/>
  <c r="AJ95" i="2"/>
  <c r="AK95" i="2" s="1"/>
  <c r="AJ97" i="2"/>
  <c r="AK97" i="2" s="1"/>
  <c r="AB100" i="2"/>
  <c r="AJ115" i="2"/>
  <c r="AL115" i="2" s="1"/>
  <c r="AJ121" i="2"/>
  <c r="AL121" i="2" s="1"/>
  <c r="AB127" i="2"/>
  <c r="AB134" i="2"/>
  <c r="AB145" i="2"/>
  <c r="AB147" i="2"/>
  <c r="AB150" i="2"/>
  <c r="AB152" i="2"/>
  <c r="AJ163" i="2"/>
  <c r="AL163" i="2" s="1"/>
  <c r="AJ167" i="2"/>
  <c r="AL167" i="2" s="1"/>
  <c r="AB174" i="2"/>
  <c r="AJ175" i="2"/>
  <c r="AL175" i="2" s="1"/>
  <c r="AB177" i="2"/>
  <c r="AB179" i="2"/>
  <c r="AB197" i="2"/>
  <c r="AJ211" i="2"/>
  <c r="AL211" i="2" s="1"/>
  <c r="AJ212" i="2"/>
  <c r="AL212" i="2" s="1"/>
  <c r="AJ221" i="2"/>
  <c r="AK221" i="2" s="1"/>
  <c r="AJ225" i="2"/>
  <c r="AK225" i="2" s="1"/>
  <c r="AB228" i="2"/>
  <c r="AJ250" i="2"/>
  <c r="AL250" i="2" s="1"/>
  <c r="AJ255" i="2"/>
  <c r="AL255" i="2" s="1"/>
  <c r="AB278" i="2"/>
  <c r="AB283" i="2"/>
  <c r="AJ306" i="2"/>
  <c r="AL306" i="2" s="1"/>
  <c r="AJ310" i="2"/>
  <c r="AL310" i="2" s="1"/>
  <c r="AJ312" i="2"/>
  <c r="AK312" i="2" s="1"/>
  <c r="AB321" i="2"/>
  <c r="AJ322" i="2"/>
  <c r="AK322" i="2" s="1"/>
  <c r="AJ380" i="2"/>
  <c r="AK380" i="2" s="1"/>
  <c r="AJ386" i="2"/>
  <c r="AK386" i="2" s="1"/>
  <c r="AB400" i="2"/>
  <c r="AJ418" i="2"/>
  <c r="AL418" i="2" s="1"/>
  <c r="AJ420" i="2"/>
  <c r="AL420" i="2" s="1"/>
  <c r="AJ429" i="2"/>
  <c r="AK429" i="2" s="1"/>
  <c r="AJ431" i="2"/>
  <c r="AK431" i="2" s="1"/>
  <c r="AB440" i="2"/>
  <c r="AB442" i="2"/>
  <c r="AB456" i="2"/>
  <c r="AB458" i="2"/>
  <c r="AJ467" i="2"/>
  <c r="AL467" i="2" s="1"/>
  <c r="AB475" i="2"/>
  <c r="AJ476" i="2"/>
  <c r="AL476" i="2" s="1"/>
  <c r="AB482" i="2"/>
  <c r="AJ529" i="2"/>
  <c r="AK529" i="2" s="1"/>
  <c r="AB539" i="2"/>
  <c r="AJ542" i="2"/>
  <c r="AK542" i="2" s="1"/>
  <c r="AB11" i="2"/>
  <c r="AB21" i="2"/>
  <c r="AB34" i="2"/>
  <c r="AB46" i="2"/>
  <c r="AJ52" i="2"/>
  <c r="AL52" i="2" s="1"/>
  <c r="AJ56" i="2"/>
  <c r="AL56" i="2" s="1"/>
  <c r="AB64" i="2"/>
  <c r="AJ65" i="2"/>
  <c r="AK65" i="2" s="1"/>
  <c r="AB70" i="2"/>
  <c r="AJ72" i="2"/>
  <c r="AK72" i="2" s="1"/>
  <c r="AB80" i="2"/>
  <c r="AJ81" i="2"/>
  <c r="AK81" i="2" s="1"/>
  <c r="AJ88" i="2"/>
  <c r="AL88" i="2" s="1"/>
  <c r="AB90" i="2"/>
  <c r="AB92" i="2"/>
  <c r="AB94" i="2"/>
  <c r="AB98" i="2"/>
  <c r="AB101" i="2"/>
  <c r="AB111" i="2"/>
  <c r="AJ114" i="2"/>
  <c r="AK114" i="2" s="1"/>
  <c r="AB118" i="2"/>
  <c r="AB131" i="2"/>
  <c r="AJ134" i="2"/>
  <c r="AL134" i="2" s="1"/>
  <c r="AB138" i="2"/>
  <c r="AJ150" i="2"/>
  <c r="AL150" i="2" s="1"/>
  <c r="AB151" i="2"/>
  <c r="AB156" i="2"/>
  <c r="AB160" i="2"/>
  <c r="AB162" i="2"/>
  <c r="AB164" i="2"/>
  <c r="AB169" i="2"/>
  <c r="AB182" i="2"/>
  <c r="AJ192" i="2"/>
  <c r="AL192" i="2" s="1"/>
  <c r="AJ194" i="2"/>
  <c r="AK194" i="2" s="1"/>
  <c r="AB196" i="2"/>
  <c r="AB220" i="2"/>
  <c r="AB223" i="2"/>
  <c r="AB232" i="2"/>
  <c r="AJ247" i="2"/>
  <c r="AK247" i="2" s="1"/>
  <c r="AJ249" i="2"/>
  <c r="AL249" i="2" s="1"/>
  <c r="AJ283" i="2"/>
  <c r="AK283" i="2" s="1"/>
  <c r="AJ360" i="2"/>
  <c r="AK360" i="2" s="1"/>
  <c r="AJ363" i="2"/>
  <c r="AK363" i="2" s="1"/>
  <c r="AB366" i="2"/>
  <c r="AJ390" i="2"/>
  <c r="AL390" i="2" s="1"/>
  <c r="AB395" i="2"/>
  <c r="AB465" i="2"/>
  <c r="AJ473" i="2"/>
  <c r="AK473" i="2" s="1"/>
  <c r="AB498" i="2"/>
  <c r="AB502" i="2"/>
  <c r="AB511" i="2"/>
  <c r="AB546" i="2"/>
  <c r="AJ549" i="2"/>
  <c r="AL549" i="2" s="1"/>
  <c r="AQ48" i="2"/>
  <c r="AP48" i="2" s="1"/>
  <c r="AB56" i="2"/>
  <c r="AN59" i="2"/>
  <c r="AB73" i="2"/>
  <c r="AJ74" i="2"/>
  <c r="AL74" i="2" s="1"/>
  <c r="AB77" i="2"/>
  <c r="AB78" i="2"/>
  <c r="AB79" i="2"/>
  <c r="AB85" i="2"/>
  <c r="AJ86" i="2"/>
  <c r="AL86" i="2" s="1"/>
  <c r="AJ90" i="2"/>
  <c r="AK90" i="2" s="1"/>
  <c r="AB106" i="2"/>
  <c r="AB112" i="2"/>
  <c r="AB122" i="2"/>
  <c r="AB139" i="2"/>
  <c r="AB143" i="2"/>
  <c r="AJ152" i="2"/>
  <c r="AK152" i="2" s="1"/>
  <c r="AB163" i="2"/>
  <c r="AB172" i="2"/>
  <c r="AJ177" i="2"/>
  <c r="AL177" i="2" s="1"/>
  <c r="AB178" i="2"/>
  <c r="AB188" i="2"/>
  <c r="AJ190" i="2"/>
  <c r="AK190" i="2" s="1"/>
  <c r="AB192" i="2"/>
  <c r="AB193" i="2"/>
  <c r="AB195" i="2"/>
  <c r="AJ197" i="2"/>
  <c r="AK197" i="2" s="1"/>
  <c r="AJ198" i="2"/>
  <c r="AK198" i="2" s="1"/>
  <c r="AB200" i="2"/>
  <c r="AB205" i="2"/>
  <c r="AB208" i="2"/>
  <c r="AJ209" i="2"/>
  <c r="AK209" i="2" s="1"/>
  <c r="AF235" i="2"/>
  <c r="AC235" i="2" s="1"/>
  <c r="AJ235" i="2" s="1"/>
  <c r="AK235" i="2" s="1"/>
  <c r="AJ240" i="2"/>
  <c r="AJ358" i="2"/>
  <c r="AL358" i="2" s="1"/>
  <c r="AB421" i="2"/>
  <c r="AB515" i="2"/>
  <c r="AB537" i="2"/>
  <c r="AB17" i="2"/>
  <c r="AJ21" i="2"/>
  <c r="AL21" i="2" s="1"/>
  <c r="AB13" i="2"/>
  <c r="AB16" i="2"/>
  <c r="AJ26" i="2"/>
  <c r="AK26" i="2" s="1"/>
  <c r="AJ27" i="2"/>
  <c r="AL27" i="2" s="1"/>
  <c r="AB33" i="2"/>
  <c r="AB35" i="2"/>
  <c r="AB36" i="2"/>
  <c r="AQ42" i="2"/>
  <c r="AP42" i="2" s="1"/>
  <c r="AB62" i="2"/>
  <c r="AB83" i="2"/>
  <c r="AJ112" i="2"/>
  <c r="AK112" i="2" s="1"/>
  <c r="AB119" i="2"/>
  <c r="AB128" i="2"/>
  <c r="AB140" i="2"/>
  <c r="AP142" i="2"/>
  <c r="AQ142" i="2" s="1"/>
  <c r="AJ142" i="2" s="1"/>
  <c r="AP144" i="2"/>
  <c r="AQ144" i="2" s="1"/>
  <c r="AJ144" i="2" s="1"/>
  <c r="AJ154" i="2"/>
  <c r="AK154" i="2" s="1"/>
  <c r="AJ166" i="2"/>
  <c r="AK166" i="2" s="1"/>
  <c r="AJ170" i="2"/>
  <c r="AK170" i="2" s="1"/>
  <c r="AJ172" i="2"/>
  <c r="AL172" i="2" s="1"/>
  <c r="AB173" i="2"/>
  <c r="AJ186" i="2"/>
  <c r="AK186" i="2" s="1"/>
  <c r="AJ188" i="2"/>
  <c r="AL188" i="2" s="1"/>
  <c r="AJ189" i="2"/>
  <c r="AL189" i="2" s="1"/>
  <c r="AB201" i="2"/>
  <c r="AJ204" i="2"/>
  <c r="AL204" i="2" s="1"/>
  <c r="AB207" i="2"/>
  <c r="AJ208" i="2"/>
  <c r="AL208" i="2" s="1"/>
  <c r="AB342" i="2"/>
  <c r="AJ378" i="2"/>
  <c r="AK378" i="2" s="1"/>
  <c r="AJ404" i="2"/>
  <c r="AK404" i="2" s="1"/>
  <c r="AB419" i="2"/>
  <c r="AJ547" i="2"/>
  <c r="AK547" i="2" s="1"/>
  <c r="AB12" i="2"/>
  <c r="AB32" i="2"/>
  <c r="AB40" i="2"/>
  <c r="AB86" i="2"/>
  <c r="AB99" i="2"/>
  <c r="AO108" i="2"/>
  <c r="AB136" i="2"/>
  <c r="AB161" i="2"/>
  <c r="AJ196" i="2"/>
  <c r="AL196" i="2" s="1"/>
  <c r="AJ227" i="2"/>
  <c r="AL227" i="2" s="1"/>
  <c r="AJ228" i="2"/>
  <c r="AL228" i="2" s="1"/>
  <c r="AB246" i="2"/>
  <c r="AB248" i="2"/>
  <c r="AJ251" i="2"/>
  <c r="AK251" i="2" s="1"/>
  <c r="AB253" i="2"/>
  <c r="AB284" i="2"/>
  <c r="AJ291" i="2"/>
  <c r="AK291" i="2" s="1"/>
  <c r="AJ295" i="2"/>
  <c r="AK295" i="2" s="1"/>
  <c r="AB344" i="2"/>
  <c r="AB346" i="2"/>
  <c r="AB348" i="2"/>
  <c r="AB350" i="2"/>
  <c r="AB352" i="2"/>
  <c r="AB354" i="2"/>
  <c r="AB356" i="2"/>
  <c r="AJ361" i="2"/>
  <c r="AK361" i="2" s="1"/>
  <c r="AB369" i="2"/>
  <c r="AB382" i="2"/>
  <c r="AJ385" i="2"/>
  <c r="AL385" i="2" s="1"/>
  <c r="AJ388" i="2"/>
  <c r="AL388" i="2" s="1"/>
  <c r="AJ391" i="2"/>
  <c r="AL391" i="2" s="1"/>
  <c r="AF398" i="2"/>
  <c r="AC398" i="2" s="1"/>
  <c r="AP398" i="2" s="1"/>
  <c r="AJ400" i="2"/>
  <c r="AL400" i="2" s="1"/>
  <c r="AB409" i="2"/>
  <c r="AJ414" i="2"/>
  <c r="AL414" i="2" s="1"/>
  <c r="AB417" i="2"/>
  <c r="AJ430" i="2"/>
  <c r="AL430" i="2" s="1"/>
  <c r="AB431" i="2"/>
  <c r="AJ432" i="2"/>
  <c r="AL432" i="2" s="1"/>
  <c r="AJ434" i="2"/>
  <c r="AL434" i="2" s="1"/>
  <c r="AB436" i="2"/>
  <c r="AB438" i="2"/>
  <c r="AB449" i="2"/>
  <c r="AB468" i="2"/>
  <c r="AB469" i="2"/>
  <c r="AJ474" i="2"/>
  <c r="AL474" i="2" s="1"/>
  <c r="AB481" i="2"/>
  <c r="AJ482" i="2"/>
  <c r="AK482" i="2" s="1"/>
  <c r="AB486" i="2"/>
  <c r="AB487" i="2"/>
  <c r="AJ488" i="2"/>
  <c r="AK488" i="2" s="1"/>
  <c r="AB490" i="2"/>
  <c r="AB491" i="2"/>
  <c r="AB493" i="2"/>
  <c r="AJ494" i="2"/>
  <c r="AK494" i="2" s="1"/>
  <c r="AJ516" i="2"/>
  <c r="AL516" i="2" s="1"/>
  <c r="AB524" i="2"/>
  <c r="AJ525" i="2"/>
  <c r="AL525" i="2" s="1"/>
  <c r="AB530" i="2"/>
  <c r="AB532" i="2"/>
  <c r="AJ213" i="2"/>
  <c r="AK213" i="2" s="1"/>
  <c r="AB217" i="2"/>
  <c r="AJ218" i="2"/>
  <c r="AK218" i="2" s="1"/>
  <c r="AJ222" i="2"/>
  <c r="AL222" i="2" s="1"/>
  <c r="AB238" i="2"/>
  <c r="AJ239" i="2"/>
  <c r="AK239" i="2" s="1"/>
  <c r="AB242" i="2"/>
  <c r="AB245" i="2"/>
  <c r="AJ246" i="2"/>
  <c r="AK246" i="2" s="1"/>
  <c r="AB250" i="2"/>
  <c r="AB255" i="2"/>
  <c r="AB276" i="2"/>
  <c r="AB282" i="2"/>
  <c r="AJ290" i="2"/>
  <c r="AL290" i="2" s="1"/>
  <c r="AJ293" i="2"/>
  <c r="AL293" i="2" s="1"/>
  <c r="AB297" i="2"/>
  <c r="AB324" i="2"/>
  <c r="AB339" i="2"/>
  <c r="AJ364" i="2"/>
  <c r="AK364" i="2" s="1"/>
  <c r="AB365" i="2"/>
  <c r="AJ366" i="2"/>
  <c r="AL366" i="2" s="1"/>
  <c r="AB397" i="2"/>
  <c r="AJ403" i="2"/>
  <c r="AL403" i="2" s="1"/>
  <c r="AB404" i="2"/>
  <c r="AJ412" i="2"/>
  <c r="AK412" i="2" s="1"/>
  <c r="AJ424" i="2"/>
  <c r="AK424" i="2" s="1"/>
  <c r="AJ426" i="2"/>
  <c r="AL426" i="2" s="1"/>
  <c r="AB463" i="2"/>
  <c r="AJ469" i="2"/>
  <c r="AL469" i="2" s="1"/>
  <c r="AJ481" i="2"/>
  <c r="AK481" i="2" s="1"/>
  <c r="AJ484" i="2"/>
  <c r="AK484" i="2" s="1"/>
  <c r="AJ501" i="2"/>
  <c r="AL501" i="2" s="1"/>
  <c r="AJ524" i="2"/>
  <c r="AL524" i="2" s="1"/>
  <c r="AJ546" i="2"/>
  <c r="AK546" i="2" s="1"/>
  <c r="AJ550" i="2"/>
  <c r="AK550" i="2" s="1"/>
  <c r="AB554" i="2"/>
  <c r="AB341" i="2"/>
  <c r="AB361" i="2"/>
  <c r="AB410" i="2"/>
  <c r="AB418" i="2"/>
  <c r="AB430" i="2"/>
  <c r="AB432" i="2"/>
  <c r="AB480" i="2"/>
  <c r="AJ486" i="2"/>
  <c r="AK486" i="2" s="1"/>
  <c r="AB489" i="2"/>
  <c r="AJ495" i="2"/>
  <c r="AJ499" i="2"/>
  <c r="AL499" i="2" s="1"/>
  <c r="AB525" i="2"/>
  <c r="AB533" i="2"/>
  <c r="AJ545" i="2"/>
  <c r="AK545" i="2" s="1"/>
  <c r="AB547" i="2"/>
  <c r="AJ548" i="2"/>
  <c r="AB551" i="2"/>
  <c r="AQ40" i="2"/>
  <c r="AP40" i="2" s="1"/>
  <c r="AQ44" i="2"/>
  <c r="AP44" i="2" s="1"/>
  <c r="AQ46" i="2"/>
  <c r="AP46" i="2" s="1"/>
  <c r="AB47" i="2"/>
  <c r="AB52" i="2"/>
  <c r="AJ57" i="2"/>
  <c r="AL57" i="2" s="1"/>
  <c r="AN60" i="2"/>
  <c r="AB61" i="2"/>
  <c r="AN61" i="2"/>
  <c r="AB68" i="2"/>
  <c r="AJ73" i="2"/>
  <c r="AL73" i="2" s="1"/>
  <c r="AB81" i="2"/>
  <c r="AB82" i="2"/>
  <c r="AB91" i="2"/>
  <c r="AB102" i="2"/>
  <c r="AB120" i="2"/>
  <c r="AJ132" i="2"/>
  <c r="AL132" i="2" s="1"/>
  <c r="AB137" i="2"/>
  <c r="AJ140" i="2"/>
  <c r="AL140" i="2" s="1"/>
  <c r="AP143" i="2"/>
  <c r="AQ143" i="2" s="1"/>
  <c r="AJ143" i="2" s="1"/>
  <c r="AP146" i="2"/>
  <c r="AQ146" i="2" s="1"/>
  <c r="AJ146" i="2" s="1"/>
  <c r="AB171" i="2"/>
  <c r="AJ174" i="2"/>
  <c r="AK174" i="2" s="1"/>
  <c r="AJ183" i="2"/>
  <c r="AL183" i="2" s="1"/>
  <c r="AB211" i="2"/>
  <c r="AB243" i="2"/>
  <c r="AB287" i="2"/>
  <c r="AB289" i="2"/>
  <c r="AB298" i="2" a="1"/>
  <c r="AB305" i="2" s="1"/>
  <c r="AO314" i="2"/>
  <c r="AN314" i="2"/>
  <c r="AO29" i="2"/>
  <c r="AJ23" i="2"/>
  <c r="AL23" i="2" s="1"/>
  <c r="AB27" i="2"/>
  <c r="AK34" i="2"/>
  <c r="AJ130" i="2"/>
  <c r="AK130" i="2" s="1"/>
  <c r="AJ138" i="2"/>
  <c r="AL138" i="2" s="1"/>
  <c r="AJ243" i="2"/>
  <c r="AK243" i="2" s="1"/>
  <c r="AJ278" i="2"/>
  <c r="AB10" i="2"/>
  <c r="AB14" i="2"/>
  <c r="AB18" i="2"/>
  <c r="AB30" i="2"/>
  <c r="AB44" i="2"/>
  <c r="AB48" i="2"/>
  <c r="AB55" i="2"/>
  <c r="AB71" i="2"/>
  <c r="AJ82" i="2"/>
  <c r="AL82" i="2" s="1"/>
  <c r="AB89" i="2"/>
  <c r="AB97" i="2"/>
  <c r="AB142" i="2"/>
  <c r="AB24" i="2"/>
  <c r="AB25" i="2"/>
  <c r="AB26" i="2"/>
  <c r="AB45" i="2"/>
  <c r="AJ60" i="2"/>
  <c r="AL60" i="2" s="1"/>
  <c r="AB63" i="2"/>
  <c r="AJ84" i="2"/>
  <c r="AL84" i="2" s="1"/>
  <c r="AJ91" i="2"/>
  <c r="AK91" i="2" s="1"/>
  <c r="AQ103" i="2"/>
  <c r="AJ103" i="2" s="1"/>
  <c r="AB108" i="2"/>
  <c r="AB114" i="2"/>
  <c r="AB125" i="2"/>
  <c r="AB133" i="2"/>
  <c r="AJ136" i="2"/>
  <c r="AL136" i="2" s="1"/>
  <c r="AB141" i="2"/>
  <c r="AB149" i="2"/>
  <c r="AJ182" i="2"/>
  <c r="AK182" i="2" s="1"/>
  <c r="AB202" i="2"/>
  <c r="AB104" i="2"/>
  <c r="AB110" i="2"/>
  <c r="AJ120" i="2"/>
  <c r="AK120" i="2" s="1"/>
  <c r="AB126" i="2"/>
  <c r="AB129" i="2"/>
  <c r="AB146" i="2"/>
  <c r="AB154" i="2"/>
  <c r="AB155" i="2"/>
  <c r="AB159" i="2"/>
  <c r="AJ165" i="2"/>
  <c r="AL165" i="2" s="1"/>
  <c r="AJ169" i="2"/>
  <c r="AL169" i="2" s="1"/>
  <c r="AB170" i="2"/>
  <c r="AJ181" i="2"/>
  <c r="AL181" i="2" s="1"/>
  <c r="AJ185" i="2"/>
  <c r="AL185" i="2" s="1"/>
  <c r="AB186" i="2"/>
  <c r="AJ193" i="2"/>
  <c r="AL193" i="2" s="1"/>
  <c r="AB194" i="2"/>
  <c r="AJ202" i="2"/>
  <c r="AK202" i="2" s="1"/>
  <c r="AB204" i="2"/>
  <c r="AP206" i="2"/>
  <c r="AQ206" i="2" s="1"/>
  <c r="AJ206" i="2" s="1"/>
  <c r="AB215" i="2"/>
  <c r="AB226" i="2"/>
  <c r="AB229" i="2"/>
  <c r="AB233" i="2"/>
  <c r="AB240" i="2"/>
  <c r="AB241" i="2"/>
  <c r="AB251" i="2"/>
  <c r="AB256" i="2"/>
  <c r="AJ157" i="2"/>
  <c r="AK157" i="2" s="1"/>
  <c r="AJ161" i="2"/>
  <c r="AK161" i="2" s="1"/>
  <c r="AB176" i="2"/>
  <c r="AJ178" i="2"/>
  <c r="AK178" i="2" s="1"/>
  <c r="AJ224" i="2"/>
  <c r="AL224" i="2" s="1"/>
  <c r="AJ254" i="2"/>
  <c r="AL254" i="2" s="1"/>
  <c r="AJ281" i="2"/>
  <c r="AL281" i="2" s="1"/>
  <c r="AJ359" i="2"/>
  <c r="AL359" i="2" s="1"/>
  <c r="AB277" i="2"/>
  <c r="AB279" i="2"/>
  <c r="AB280" i="2"/>
  <c r="AJ285" i="2"/>
  <c r="AL285" i="2" s="1"/>
  <c r="AB286" i="2"/>
  <c r="AB288" i="2"/>
  <c r="AJ307" i="2"/>
  <c r="AK307" i="2" s="1"/>
  <c r="AJ308" i="2"/>
  <c r="AK308" i="2" s="1"/>
  <c r="AB310" i="2"/>
  <c r="AB312" i="2"/>
  <c r="AJ314" i="2"/>
  <c r="AL314" i="2" s="1"/>
  <c r="AB322" i="2"/>
  <c r="AB327" i="2"/>
  <c r="AB332" i="2"/>
  <c r="AB333" i="2"/>
  <c r="AB359" i="2"/>
  <c r="AB362" i="2"/>
  <c r="AJ365" i="2"/>
  <c r="AB379" i="2"/>
  <c r="AB380" i="2"/>
  <c r="AB383" i="2"/>
  <c r="AB384" i="2"/>
  <c r="AB406" i="2"/>
  <c r="AB407" i="2"/>
  <c r="AB412" i="2"/>
  <c r="AJ427" i="2"/>
  <c r="AL427" i="2" s="1"/>
  <c r="AB452" i="2"/>
  <c r="AB464" i="2"/>
  <c r="AB466" i="2"/>
  <c r="AB425" i="2"/>
  <c r="AJ435" i="2"/>
  <c r="AL435" i="2" s="1"/>
  <c r="AB467" i="2"/>
  <c r="AB484" i="2"/>
  <c r="AB485" i="2"/>
  <c r="AJ491" i="2"/>
  <c r="AB494" i="2"/>
  <c r="AB496" i="2"/>
  <c r="AJ497" i="2"/>
  <c r="AL497" i="2" s="1"/>
  <c r="AJ528" i="2"/>
  <c r="AL528" i="2" s="1"/>
  <c r="AB542" i="2"/>
  <c r="AJ296" i="2"/>
  <c r="AL296" i="2" s="1"/>
  <c r="AB323" i="2"/>
  <c r="AB325" i="2"/>
  <c r="AB335" i="2"/>
  <c r="AB340" i="2"/>
  <c r="AB367" i="2"/>
  <c r="AJ369" i="2"/>
  <c r="AK369" i="2" s="1"/>
  <c r="AB374" i="2"/>
  <c r="AB390" i="2"/>
  <c r="AB414" i="2"/>
  <c r="AB415" i="2"/>
  <c r="AB420" i="2"/>
  <c r="AB433" i="2"/>
  <c r="AB476" i="2"/>
  <c r="AB513" i="2"/>
  <c r="AB517" i="2"/>
  <c r="AB213" i="2"/>
  <c r="AJ220" i="2"/>
  <c r="AK220" i="2" s="1"/>
  <c r="AB227" i="2"/>
  <c r="AJ232" i="2"/>
  <c r="AK232" i="2" s="1"/>
  <c r="AJ233" i="2"/>
  <c r="AL233" i="2" s="1"/>
  <c r="AJ238" i="2"/>
  <c r="AL238" i="2" s="1"/>
  <c r="AB239" i="2"/>
  <c r="AB247" i="2"/>
  <c r="AB249" i="2"/>
  <c r="AJ282" i="2"/>
  <c r="AL282" i="2" s="1"/>
  <c r="AB285" i="2"/>
  <c r="AJ305" i="2"/>
  <c r="AL305" i="2" s="1"/>
  <c r="AB311" i="2"/>
  <c r="AJ315" i="2"/>
  <c r="AL315" i="2" s="1"/>
  <c r="AJ321" i="2"/>
  <c r="AL321" i="2" s="1"/>
  <c r="AB331" i="2"/>
  <c r="AB337" i="2"/>
  <c r="AB343" i="2"/>
  <c r="AB345" i="2"/>
  <c r="AB347" i="2"/>
  <c r="AB349" i="2"/>
  <c r="AB351" i="2"/>
  <c r="AB353" i="2"/>
  <c r="AB355" i="2"/>
  <c r="AB364" i="2"/>
  <c r="AJ367" i="2"/>
  <c r="AL367" i="2" s="1"/>
  <c r="AJ406" i="2"/>
  <c r="AL406" i="2" s="1"/>
  <c r="AB427" i="2"/>
  <c r="AJ483" i="2"/>
  <c r="AL483" i="2" s="1"/>
  <c r="AB538" i="2"/>
  <c r="AB371" i="2"/>
  <c r="AB388" i="2"/>
  <c r="AB393" i="2"/>
  <c r="AB403" i="2"/>
  <c r="AB422" i="2"/>
  <c r="AJ425" i="2"/>
  <c r="AL425" i="2" s="1"/>
  <c r="AB428" i="2"/>
  <c r="AB429" i="2"/>
  <c r="AJ433" i="2"/>
  <c r="AL433" i="2" s="1"/>
  <c r="AB444" i="2"/>
  <c r="AJ468" i="2"/>
  <c r="AK468" i="2" s="1"/>
  <c r="AB473" i="2"/>
  <c r="AJ475" i="2"/>
  <c r="AK475" i="2" s="1"/>
  <c r="AB479" i="2"/>
  <c r="AJ489" i="2"/>
  <c r="AL489" i="2" s="1"/>
  <c r="AB495" i="2"/>
  <c r="AB499" i="2"/>
  <c r="AJ504" i="2"/>
  <c r="AK504" i="2" s="1"/>
  <c r="AB506" i="2"/>
  <c r="AB509" i="2"/>
  <c r="AB516" i="2"/>
  <c r="AB518" i="2"/>
  <c r="AB521" i="2"/>
  <c r="AB522" i="2"/>
  <c r="AB523" i="2"/>
  <c r="AB526" i="2"/>
  <c r="AB534" i="2"/>
  <c r="AB536" i="2"/>
  <c r="AJ543" i="2"/>
  <c r="AL543" i="2" s="1"/>
  <c r="AB548" i="2"/>
  <c r="AB549" i="2"/>
  <c r="AB529" i="2"/>
  <c r="AJ551" i="2"/>
  <c r="AL551" i="2" s="1"/>
  <c r="AB558" i="2"/>
  <c r="AB555" i="2"/>
  <c r="AB556" i="2"/>
  <c r="AB559" i="2"/>
  <c r="AP8" i="2"/>
  <c r="AP11" i="2"/>
  <c r="AC15" i="2"/>
  <c r="AP15" i="2" s="1"/>
  <c r="AL32" i="2"/>
  <c r="AK32" i="2"/>
  <c r="AP78" i="2"/>
  <c r="AQ78" i="2" s="1"/>
  <c r="AJ78" i="2" s="1"/>
  <c r="AL31" i="2"/>
  <c r="AK31" i="2"/>
  <c r="AL39" i="2"/>
  <c r="AK39" i="2"/>
  <c r="AJ111" i="2"/>
  <c r="AM123" i="2"/>
  <c r="AN123" i="2" s="1"/>
  <c r="AQ123" i="2"/>
  <c r="AJ123" i="2" s="1"/>
  <c r="AJ245" i="2"/>
  <c r="AP12" i="2"/>
  <c r="AC16" i="2"/>
  <c r="AP16" i="2" s="1"/>
  <c r="AK33" i="2"/>
  <c r="AL33" i="2"/>
  <c r="AL35" i="2"/>
  <c r="AK35" i="2"/>
  <c r="AL36" i="2"/>
  <c r="AK36" i="2"/>
  <c r="AP80" i="2"/>
  <c r="AQ80" i="2" s="1"/>
  <c r="AJ80" i="2" s="1"/>
  <c r="AP100" i="2"/>
  <c r="AC20" i="2"/>
  <c r="AP20" i="2" s="1"/>
  <c r="AP9" i="2"/>
  <c r="AC13" i="2"/>
  <c r="AP13" i="2" s="1"/>
  <c r="AC17" i="2"/>
  <c r="AK29" i="2"/>
  <c r="AL29" i="2"/>
  <c r="AK37" i="2"/>
  <c r="AL37" i="2"/>
  <c r="AP79" i="2"/>
  <c r="AQ79" i="2" s="1"/>
  <c r="AJ79" i="2" s="1"/>
  <c r="AQ124" i="2"/>
  <c r="AJ124" i="2" s="1"/>
  <c r="AO124" i="2"/>
  <c r="AP10" i="2"/>
  <c r="AC19" i="2"/>
  <c r="AP19" i="2" s="1"/>
  <c r="AP99" i="2"/>
  <c r="AI2" i="2"/>
  <c r="AC14" i="2"/>
  <c r="AP14" i="2" s="1"/>
  <c r="AC18" i="2"/>
  <c r="AP18" i="2" s="1"/>
  <c r="AO23" i="2"/>
  <c r="AO30" i="2"/>
  <c r="AB31" i="2"/>
  <c r="AK38" i="2"/>
  <c r="AB39" i="2"/>
  <c r="AB43" i="2"/>
  <c r="AB51" i="2"/>
  <c r="AJ54" i="2"/>
  <c r="AB59" i="2"/>
  <c r="AB67" i="2"/>
  <c r="AJ70" i="2"/>
  <c r="AF75" i="2"/>
  <c r="AC75" i="2" s="1"/>
  <c r="AQ107" i="2"/>
  <c r="AJ107" i="2" s="1"/>
  <c r="AP129" i="2"/>
  <c r="AQ129" i="2" s="1"/>
  <c r="AI129" i="2"/>
  <c r="AF129" i="2" s="1"/>
  <c r="AC129" i="2" s="1"/>
  <c r="AF237" i="2"/>
  <c r="AC237" i="2" s="1"/>
  <c r="AJ237" i="2" s="1"/>
  <c r="AF268" i="2"/>
  <c r="AC268" i="2" s="1"/>
  <c r="AJ268" i="2" s="1"/>
  <c r="AA268" i="2"/>
  <c r="AE268" i="2"/>
  <c r="AJ277" i="2"/>
  <c r="AJ323" i="2"/>
  <c r="AC373" i="2"/>
  <c r="AP373" i="2" s="1"/>
  <c r="AC376" i="2"/>
  <c r="AP376" i="2" s="1"/>
  <c r="AI6" i="2"/>
  <c r="AE2" i="2"/>
  <c r="AB2" i="2" s="1"/>
  <c r="AQ4" i="2"/>
  <c r="AI4" i="2" s="1"/>
  <c r="AI5" i="2"/>
  <c r="AH5" i="2" s="1"/>
  <c r="AO5" i="2" s="1"/>
  <c r="AE6" i="2"/>
  <c r="AB6" i="2" s="1"/>
  <c r="AO22" i="2"/>
  <c r="AQ24" i="2"/>
  <c r="AJ24" i="2" s="1"/>
  <c r="AN62" i="2"/>
  <c r="AE75" i="2"/>
  <c r="AB75" i="2" s="1"/>
  <c r="AE76" i="2"/>
  <c r="AA76" i="2"/>
  <c r="AB88" i="2"/>
  <c r="AJ92" i="2"/>
  <c r="AN103" i="2"/>
  <c r="AB105" i="2"/>
  <c r="AP106" i="2"/>
  <c r="AJ113" i="2"/>
  <c r="AJ117" i="2"/>
  <c r="AB121" i="2"/>
  <c r="AP127" i="2"/>
  <c r="AQ127" i="2" s="1"/>
  <c r="AI127" i="2"/>
  <c r="AF127" i="2" s="1"/>
  <c r="AC127" i="2" s="1"/>
  <c r="AP148" i="2"/>
  <c r="AQ148" i="2" s="1"/>
  <c r="AJ148" i="2" s="1"/>
  <c r="AB153" i="2"/>
  <c r="AB175" i="2"/>
  <c r="AJ179" i="2"/>
  <c r="AB191" i="2"/>
  <c r="AJ195" i="2"/>
  <c r="AB218" i="2"/>
  <c r="AB230" i="2"/>
  <c r="AM234" i="2"/>
  <c r="AN234" i="2" s="1"/>
  <c r="AQ234" i="2"/>
  <c r="AJ234" i="2" s="1"/>
  <c r="AE237" i="2"/>
  <c r="AB237" i="2" s="1"/>
  <c r="AB252" i="2"/>
  <c r="AF270" i="2"/>
  <c r="AC270" i="2" s="1"/>
  <c r="AJ270" i="2" s="1"/>
  <c r="AA270" i="2"/>
  <c r="AE270" i="2"/>
  <c r="AO291" i="2"/>
  <c r="AJ294" i="2"/>
  <c r="AO294" i="2"/>
  <c r="AN294" i="2"/>
  <c r="AP325" i="2"/>
  <c r="AQ325" i="2" s="1"/>
  <c r="AI325" i="2"/>
  <c r="AF325" i="2" s="1"/>
  <c r="AC325" i="2" s="1"/>
  <c r="AP329" i="2"/>
  <c r="AQ329" i="2" s="1"/>
  <c r="AI329" i="2"/>
  <c r="AF329" i="2" s="1"/>
  <c r="AC329" i="2" s="1"/>
  <c r="AP333" i="2"/>
  <c r="AQ333" i="2" s="1"/>
  <c r="AI333" i="2"/>
  <c r="AF333" i="2" s="1"/>
  <c r="AC333" i="2" s="1"/>
  <c r="AP337" i="2"/>
  <c r="AQ337" i="2" s="1"/>
  <c r="AI337" i="2"/>
  <c r="AF337" i="2" s="1"/>
  <c r="AC337" i="2" s="1"/>
  <c r="AP339" i="2"/>
  <c r="AQ339" i="2" s="1"/>
  <c r="AJ339" i="2" s="1"/>
  <c r="AJ122" i="2"/>
  <c r="AP125" i="2"/>
  <c r="AQ125" i="2" s="1"/>
  <c r="AI125" i="2"/>
  <c r="AF125" i="2" s="1"/>
  <c r="AC125" i="2" s="1"/>
  <c r="AJ230" i="2"/>
  <c r="AJ252" i="2"/>
  <c r="AF257" i="2"/>
  <c r="AC257" i="2" s="1"/>
  <c r="AJ257" i="2" s="1"/>
  <c r="AE257" i="2"/>
  <c r="AA257" i="2"/>
  <c r="AF259" i="2"/>
  <c r="AC259" i="2" s="1"/>
  <c r="AJ259" i="2" s="1"/>
  <c r="AE259" i="2"/>
  <c r="AA259" i="2"/>
  <c r="AF261" i="2"/>
  <c r="AC261" i="2" s="1"/>
  <c r="AJ261" i="2" s="1"/>
  <c r="AE261" i="2"/>
  <c r="AA261" i="2"/>
  <c r="AF263" i="2"/>
  <c r="AC263" i="2" s="1"/>
  <c r="AJ263" i="2" s="1"/>
  <c r="AE263" i="2"/>
  <c r="AA263" i="2"/>
  <c r="AF264" i="2"/>
  <c r="AC264" i="2" s="1"/>
  <c r="AJ264" i="2" s="1"/>
  <c r="AA264" i="2"/>
  <c r="AE264" i="2"/>
  <c r="AF272" i="2"/>
  <c r="AC272" i="2" s="1"/>
  <c r="AJ272" i="2" s="1"/>
  <c r="AA272" i="2"/>
  <c r="AE272" i="2"/>
  <c r="AN284" i="2"/>
  <c r="AP284" i="2"/>
  <c r="AQ284" i="2" s="1"/>
  <c r="AJ284" i="2" s="1"/>
  <c r="AN288" i="2"/>
  <c r="AP288" i="2"/>
  <c r="AQ288" i="2" s="1"/>
  <c r="AJ288" i="2" s="1"/>
  <c r="AB313" i="2" a="1"/>
  <c r="AP319" i="2"/>
  <c r="AQ319" i="2" s="1"/>
  <c r="AI319" i="2"/>
  <c r="AF319" i="2" s="1"/>
  <c r="AC319" i="2" s="1"/>
  <c r="AC372" i="2"/>
  <c r="AP372" i="2" s="1"/>
  <c r="AQ45" i="2"/>
  <c r="AP45" i="2" s="1"/>
  <c r="AB96" i="2"/>
  <c r="AP102" i="2"/>
  <c r="AN107" i="2"/>
  <c r="AB109" i="2"/>
  <c r="AP110" i="2"/>
  <c r="AM122" i="2"/>
  <c r="AN122" i="2" s="1"/>
  <c r="AB123" i="2"/>
  <c r="AJ131" i="2"/>
  <c r="AJ133" i="2"/>
  <c r="AJ135" i="2"/>
  <c r="AJ137" i="2"/>
  <c r="AJ139" i="2"/>
  <c r="AJ141" i="2"/>
  <c r="AJ149" i="2"/>
  <c r="AJ162" i="2"/>
  <c r="AB167" i="2"/>
  <c r="AJ171" i="2"/>
  <c r="AB183" i="2"/>
  <c r="AJ187" i="2"/>
  <c r="AB199" i="2"/>
  <c r="AJ203" i="2"/>
  <c r="AB210" i="2"/>
  <c r="AJ214" i="2"/>
  <c r="AB222" i="2"/>
  <c r="AB234" i="2"/>
  <c r="AB244" i="2"/>
  <c r="AJ248" i="2"/>
  <c r="AF266" i="2"/>
  <c r="AC266" i="2" s="1"/>
  <c r="AJ266" i="2" s="1"/>
  <c r="AA266" i="2"/>
  <c r="AE266" i="2"/>
  <c r="AF274" i="2"/>
  <c r="AC274" i="2" s="1"/>
  <c r="AJ274" i="2" s="1"/>
  <c r="AA274" i="2"/>
  <c r="AE274" i="2"/>
  <c r="AI327" i="2"/>
  <c r="AF327" i="2" s="1"/>
  <c r="AC327" i="2" s="1"/>
  <c r="AP327" i="2"/>
  <c r="AQ327" i="2" s="1"/>
  <c r="AI331" i="2"/>
  <c r="AF331" i="2" s="1"/>
  <c r="AC331" i="2" s="1"/>
  <c r="AP331" i="2"/>
  <c r="AQ331" i="2" s="1"/>
  <c r="AI335" i="2"/>
  <c r="AF335" i="2" s="1"/>
  <c r="AC335" i="2" s="1"/>
  <c r="AP335" i="2"/>
  <c r="AQ335" i="2" s="1"/>
  <c r="AP342" i="2"/>
  <c r="AQ342" i="2" s="1"/>
  <c r="AJ342" i="2" s="1"/>
  <c r="AO378" i="2"/>
  <c r="AO379" i="2"/>
  <c r="AQ379" i="2"/>
  <c r="AJ379" i="2" s="1"/>
  <c r="AO401" i="2"/>
  <c r="AI405" i="2"/>
  <c r="AF405" i="2" s="1"/>
  <c r="AC405" i="2" s="1"/>
  <c r="AJ405" i="2" s="1"/>
  <c r="AO405" i="2"/>
  <c r="AO407" i="2"/>
  <c r="AI413" i="2"/>
  <c r="AF413" i="2" s="1"/>
  <c r="AC413" i="2" s="1"/>
  <c r="AJ413" i="2" s="1"/>
  <c r="AO413" i="2"/>
  <c r="AO415" i="2"/>
  <c r="AI443" i="2"/>
  <c r="AF443" i="2" s="1"/>
  <c r="AC443" i="2" s="1"/>
  <c r="AP443" i="2"/>
  <c r="AQ443" i="2" s="1"/>
  <c r="AP444" i="2"/>
  <c r="AQ444" i="2" s="1"/>
  <c r="AI444" i="2"/>
  <c r="AF444" i="2" s="1"/>
  <c r="AC444" i="2" s="1"/>
  <c r="AI461" i="2"/>
  <c r="AF461" i="2" s="1"/>
  <c r="AC461" i="2" s="1"/>
  <c r="AP461" i="2"/>
  <c r="AQ461" i="2" s="1"/>
  <c r="AJ478" i="2"/>
  <c r="AJ479" i="2"/>
  <c r="AO380" i="2"/>
  <c r="AQ381" i="2"/>
  <c r="AJ381" i="2" s="1"/>
  <c r="AO381" i="2"/>
  <c r="AP436" i="2"/>
  <c r="AQ436" i="2" s="1"/>
  <c r="AI436" i="2"/>
  <c r="AF436" i="2" s="1"/>
  <c r="AC436" i="2" s="1"/>
  <c r="AI447" i="2"/>
  <c r="AF447" i="2" s="1"/>
  <c r="AC447" i="2" s="1"/>
  <c r="AP447" i="2"/>
  <c r="AQ447" i="2" s="1"/>
  <c r="AI449" i="2"/>
  <c r="AF449" i="2" s="1"/>
  <c r="AC449" i="2" s="1"/>
  <c r="AJ449" i="2" s="1"/>
  <c r="AO449" i="2"/>
  <c r="AI451" i="2"/>
  <c r="AF451" i="2" s="1"/>
  <c r="AC451" i="2" s="1"/>
  <c r="AJ451" i="2" s="1"/>
  <c r="AO451" i="2"/>
  <c r="AI453" i="2"/>
  <c r="AF453" i="2" s="1"/>
  <c r="AC453" i="2" s="1"/>
  <c r="AJ453" i="2" s="1"/>
  <c r="AO453" i="2"/>
  <c r="AP462" i="2"/>
  <c r="AQ462" i="2" s="1"/>
  <c r="AI462" i="2"/>
  <c r="AF462" i="2" s="1"/>
  <c r="AC462" i="2" s="1"/>
  <c r="AI512" i="2"/>
  <c r="AF512" i="2" s="1"/>
  <c r="AC512" i="2" s="1"/>
  <c r="AP512" i="2"/>
  <c r="AQ512" i="2" s="1"/>
  <c r="AN538" i="2"/>
  <c r="AP538" i="2"/>
  <c r="AQ538" i="2" s="1"/>
  <c r="AJ538" i="2" s="1"/>
  <c r="AQ556" i="2"/>
  <c r="AJ556" i="2" s="1"/>
  <c r="AO556" i="2"/>
  <c r="AE265" i="2"/>
  <c r="AA265" i="2"/>
  <c r="AE267" i="2"/>
  <c r="AA267" i="2"/>
  <c r="AE269" i="2"/>
  <c r="AA269" i="2"/>
  <c r="AE271" i="2"/>
  <c r="AA271" i="2"/>
  <c r="AE273" i="2"/>
  <c r="AA273" i="2"/>
  <c r="AE275" i="2"/>
  <c r="AA275" i="2"/>
  <c r="AJ276" i="2"/>
  <c r="AB281" i="2"/>
  <c r="AB320" i="2"/>
  <c r="AB326" i="2"/>
  <c r="AB330" i="2"/>
  <c r="AB334" i="2"/>
  <c r="AB338" i="2"/>
  <c r="AP340" i="2"/>
  <c r="AQ340" i="2" s="1"/>
  <c r="AJ340" i="2" s="1"/>
  <c r="AJ345" i="2"/>
  <c r="AB358" i="2"/>
  <c r="AB363" i="2"/>
  <c r="AB368" i="2"/>
  <c r="AB370" i="2"/>
  <c r="AB372" i="2"/>
  <c r="AC375" i="2"/>
  <c r="AB376" i="2"/>
  <c r="AI382" i="2"/>
  <c r="AF382" i="2" s="1"/>
  <c r="AC382" i="2" s="1"/>
  <c r="AP382" i="2"/>
  <c r="AQ382" i="2" s="1"/>
  <c r="AP384" i="2"/>
  <c r="AQ384" i="2" s="1"/>
  <c r="AI384" i="2"/>
  <c r="AF384" i="2" s="1"/>
  <c r="AC384" i="2" s="1"/>
  <c r="AB394" i="2"/>
  <c r="AO400" i="2"/>
  <c r="AB402" i="2"/>
  <c r="AB408" i="2"/>
  <c r="AI409" i="2"/>
  <c r="AF409" i="2" s="1"/>
  <c r="AC409" i="2" s="1"/>
  <c r="AJ409" i="2" s="1"/>
  <c r="AO409" i="2"/>
  <c r="AO412" i="2"/>
  <c r="AB416" i="2"/>
  <c r="AI417" i="2"/>
  <c r="AF417" i="2" s="1"/>
  <c r="AC417" i="2" s="1"/>
  <c r="AJ417" i="2" s="1"/>
  <c r="AO417" i="2"/>
  <c r="AO420" i="2"/>
  <c r="AB426" i="2"/>
  <c r="AI439" i="2"/>
  <c r="AF439" i="2" s="1"/>
  <c r="AC439" i="2" s="1"/>
  <c r="AP439" i="2"/>
  <c r="AQ439" i="2" s="1"/>
  <c r="AO448" i="2"/>
  <c r="AI448" i="2"/>
  <c r="AF448" i="2" s="1"/>
  <c r="AC448" i="2" s="1"/>
  <c r="AJ448" i="2" s="1"/>
  <c r="AO450" i="2"/>
  <c r="AI450" i="2"/>
  <c r="AF450" i="2" s="1"/>
  <c r="AC450" i="2" s="1"/>
  <c r="AJ450" i="2" s="1"/>
  <c r="AO452" i="2"/>
  <c r="AI452" i="2"/>
  <c r="AF452" i="2" s="1"/>
  <c r="AC452" i="2" s="1"/>
  <c r="AJ452" i="2" s="1"/>
  <c r="AP454" i="2"/>
  <c r="AQ454" i="2" s="1"/>
  <c r="AI454" i="2"/>
  <c r="AF454" i="2" s="1"/>
  <c r="AC454" i="2" s="1"/>
  <c r="AB457" i="2"/>
  <c r="AI465" i="2"/>
  <c r="AF465" i="2" s="1"/>
  <c r="AC465" i="2" s="1"/>
  <c r="AP465" i="2"/>
  <c r="AQ465" i="2" s="1"/>
  <c r="AP466" i="2"/>
  <c r="AQ466" i="2" s="1"/>
  <c r="AI466" i="2"/>
  <c r="AF466" i="2" s="1"/>
  <c r="AC466" i="2" s="1"/>
  <c r="AJ470" i="2"/>
  <c r="AJ480" i="2"/>
  <c r="AB488" i="2"/>
  <c r="AJ493" i="2"/>
  <c r="AP506" i="2"/>
  <c r="AQ507" i="2"/>
  <c r="AJ507" i="2" s="1"/>
  <c r="AM507" i="2"/>
  <c r="AN507" i="2" s="1"/>
  <c r="AQ523" i="2"/>
  <c r="AJ523" i="2" s="1"/>
  <c r="AO523" i="2"/>
  <c r="AJ526" i="2"/>
  <c r="AI553" i="2"/>
  <c r="AF553" i="2" s="1"/>
  <c r="AC553" i="2" s="1"/>
  <c r="AJ553" i="2" s="1"/>
  <c r="AO553" i="2"/>
  <c r="AF265" i="2"/>
  <c r="AC265" i="2" s="1"/>
  <c r="AJ265" i="2" s="1"/>
  <c r="AF267" i="2"/>
  <c r="AC267" i="2" s="1"/>
  <c r="AJ267" i="2" s="1"/>
  <c r="AF269" i="2"/>
  <c r="AC269" i="2" s="1"/>
  <c r="AJ269" i="2" s="1"/>
  <c r="AF271" i="2"/>
  <c r="AC271" i="2" s="1"/>
  <c r="AJ271" i="2" s="1"/>
  <c r="AF273" i="2"/>
  <c r="AC273" i="2" s="1"/>
  <c r="AJ273" i="2" s="1"/>
  <c r="AF275" i="2"/>
  <c r="AC275" i="2" s="1"/>
  <c r="AJ275" i="2" s="1"/>
  <c r="AB294" i="2"/>
  <c r="AI318" i="2"/>
  <c r="AF318" i="2" s="1"/>
  <c r="AC318" i="2" s="1"/>
  <c r="AJ318" i="2" s="1"/>
  <c r="AP341" i="2"/>
  <c r="AQ341" i="2" s="1"/>
  <c r="AJ341" i="2" s="1"/>
  <c r="AC374" i="2"/>
  <c r="AB375" i="2"/>
  <c r="AQ377" i="2"/>
  <c r="AJ377" i="2" s="1"/>
  <c r="AO377" i="2"/>
  <c r="AB381" i="2"/>
  <c r="AB385" i="2"/>
  <c r="AB387" i="2"/>
  <c r="AB389" i="2"/>
  <c r="AB391" i="2"/>
  <c r="AB396" i="2"/>
  <c r="AO406" i="2"/>
  <c r="AO414" i="2"/>
  <c r="AP440" i="2"/>
  <c r="AQ440" i="2" s="1"/>
  <c r="AI440" i="2"/>
  <c r="AF440" i="2" s="1"/>
  <c r="AC440" i="2" s="1"/>
  <c r="AB443" i="2"/>
  <c r="AI457" i="2"/>
  <c r="AF457" i="2" s="1"/>
  <c r="AC457" i="2" s="1"/>
  <c r="AP457" i="2"/>
  <c r="AQ457" i="2" s="1"/>
  <c r="AP458" i="2"/>
  <c r="AQ458" i="2" s="1"/>
  <c r="AI458" i="2"/>
  <c r="AF458" i="2" s="1"/>
  <c r="AC458" i="2" s="1"/>
  <c r="AB461" i="2"/>
  <c r="AJ464" i="2"/>
  <c r="AB470" i="2"/>
  <c r="AJ472" i="2"/>
  <c r="AJ477" i="2"/>
  <c r="AB478" i="2"/>
  <c r="AJ485" i="2"/>
  <c r="AJ502" i="2"/>
  <c r="AI515" i="2"/>
  <c r="AF515" i="2" s="1"/>
  <c r="AC515" i="2" s="1"/>
  <c r="AJ515" i="2" s="1"/>
  <c r="AO515" i="2"/>
  <c r="AI520" i="2"/>
  <c r="AF520" i="2" s="1"/>
  <c r="AC520" i="2" s="1"/>
  <c r="AJ520" i="2" s="1"/>
  <c r="AO520" i="2"/>
  <c r="AQ511" i="2"/>
  <c r="AJ511" i="2" s="1"/>
  <c r="AO511" i="2"/>
  <c r="AN513" i="2"/>
  <c r="AP513" i="2"/>
  <c r="AQ513" i="2" s="1"/>
  <c r="AJ513" i="2" s="1"/>
  <c r="AB519" i="2"/>
  <c r="AI533" i="2"/>
  <c r="AF533" i="2" s="1"/>
  <c r="AC533" i="2" s="1"/>
  <c r="AP533" i="2"/>
  <c r="AQ533" i="2" s="1"/>
  <c r="AI537" i="2"/>
  <c r="AF537" i="2" s="1"/>
  <c r="AC537" i="2" s="1"/>
  <c r="AP537" i="2"/>
  <c r="AQ537" i="2" s="1"/>
  <c r="AI541" i="2"/>
  <c r="AF541" i="2" s="1"/>
  <c r="AC541" i="2" s="1"/>
  <c r="AP541" i="2"/>
  <c r="AQ541" i="2" s="1"/>
  <c r="AB544" i="2"/>
  <c r="AQ552" i="2"/>
  <c r="AJ552" i="2" s="1"/>
  <c r="AO552" i="2"/>
  <c r="AI557" i="2"/>
  <c r="AF557" i="2" s="1"/>
  <c r="AC557" i="2" s="1"/>
  <c r="AJ557" i="2" s="1"/>
  <c r="AO557" i="2"/>
  <c r="AB474" i="2"/>
  <c r="AB492" i="2"/>
  <c r="AB500" i="2"/>
  <c r="AI508" i="2"/>
  <c r="AF508" i="2" s="1"/>
  <c r="AC508" i="2" s="1"/>
  <c r="AJ508" i="2" s="1"/>
  <c r="AO508" i="2"/>
  <c r="AQ519" i="2"/>
  <c r="AJ519" i="2" s="1"/>
  <c r="AO519" i="2"/>
  <c r="AI531" i="2"/>
  <c r="AF531" i="2" s="1"/>
  <c r="AC531" i="2" s="1"/>
  <c r="AP531" i="2"/>
  <c r="AQ531" i="2" s="1"/>
  <c r="AI535" i="2"/>
  <c r="AF535" i="2" s="1"/>
  <c r="AC535" i="2" s="1"/>
  <c r="AP535" i="2"/>
  <c r="AQ535" i="2" s="1"/>
  <c r="AB552" i="2"/>
  <c r="AQ509" i="2"/>
  <c r="AJ509" i="2" s="1"/>
  <c r="AQ517" i="2"/>
  <c r="AJ517" i="2" s="1"/>
  <c r="AQ521" i="2"/>
  <c r="AJ521" i="2" s="1"/>
  <c r="AI539" i="2"/>
  <c r="AF539" i="2" s="1"/>
  <c r="AC539" i="2" s="1"/>
  <c r="AQ554" i="2"/>
  <c r="AJ554" i="2" s="1"/>
  <c r="AQ558" i="2"/>
  <c r="AJ558" i="2" s="1"/>
  <c r="AL304" i="2" l="1"/>
  <c r="AJ338" i="2"/>
  <c r="AL338" i="2" s="1"/>
  <c r="AL158" i="2"/>
  <c r="AL518" i="2"/>
  <c r="AL522" i="2"/>
  <c r="AL555" i="2"/>
  <c r="AK555" i="2"/>
  <c r="AL22" i="2"/>
  <c r="AJ540" i="2"/>
  <c r="AL540" i="2" s="1"/>
  <c r="AK101" i="2"/>
  <c r="AJ330" i="2"/>
  <c r="AL330" i="2" s="1"/>
  <c r="AO104" i="2"/>
  <c r="AJ539" i="2"/>
  <c r="AK539" i="2" s="1"/>
  <c r="AB302" i="2"/>
  <c r="AB319" i="2"/>
  <c r="AL510" i="2"/>
  <c r="AK510" i="2"/>
  <c r="AB298" i="2"/>
  <c r="AL559" i="2"/>
  <c r="AL544" i="2"/>
  <c r="AK536" i="2"/>
  <c r="AK226" i="2"/>
  <c r="AK258" i="2"/>
  <c r="AK119" i="2"/>
  <c r="AK118" i="2"/>
  <c r="AK310" i="2"/>
  <c r="AK421" i="2"/>
  <c r="AK368" i="2"/>
  <c r="AO105" i="2"/>
  <c r="AO109" i="2"/>
  <c r="AB306" i="2"/>
  <c r="AB304" i="2"/>
  <c r="AB308" i="2"/>
  <c r="AB309" i="2"/>
  <c r="AK63" i="2"/>
  <c r="AB300" i="2"/>
  <c r="AB317" i="2"/>
  <c r="AB307" i="2"/>
  <c r="AB301" i="2"/>
  <c r="AK28" i="2"/>
  <c r="AB299" i="2"/>
  <c r="AB318" i="2"/>
  <c r="AB303" i="2"/>
  <c r="AL159" i="2"/>
  <c r="AL62" i="2"/>
  <c r="AL283" i="2"/>
  <c r="AL280" i="2"/>
  <c r="AK55" i="2"/>
  <c r="AL527" i="2"/>
  <c r="AK420" i="2"/>
  <c r="AL336" i="2"/>
  <c r="AL184" i="2"/>
  <c r="AK56" i="2"/>
  <c r="AL396" i="2"/>
  <c r="AL180" i="2"/>
  <c r="AL53" i="2"/>
  <c r="AL279" i="2"/>
  <c r="AL87" i="2"/>
  <c r="AL155" i="2"/>
  <c r="AL201" i="2"/>
  <c r="AK67" i="2"/>
  <c r="AK160" i="2"/>
  <c r="AL487" i="2"/>
  <c r="AL422" i="2"/>
  <c r="AK94" i="2"/>
  <c r="AK514" i="2"/>
  <c r="AL176" i="2"/>
  <c r="AL108" i="2"/>
  <c r="AK359" i="2"/>
  <c r="AK317" i="2"/>
  <c r="AL178" i="2"/>
  <c r="AL475" i="2"/>
  <c r="AK305" i="2"/>
  <c r="AK61" i="2"/>
  <c r="AL213" i="2"/>
  <c r="AL370" i="2"/>
  <c r="AK370" i="2"/>
  <c r="AK228" i="2"/>
  <c r="AK289" i="2"/>
  <c r="AK189" i="2"/>
  <c r="AL126" i="2"/>
  <c r="AL71" i="2"/>
  <c r="AJ47" i="2"/>
  <c r="AL47" i="2" s="1"/>
  <c r="AK301" i="2"/>
  <c r="AL415" i="2"/>
  <c r="AL90" i="2"/>
  <c r="AK411" i="2"/>
  <c r="AL260" i="2"/>
  <c r="AL504" i="2"/>
  <c r="AL428" i="2"/>
  <c r="AL154" i="2"/>
  <c r="AK229" i="2"/>
  <c r="AL412" i="2"/>
  <c r="AL392" i="2"/>
  <c r="AK244" i="2"/>
  <c r="AL441" i="2"/>
  <c r="AL386" i="2"/>
  <c r="AK313" i="2"/>
  <c r="AK115" i="2"/>
  <c r="AK469" i="2"/>
  <c r="AL399" i="2"/>
  <c r="AL547" i="2"/>
  <c r="AK532" i="2"/>
  <c r="AK390" i="2"/>
  <c r="AK173" i="2"/>
  <c r="AK408" i="2"/>
  <c r="AL380" i="2"/>
  <c r="AK121" i="2"/>
  <c r="AK66" i="2"/>
  <c r="AK50" i="2"/>
  <c r="AK296" i="2"/>
  <c r="AK200" i="2"/>
  <c r="AK320" i="2"/>
  <c r="AL25" i="2"/>
  <c r="AL241" i="2"/>
  <c r="AL437" i="2"/>
  <c r="AL221" i="2"/>
  <c r="AK167" i="2"/>
  <c r="AL496" i="2"/>
  <c r="AK153" i="2"/>
  <c r="AL194" i="2"/>
  <c r="AL202" i="2"/>
  <c r="AH3" i="2"/>
  <c r="AO3" i="2" s="1"/>
  <c r="AL530" i="2"/>
  <c r="AL401" i="2"/>
  <c r="AK387" i="2"/>
  <c r="AK199" i="2"/>
  <c r="AK432" i="2"/>
  <c r="AK303" i="2"/>
  <c r="AK172" i="2"/>
  <c r="AK89" i="2"/>
  <c r="AK255" i="2"/>
  <c r="AK136" i="2"/>
  <c r="AL72" i="2"/>
  <c r="AK306" i="2"/>
  <c r="AL410" i="2"/>
  <c r="AK205" i="2"/>
  <c r="AK388" i="2"/>
  <c r="AK88" i="2"/>
  <c r="AK224" i="2"/>
  <c r="AK104" i="2"/>
  <c r="AK192" i="2"/>
  <c r="AK403" i="2"/>
  <c r="AK434" i="2"/>
  <c r="AK362" i="2"/>
  <c r="AL216" i="2"/>
  <c r="AK467" i="2"/>
  <c r="AL170" i="2"/>
  <c r="AK426" i="2"/>
  <c r="AL455" i="2"/>
  <c r="AK52" i="2"/>
  <c r="AK250" i="2"/>
  <c r="AL116" i="2"/>
  <c r="AK371" i="2"/>
  <c r="AL503" i="2"/>
  <c r="AK299" i="2"/>
  <c r="AK326" i="2"/>
  <c r="AL484" i="2"/>
  <c r="AK292" i="2"/>
  <c r="AK242" i="2"/>
  <c r="AK231" i="2"/>
  <c r="AK138" i="2"/>
  <c r="AK134" i="2"/>
  <c r="AL85" i="2"/>
  <c r="AL498" i="2"/>
  <c r="AK525" i="2"/>
  <c r="AL191" i="2"/>
  <c r="AK96" i="2"/>
  <c r="AL490" i="2"/>
  <c r="AK427" i="2"/>
  <c r="AL378" i="2"/>
  <c r="AK476" i="2"/>
  <c r="AL429" i="2"/>
  <c r="AL500" i="2"/>
  <c r="AK338" i="2"/>
  <c r="AK290" i="2"/>
  <c r="AL209" i="2"/>
  <c r="AL198" i="2"/>
  <c r="AL550" i="2"/>
  <c r="AK474" i="2"/>
  <c r="AL291" i="2"/>
  <c r="AL239" i="2"/>
  <c r="AK164" i="2"/>
  <c r="AK132" i="2"/>
  <c r="AK83" i="2"/>
  <c r="AL91" i="2"/>
  <c r="AK23" i="2"/>
  <c r="AL316" i="2"/>
  <c r="AL95" i="2"/>
  <c r="AK505" i="2"/>
  <c r="AL473" i="2"/>
  <c r="AL402" i="2"/>
  <c r="AL404" i="2"/>
  <c r="AK82" i="2"/>
  <c r="AK47" i="2"/>
  <c r="AK21" i="2"/>
  <c r="AL545" i="2"/>
  <c r="AL223" i="2"/>
  <c r="AJ42" i="2"/>
  <c r="AK42" i="2" s="1"/>
  <c r="AK236" i="2"/>
  <c r="AK188" i="2"/>
  <c r="AK321" i="2"/>
  <c r="AK27" i="2"/>
  <c r="AK524" i="2"/>
  <c r="AK385" i="2"/>
  <c r="AK414" i="2"/>
  <c r="AK315" i="2"/>
  <c r="AL482" i="2"/>
  <c r="AK383" i="2"/>
  <c r="AL312" i="2"/>
  <c r="AK534" i="2"/>
  <c r="AL416" i="2"/>
  <c r="AL407" i="2"/>
  <c r="AK297" i="2"/>
  <c r="AK177" i="2"/>
  <c r="AL247" i="2"/>
  <c r="AK156" i="2"/>
  <c r="AL59" i="2"/>
  <c r="AJ48" i="2"/>
  <c r="AL48" i="2" s="1"/>
  <c r="AL161" i="2"/>
  <c r="AL98" i="2"/>
  <c r="AK181" i="2"/>
  <c r="AK516" i="2"/>
  <c r="AJ41" i="2"/>
  <c r="AL256" i="2"/>
  <c r="AK397" i="2"/>
  <c r="AL151" i="2"/>
  <c r="AK489" i="2"/>
  <c r="AK394" i="2"/>
  <c r="AL324" i="2"/>
  <c r="AK222" i="2"/>
  <c r="AK210" i="2"/>
  <c r="AK389" i="2"/>
  <c r="AL302" i="2"/>
  <c r="AL360" i="2"/>
  <c r="AL246" i="2"/>
  <c r="AK74" i="2"/>
  <c r="AL97" i="2"/>
  <c r="AK73" i="2"/>
  <c r="AK57" i="2"/>
  <c r="AL225" i="2"/>
  <c r="AK128" i="2"/>
  <c r="AK64" i="2"/>
  <c r="AH7" i="2"/>
  <c r="AO7" i="2" s="1"/>
  <c r="AK68" i="2"/>
  <c r="AK51" i="2"/>
  <c r="AK144" i="2"/>
  <c r="AL144" i="2"/>
  <c r="AL207" i="2"/>
  <c r="AK207" i="2"/>
  <c r="AJ458" i="2"/>
  <c r="AK458" i="2" s="1"/>
  <c r="AK425" i="2"/>
  <c r="AK471" i="2"/>
  <c r="AL369" i="2"/>
  <c r="AL311" i="2"/>
  <c r="AL300" i="2"/>
  <c r="AK366" i="2"/>
  <c r="AJ337" i="2"/>
  <c r="AK337" i="2" s="1"/>
  <c r="AJ329" i="2"/>
  <c r="AL329" i="2" s="1"/>
  <c r="AL322" i="2"/>
  <c r="AK287" i="2"/>
  <c r="AL307" i="2"/>
  <c r="AL152" i="2"/>
  <c r="AK208" i="2"/>
  <c r="AK163" i="2"/>
  <c r="AK93" i="2"/>
  <c r="AL529" i="2"/>
  <c r="AK309" i="2"/>
  <c r="AL546" i="2"/>
  <c r="AL481" i="2"/>
  <c r="AL463" i="2"/>
  <c r="AL424" i="2"/>
  <c r="AK418" i="2"/>
  <c r="AL364" i="2"/>
  <c r="AL235" i="2"/>
  <c r="AK86" i="2"/>
  <c r="AK215" i="2"/>
  <c r="AK212" i="2"/>
  <c r="AK196" i="2"/>
  <c r="AK150" i="2"/>
  <c r="AL361" i="2"/>
  <c r="AL442" i="2"/>
  <c r="AL243" i="2"/>
  <c r="AL217" i="2"/>
  <c r="AK233" i="2"/>
  <c r="AK185" i="2"/>
  <c r="AJ466" i="2"/>
  <c r="AL466" i="2" s="1"/>
  <c r="AJ439" i="2"/>
  <c r="AL439" i="2" s="1"/>
  <c r="AJ382" i="2"/>
  <c r="AL382" i="2" s="1"/>
  <c r="AK492" i="2"/>
  <c r="AK285" i="2"/>
  <c r="AL308" i="2"/>
  <c r="AK58" i="2"/>
  <c r="AL81" i="2"/>
  <c r="AL114" i="2"/>
  <c r="AK169" i="2"/>
  <c r="AJ454" i="2"/>
  <c r="AL454" i="2" s="1"/>
  <c r="AJ436" i="2"/>
  <c r="AK436" i="2" s="1"/>
  <c r="AK497" i="2"/>
  <c r="AL431" i="2"/>
  <c r="AJ333" i="2"/>
  <c r="AK333" i="2" s="1"/>
  <c r="AJ325" i="2"/>
  <c r="AK325" i="2" s="1"/>
  <c r="AK227" i="2"/>
  <c r="AL49" i="2"/>
  <c r="AK298" i="2"/>
  <c r="AK253" i="2"/>
  <c r="AK219" i="2"/>
  <c r="AK60" i="2"/>
  <c r="AK459" i="2"/>
  <c r="AJ43" i="2"/>
  <c r="AK43" i="2" s="1"/>
  <c r="AK367" i="2"/>
  <c r="AK175" i="2"/>
  <c r="AJ129" i="2"/>
  <c r="AL129" i="2" s="1"/>
  <c r="AK249" i="2"/>
  <c r="AL130" i="2"/>
  <c r="AK165" i="2"/>
  <c r="AK499" i="2"/>
  <c r="AL423" i="2"/>
  <c r="AK423" i="2"/>
  <c r="AK430" i="2"/>
  <c r="AL174" i="2"/>
  <c r="AL69" i="2"/>
  <c r="AK293" i="2"/>
  <c r="AL197" i="2"/>
  <c r="AK332" i="2"/>
  <c r="AL218" i="2"/>
  <c r="AK419" i="2"/>
  <c r="AL419" i="2"/>
  <c r="AL460" i="2"/>
  <c r="AL542" i="2"/>
  <c r="AK400" i="2"/>
  <c r="AL363" i="2"/>
  <c r="AK105" i="2"/>
  <c r="AK254" i="2"/>
  <c r="AL77" i="2"/>
  <c r="AL295" i="2"/>
  <c r="AK168" i="2"/>
  <c r="AK140" i="2"/>
  <c r="AK211" i="2"/>
  <c r="AL65" i="2"/>
  <c r="AK501" i="2"/>
  <c r="AJ462" i="2"/>
  <c r="AL462" i="2" s="1"/>
  <c r="AL494" i="2"/>
  <c r="AJ444" i="2"/>
  <c r="AL444" i="2" s="1"/>
  <c r="AK391" i="2"/>
  <c r="AL190" i="2"/>
  <c r="AK358" i="2"/>
  <c r="AK84" i="2"/>
  <c r="AK549" i="2"/>
  <c r="AK548" i="2"/>
  <c r="AL548" i="2"/>
  <c r="AL468" i="2"/>
  <c r="AL445" i="2"/>
  <c r="AJ331" i="2"/>
  <c r="AL331" i="2" s="1"/>
  <c r="AK334" i="2"/>
  <c r="AJ127" i="2"/>
  <c r="AK127" i="2" s="1"/>
  <c r="AB76" i="2"/>
  <c r="AL112" i="2"/>
  <c r="AK281" i="2"/>
  <c r="AL186" i="2"/>
  <c r="AL26" i="2"/>
  <c r="AL232" i="2"/>
  <c r="AL120" i="2"/>
  <c r="AL486" i="2"/>
  <c r="AL488" i="2"/>
  <c r="AL251" i="2"/>
  <c r="AK240" i="2"/>
  <c r="AL240" i="2"/>
  <c r="AK393" i="2"/>
  <c r="AK406" i="2"/>
  <c r="AJ46" i="2"/>
  <c r="AL46" i="2" s="1"/>
  <c r="AK204" i="2"/>
  <c r="AL495" i="2"/>
  <c r="AK495" i="2"/>
  <c r="AJ335" i="2"/>
  <c r="AK335" i="2" s="1"/>
  <c r="AJ327" i="2"/>
  <c r="AK327" i="2" s="1"/>
  <c r="AL182" i="2"/>
  <c r="AL166" i="2"/>
  <c r="AK282" i="2"/>
  <c r="AL220" i="2"/>
  <c r="AJ40" i="2"/>
  <c r="AK103" i="2"/>
  <c r="AL103" i="2"/>
  <c r="AL143" i="2"/>
  <c r="AK143" i="2"/>
  <c r="AK146" i="2"/>
  <c r="AL146" i="2"/>
  <c r="AK528" i="2"/>
  <c r="AK314" i="2"/>
  <c r="AJ319" i="2"/>
  <c r="AK319" i="2" s="1"/>
  <c r="AB259" i="2"/>
  <c r="AK433" i="2"/>
  <c r="AK238" i="2"/>
  <c r="AK193" i="2"/>
  <c r="AJ44" i="2"/>
  <c r="AK483" i="2"/>
  <c r="AK435" i="2"/>
  <c r="AK328" i="2"/>
  <c r="AL157" i="2"/>
  <c r="AL491" i="2"/>
  <c r="AK491" i="2"/>
  <c r="AK543" i="2"/>
  <c r="AK551" i="2"/>
  <c r="AB263" i="2"/>
  <c r="AK183" i="2"/>
  <c r="AJ125" i="2"/>
  <c r="AK125" i="2" s="1"/>
  <c r="AK456" i="2"/>
  <c r="AL456" i="2"/>
  <c r="AL365" i="2"/>
  <c r="AK365" i="2"/>
  <c r="AL278" i="2"/>
  <c r="AK278" i="2"/>
  <c r="AL554" i="2"/>
  <c r="AK554" i="2"/>
  <c r="AL509" i="2"/>
  <c r="AK509" i="2"/>
  <c r="AL519" i="2"/>
  <c r="AK519" i="2"/>
  <c r="AL511" i="2"/>
  <c r="AK511" i="2"/>
  <c r="AL538" i="2"/>
  <c r="AK538" i="2"/>
  <c r="AK263" i="2"/>
  <c r="AL263" i="2"/>
  <c r="AK148" i="2"/>
  <c r="AL148" i="2"/>
  <c r="AQ14" i="2"/>
  <c r="AJ14" i="2" s="1"/>
  <c r="AO14" i="2"/>
  <c r="AL552" i="2"/>
  <c r="AK552" i="2"/>
  <c r="AL513" i="2"/>
  <c r="AK513" i="2"/>
  <c r="AO398" i="2"/>
  <c r="AQ398" i="2"/>
  <c r="AJ398" i="2" s="1"/>
  <c r="AL377" i="2"/>
  <c r="AK377" i="2"/>
  <c r="AL379" i="2"/>
  <c r="AK379" i="2"/>
  <c r="AL257" i="2"/>
  <c r="AK257" i="2"/>
  <c r="AL24" i="2"/>
  <c r="AK24" i="2"/>
  <c r="AH4" i="2"/>
  <c r="AO4" i="2" s="1"/>
  <c r="AF4" i="2"/>
  <c r="AC4" i="2" s="1"/>
  <c r="AJ4" i="2" s="1"/>
  <c r="AL107" i="2"/>
  <c r="AK107" i="2"/>
  <c r="AQ19" i="2"/>
  <c r="AJ19" i="2" s="1"/>
  <c r="AO19" i="2"/>
  <c r="AO13" i="2"/>
  <c r="AQ13" i="2"/>
  <c r="AJ13" i="2" s="1"/>
  <c r="AK80" i="2"/>
  <c r="AL80" i="2"/>
  <c r="AQ15" i="2"/>
  <c r="AJ15" i="2" s="1"/>
  <c r="AO15" i="2"/>
  <c r="AL521" i="2"/>
  <c r="AK521" i="2"/>
  <c r="AK340" i="2"/>
  <c r="AL340" i="2"/>
  <c r="AL259" i="2"/>
  <c r="AK259" i="2"/>
  <c r="AL234" i="2"/>
  <c r="AK234" i="2"/>
  <c r="AK79" i="2"/>
  <c r="AL79" i="2"/>
  <c r="AO16" i="2"/>
  <c r="AQ16" i="2"/>
  <c r="AJ16" i="2" s="1"/>
  <c r="AL558" i="2"/>
  <c r="AK558" i="2"/>
  <c r="AL517" i="2"/>
  <c r="AK517" i="2"/>
  <c r="AL381" i="2"/>
  <c r="AK381" i="2"/>
  <c r="AL261" i="2"/>
  <c r="AK261" i="2"/>
  <c r="AQ18" i="2"/>
  <c r="AJ18" i="2" s="1"/>
  <c r="AO18" i="2"/>
  <c r="AO20" i="2"/>
  <c r="AQ20" i="2"/>
  <c r="AJ20" i="2" s="1"/>
  <c r="AL556" i="2"/>
  <c r="AK556" i="2"/>
  <c r="AJ531" i="2"/>
  <c r="AJ541" i="2"/>
  <c r="AJ533" i="2"/>
  <c r="AK520" i="2"/>
  <c r="AL520" i="2"/>
  <c r="AJ440" i="2"/>
  <c r="AK318" i="2"/>
  <c r="AL318" i="2"/>
  <c r="AK271" i="2"/>
  <c r="AL271" i="2"/>
  <c r="AK553" i="2"/>
  <c r="AL553" i="2"/>
  <c r="AJ465" i="2"/>
  <c r="AK417" i="2"/>
  <c r="AL417" i="2"/>
  <c r="AK409" i="2"/>
  <c r="AL409" i="2"/>
  <c r="AJ384" i="2"/>
  <c r="AL356" i="2"/>
  <c r="AK356" i="2"/>
  <c r="AL352" i="2"/>
  <c r="AK352" i="2"/>
  <c r="AL348" i="2"/>
  <c r="AK348" i="2"/>
  <c r="AL344" i="2"/>
  <c r="AK344" i="2"/>
  <c r="AL276" i="2"/>
  <c r="AK276" i="2"/>
  <c r="AB273" i="2"/>
  <c r="AB269" i="2"/>
  <c r="AB265" i="2"/>
  <c r="AJ512" i="2"/>
  <c r="AL453" i="2"/>
  <c r="AK453" i="2"/>
  <c r="AL449" i="2"/>
  <c r="AK449" i="2"/>
  <c r="AP374" i="2"/>
  <c r="AL479" i="2"/>
  <c r="AK479" i="2"/>
  <c r="AJ461" i="2"/>
  <c r="AJ443" i="2"/>
  <c r="AK342" i="2"/>
  <c r="AL342" i="2"/>
  <c r="AK288" i="2"/>
  <c r="AL288" i="2"/>
  <c r="AL203" i="2"/>
  <c r="AK203" i="2"/>
  <c r="AL171" i="2"/>
  <c r="AK171" i="2"/>
  <c r="AL141" i="2"/>
  <c r="AK141" i="2"/>
  <c r="AL133" i="2"/>
  <c r="AK133" i="2"/>
  <c r="AO110" i="2"/>
  <c r="AQ110" i="2"/>
  <c r="AJ110" i="2" s="1"/>
  <c r="AO102" i="2"/>
  <c r="AQ102" i="2"/>
  <c r="AJ102" i="2" s="1"/>
  <c r="AB257" i="2"/>
  <c r="AB270" i="2"/>
  <c r="AK262" i="2"/>
  <c r="AL262" i="2"/>
  <c r="AK195" i="2"/>
  <c r="AL195" i="2"/>
  <c r="AK92" i="2"/>
  <c r="AL92" i="2"/>
  <c r="AK343" i="2"/>
  <c r="AL343" i="2"/>
  <c r="AL54" i="2"/>
  <c r="AK54" i="2"/>
  <c r="AH2" i="2"/>
  <c r="AO2" i="2" s="1"/>
  <c r="AF2" i="2"/>
  <c r="AC2" i="2" s="1"/>
  <c r="AJ2" i="2" s="1"/>
  <c r="AP76" i="2"/>
  <c r="AJ45" i="2"/>
  <c r="AK557" i="2"/>
  <c r="AL557" i="2"/>
  <c r="AL523" i="2"/>
  <c r="AK523" i="2"/>
  <c r="AL507" i="2"/>
  <c r="AK507" i="2"/>
  <c r="AL477" i="2"/>
  <c r="AK477" i="2"/>
  <c r="AK464" i="2"/>
  <c r="AL464" i="2"/>
  <c r="AK269" i="2"/>
  <c r="AL269" i="2"/>
  <c r="AM506" i="2"/>
  <c r="AN506" i="2" s="1"/>
  <c r="AQ506" i="2"/>
  <c r="AJ506" i="2" s="1"/>
  <c r="AK452" i="2"/>
  <c r="AL452" i="2"/>
  <c r="AK448" i="2"/>
  <c r="AL448" i="2"/>
  <c r="AL355" i="2"/>
  <c r="AK355" i="2"/>
  <c r="AL351" i="2"/>
  <c r="AK351" i="2"/>
  <c r="AL347" i="2"/>
  <c r="AK347" i="2"/>
  <c r="AL478" i="2"/>
  <c r="AK478" i="2"/>
  <c r="AK284" i="2"/>
  <c r="AL284" i="2"/>
  <c r="AL274" i="2"/>
  <c r="AK274" i="2"/>
  <c r="AL266" i="2"/>
  <c r="AK266" i="2"/>
  <c r="AL139" i="2"/>
  <c r="AK139" i="2"/>
  <c r="AL131" i="2"/>
  <c r="AK131" i="2"/>
  <c r="AQ372" i="2"/>
  <c r="AJ372" i="2" s="1"/>
  <c r="AO372" i="2"/>
  <c r="AB314" i="2"/>
  <c r="AB313" i="2"/>
  <c r="AB315" i="2"/>
  <c r="AL272" i="2"/>
  <c r="AK272" i="2"/>
  <c r="AL264" i="2"/>
  <c r="AK264" i="2"/>
  <c r="AL124" i="2"/>
  <c r="AK124" i="2"/>
  <c r="AO106" i="2"/>
  <c r="AQ106" i="2"/>
  <c r="AJ106" i="2" s="1"/>
  <c r="AQ376" i="2"/>
  <c r="AJ376" i="2" s="1"/>
  <c r="AO376" i="2"/>
  <c r="AL323" i="2"/>
  <c r="AK323" i="2"/>
  <c r="AL277" i="2"/>
  <c r="AK277" i="2"/>
  <c r="AL268" i="2"/>
  <c r="AK268" i="2"/>
  <c r="AL237" i="2"/>
  <c r="AK237" i="2"/>
  <c r="AP75" i="2"/>
  <c r="AL142" i="2"/>
  <c r="AK142" i="2"/>
  <c r="AL147" i="2"/>
  <c r="AK147" i="2"/>
  <c r="AK78" i="2"/>
  <c r="AL78" i="2"/>
  <c r="AQ11" i="2"/>
  <c r="AJ11" i="2" s="1"/>
  <c r="AO11" i="2"/>
  <c r="AJ535" i="2"/>
  <c r="AK508" i="2"/>
  <c r="AL508" i="2"/>
  <c r="AJ537" i="2"/>
  <c r="AK515" i="2"/>
  <c r="AL515" i="2"/>
  <c r="AK502" i="2"/>
  <c r="AL502" i="2"/>
  <c r="AJ457" i="2"/>
  <c r="AK438" i="2"/>
  <c r="AL438" i="2"/>
  <c r="AK275" i="2"/>
  <c r="AL275" i="2"/>
  <c r="AK267" i="2"/>
  <c r="AL267" i="2"/>
  <c r="AL493" i="2"/>
  <c r="AK493" i="2"/>
  <c r="AK480" i="2"/>
  <c r="AL480" i="2"/>
  <c r="AL354" i="2"/>
  <c r="AK354" i="2"/>
  <c r="AL350" i="2"/>
  <c r="AK350" i="2"/>
  <c r="AL346" i="2"/>
  <c r="AK346" i="2"/>
  <c r="AB275" i="2"/>
  <c r="AB271" i="2"/>
  <c r="AB267" i="2"/>
  <c r="AL451" i="2"/>
  <c r="AK451" i="2"/>
  <c r="AJ447" i="2"/>
  <c r="AK405" i="2"/>
  <c r="AL405" i="2"/>
  <c r="AB274" i="2"/>
  <c r="AB266" i="2"/>
  <c r="AL248" i="2"/>
  <c r="AK248" i="2"/>
  <c r="AL214" i="2"/>
  <c r="AK214" i="2"/>
  <c r="AL187" i="2"/>
  <c r="AK187" i="2"/>
  <c r="AL162" i="2"/>
  <c r="AK162" i="2"/>
  <c r="AL137" i="2"/>
  <c r="AK137" i="2"/>
  <c r="AB272" i="2"/>
  <c r="AB264" i="2"/>
  <c r="AB261" i="2"/>
  <c r="AL252" i="2"/>
  <c r="AK252" i="2"/>
  <c r="AL230" i="2"/>
  <c r="AK230" i="2"/>
  <c r="AL122" i="2"/>
  <c r="AK122" i="2"/>
  <c r="AL286" i="2"/>
  <c r="AK286" i="2"/>
  <c r="AK179" i="2"/>
  <c r="AL179" i="2"/>
  <c r="AK145" i="2"/>
  <c r="AL145" i="2"/>
  <c r="AK117" i="2"/>
  <c r="AL117" i="2"/>
  <c r="AB268" i="2"/>
  <c r="AQ10" i="2"/>
  <c r="AJ10" i="2" s="1"/>
  <c r="AO10" i="2"/>
  <c r="AP17" i="2"/>
  <c r="AO9" i="2"/>
  <c r="AQ9" i="2"/>
  <c r="AJ9" i="2" s="1"/>
  <c r="AO12" i="2"/>
  <c r="AQ12" i="2"/>
  <c r="AJ12" i="2" s="1"/>
  <c r="AL245" i="2"/>
  <c r="AK245" i="2"/>
  <c r="AL123" i="2"/>
  <c r="AK123" i="2"/>
  <c r="AL111" i="2"/>
  <c r="AK111" i="2"/>
  <c r="AL7" i="2"/>
  <c r="AK7" i="2"/>
  <c r="AO8" i="2"/>
  <c r="AQ8" i="2"/>
  <c r="AJ8" i="2" s="1"/>
  <c r="AL485" i="2"/>
  <c r="AK485" i="2"/>
  <c r="AK472" i="2"/>
  <c r="AL472" i="2"/>
  <c r="AK341" i="2"/>
  <c r="AL341" i="2"/>
  <c r="AK273" i="2"/>
  <c r="AL273" i="2"/>
  <c r="AK265" i="2"/>
  <c r="AL265" i="2"/>
  <c r="AL526" i="2"/>
  <c r="AK526" i="2"/>
  <c r="AL470" i="2"/>
  <c r="AK470" i="2"/>
  <c r="AK450" i="2"/>
  <c r="AL450" i="2"/>
  <c r="AK446" i="2"/>
  <c r="AL446" i="2"/>
  <c r="AL353" i="2"/>
  <c r="AK353" i="2"/>
  <c r="AL349" i="2"/>
  <c r="AK349" i="2"/>
  <c r="AL345" i="2"/>
  <c r="AK345" i="2"/>
  <c r="AK413" i="2"/>
  <c r="AL413" i="2"/>
  <c r="AP375" i="2"/>
  <c r="AL395" i="2"/>
  <c r="AK395" i="2"/>
  <c r="AK339" i="2"/>
  <c r="AL339" i="2"/>
  <c r="AL149" i="2"/>
  <c r="AK149" i="2"/>
  <c r="AL135" i="2"/>
  <c r="AK135" i="2"/>
  <c r="AL294" i="2"/>
  <c r="AK294" i="2"/>
  <c r="AL270" i="2"/>
  <c r="AK270" i="2"/>
  <c r="AK206" i="2"/>
  <c r="AL206" i="2"/>
  <c r="AK113" i="2"/>
  <c r="AL113" i="2"/>
  <c r="AH6" i="2"/>
  <c r="AO6" i="2" s="1"/>
  <c r="AF6" i="2"/>
  <c r="AC6" i="2" s="1"/>
  <c r="AJ6" i="2" s="1"/>
  <c r="AO373" i="2"/>
  <c r="AQ373" i="2"/>
  <c r="AJ373" i="2" s="1"/>
  <c r="AL109" i="2"/>
  <c r="AK109" i="2"/>
  <c r="AL70" i="2"/>
  <c r="AK70" i="2"/>
  <c r="AO99" i="2"/>
  <c r="AQ99" i="2"/>
  <c r="AJ99" i="2" s="1"/>
  <c r="AF5" i="2"/>
  <c r="AC5" i="2" s="1"/>
  <c r="AJ5" i="2" s="1"/>
  <c r="AO100" i="2"/>
  <c r="AQ100" i="2"/>
  <c r="AJ100" i="2" s="1"/>
  <c r="AK3" i="2"/>
  <c r="AL3" i="2"/>
  <c r="AL42" i="2" l="1"/>
  <c r="AK540" i="2"/>
  <c r="AK330" i="2"/>
  <c r="AL539" i="2"/>
  <c r="AK466" i="2"/>
  <c r="AK48" i="2"/>
  <c r="AL125" i="2"/>
  <c r="AL458" i="2"/>
  <c r="AK329" i="2"/>
  <c r="AK331" i="2"/>
  <c r="AK462" i="2"/>
  <c r="AL319" i="2"/>
  <c r="AL325" i="2"/>
  <c r="AL127" i="2"/>
  <c r="AK382" i="2"/>
  <c r="AK129" i="2"/>
  <c r="AL41" i="2"/>
  <c r="AK41" i="2"/>
  <c r="AK439" i="2"/>
  <c r="AL337" i="2"/>
  <c r="AL43" i="2"/>
  <c r="AL436" i="2"/>
  <c r="AK454" i="2"/>
  <c r="AL333" i="2"/>
  <c r="AK444" i="2"/>
  <c r="AK46" i="2"/>
  <c r="AL335" i="2"/>
  <c r="AL327" i="2"/>
  <c r="AK40" i="2"/>
  <c r="AL40" i="2"/>
  <c r="AK44" i="2"/>
  <c r="AL44" i="2"/>
  <c r="AL376" i="2"/>
  <c r="AK376" i="2"/>
  <c r="AL373" i="2"/>
  <c r="AK373" i="2"/>
  <c r="AL372" i="2"/>
  <c r="AK372" i="2"/>
  <c r="AK537" i="2"/>
  <c r="AL537" i="2"/>
  <c r="AL100" i="2"/>
  <c r="AK100" i="2"/>
  <c r="AL6" i="2"/>
  <c r="AK6" i="2"/>
  <c r="AQ375" i="2"/>
  <c r="AJ375" i="2" s="1"/>
  <c r="AO375" i="2"/>
  <c r="AK535" i="2"/>
  <c r="AL535" i="2"/>
  <c r="AL20" i="2"/>
  <c r="AK20" i="2"/>
  <c r="AO75" i="2"/>
  <c r="AQ75" i="2"/>
  <c r="AJ75" i="2" s="1"/>
  <c r="AK110" i="2"/>
  <c r="AL110" i="2"/>
  <c r="AK512" i="2"/>
  <c r="AL512" i="2"/>
  <c r="AK531" i="2"/>
  <c r="AL531" i="2"/>
  <c r="AL4" i="2"/>
  <c r="AK4" i="2"/>
  <c r="AL8" i="2"/>
  <c r="AK8" i="2"/>
  <c r="AL10" i="2"/>
  <c r="AK10" i="2"/>
  <c r="AL457" i="2"/>
  <c r="AK457" i="2"/>
  <c r="AK45" i="2"/>
  <c r="AL45" i="2"/>
  <c r="AK13" i="2"/>
  <c r="AL13" i="2"/>
  <c r="AL15" i="2"/>
  <c r="AK15" i="2"/>
  <c r="AL14" i="2"/>
  <c r="AK14" i="2"/>
  <c r="AK9" i="2"/>
  <c r="AL9" i="2"/>
  <c r="AK5" i="2"/>
  <c r="AL5" i="2"/>
  <c r="AL19" i="2"/>
  <c r="AK19" i="2"/>
  <c r="AL18" i="2"/>
  <c r="AK18" i="2"/>
  <c r="AL447" i="2"/>
  <c r="AK447" i="2"/>
  <c r="AK398" i="2"/>
  <c r="AL398" i="2"/>
  <c r="AL11" i="2"/>
  <c r="AK11" i="2"/>
  <c r="AK506" i="2"/>
  <c r="AL506" i="2"/>
  <c r="AQ76" i="2"/>
  <c r="AJ76" i="2" s="1"/>
  <c r="AO76" i="2"/>
  <c r="AK102" i="2"/>
  <c r="AL102" i="2"/>
  <c r="AL443" i="2"/>
  <c r="AK443" i="2"/>
  <c r="AK384" i="2"/>
  <c r="AL384" i="2"/>
  <c r="AK440" i="2"/>
  <c r="AL440" i="2"/>
  <c r="AK533" i="2"/>
  <c r="AL533" i="2"/>
  <c r="AK99" i="2"/>
  <c r="AL99" i="2"/>
  <c r="AL12" i="2"/>
  <c r="AK12" i="2"/>
  <c r="AO17" i="2"/>
  <c r="AQ17" i="2"/>
  <c r="AJ17" i="2" s="1"/>
  <c r="AL16" i="2"/>
  <c r="AK16" i="2"/>
  <c r="AK106" i="2"/>
  <c r="AL106" i="2"/>
  <c r="AL2" i="2"/>
  <c r="AK2" i="2"/>
  <c r="AL461" i="2"/>
  <c r="AK461" i="2"/>
  <c r="AQ374" i="2"/>
  <c r="AJ374" i="2" s="1"/>
  <c r="AO374" i="2"/>
  <c r="AL465" i="2"/>
  <c r="AK465" i="2"/>
  <c r="AK541" i="2"/>
  <c r="AL541" i="2"/>
  <c r="AL76" i="2" l="1"/>
  <c r="AK76" i="2"/>
  <c r="AK17" i="2"/>
  <c r="AL17" i="2"/>
  <c r="AL375" i="2"/>
  <c r="AK375" i="2"/>
  <c r="AL374" i="2"/>
  <c r="AK374" i="2"/>
  <c r="AK75" i="2"/>
  <c r="AL75" i="2"/>
</calcChain>
</file>

<file path=xl/sharedStrings.xml><?xml version="1.0" encoding="utf-8"?>
<sst xmlns="http://schemas.openxmlformats.org/spreadsheetml/2006/main" count="3183" uniqueCount="386">
  <si>
    <t>Sr. No.</t>
  </si>
  <si>
    <t>Year</t>
  </si>
  <si>
    <t>Author</t>
  </si>
  <si>
    <t>RH</t>
  </si>
  <si>
    <t>Variety</t>
  </si>
  <si>
    <t>Unreported</t>
  </si>
  <si>
    <t>Exp</t>
  </si>
  <si>
    <t>hours</t>
  </si>
  <si>
    <t>Fit</t>
  </si>
  <si>
    <t>Diff_r</t>
  </si>
  <si>
    <t>TD</t>
  </si>
  <si>
    <t>alpha</t>
  </si>
  <si>
    <t>aLR</t>
  </si>
  <si>
    <t>aRL</t>
  </si>
  <si>
    <t>Density</t>
  </si>
  <si>
    <t>Berry Count</t>
  </si>
  <si>
    <t>Radius</t>
  </si>
  <si>
    <t>Dry_Mass</t>
  </si>
  <si>
    <t>Weight_i</t>
  </si>
  <si>
    <t>Vol_i</t>
  </si>
  <si>
    <t>Water_i</t>
  </si>
  <si>
    <t>MR_i</t>
  </si>
  <si>
    <t>MC_i</t>
  </si>
  <si>
    <t>Weight_f</t>
  </si>
  <si>
    <t>Vol_f</t>
  </si>
  <si>
    <t>Water_f</t>
  </si>
  <si>
    <t>MC_eq_Lit</t>
  </si>
  <si>
    <t>MR_f</t>
  </si>
  <si>
    <t>MC_f</t>
  </si>
  <si>
    <t>Pretreatment</t>
  </si>
  <si>
    <t>mwR</t>
  </si>
  <si>
    <t>Bottrill D. E.</t>
  </si>
  <si>
    <t>Dark</t>
  </si>
  <si>
    <t>Commercial dipping oil</t>
  </si>
  <si>
    <t>Untreated</t>
  </si>
  <si>
    <t>Grncarevic M.</t>
  </si>
  <si>
    <t>Convective</t>
  </si>
  <si>
    <t>Fully dipped in emulsion of 2.5% (w/v) K2CO3 and 2% (v/v) Voullaire's 'E-Muls-Oyle' oil</t>
  </si>
  <si>
    <t>Half dipped in emulsion of 2.5% (w/v) K2CO3 and 2% (v/v) Voullaire's 'E-Muls-Oyle' oil</t>
  </si>
  <si>
    <t>Petrucci V.</t>
  </si>
  <si>
    <t>Commercial ethyl ester mixture (also comprising of an emulsifier and K2CO3)</t>
  </si>
  <si>
    <t>Stafford A. E.</t>
  </si>
  <si>
    <t>2% K2CO3 + 2% ethyl oleate + 0.1% Tween 60 emulsifier</t>
  </si>
  <si>
    <t>2% K2CO3 + 2% methyl oleate + 0.1% Tween 60 emulsifier</t>
  </si>
  <si>
    <t>Untreated (Replicate of the previous experiment)</t>
  </si>
  <si>
    <t>2% K2CO3 + 2% methyl oleate + 0.1% Tween 60 emulsifier (Dipped once)</t>
  </si>
  <si>
    <t>2% K2CO3 + 2% methyl oleate + 0.1% Tween 60 emulsifier (Dipped twice)</t>
  </si>
  <si>
    <t>2% K2CO3 + 2% methyl oleate + 0.1% Tween 60 emulsifier (Dipped thrice)</t>
  </si>
  <si>
    <t>May P.</t>
  </si>
  <si>
    <t>Grapes sprayed with small amounts of small-sized droplets of alkaline emulsion containing K2CO3</t>
  </si>
  <si>
    <t>Grapes sprayed with small amounts of large-sized droplets of alkaline emulsion containing K2CO3</t>
  </si>
  <si>
    <t>Grapes sprayed with moderate amounts of small-sized droplets of alkaline emulsion containing K2CO3</t>
  </si>
  <si>
    <t>Grapes sprayed with moderate amounts of large-sized droplets of alkaline emulsion containing K2CO3</t>
  </si>
  <si>
    <t>Grapes sprayed with large amounts of small-sized droplets of alkaline emulsion containing K2CO3</t>
  </si>
  <si>
    <t>Grapes sprayed with large amounts of large-sized droplets of alkaline emulsion containing K2CO3</t>
  </si>
  <si>
    <t>Grapes completely immersed in alkaline emulsion containing K2CO3</t>
  </si>
  <si>
    <t>Eissen W.</t>
  </si>
  <si>
    <t>7% K2CO3 + 0.4% olive oil</t>
  </si>
  <si>
    <t>2.5% K2CO3 + 2% ethyl oleate</t>
  </si>
  <si>
    <t>Alvarez P.</t>
  </si>
  <si>
    <t>Raouzeos G. S.</t>
  </si>
  <si>
    <t>2.5% K2CO3 + 2% ethyl oleate (80°C, 30 sec)</t>
  </si>
  <si>
    <t>Riva M.</t>
  </si>
  <si>
    <t>Ruby</t>
  </si>
  <si>
    <t>2.5% K2CO3 + 3% ethyl oleate (40°C, 3 min)</t>
  </si>
  <si>
    <t>Emerald</t>
  </si>
  <si>
    <t>Goswami D. Y.</t>
  </si>
  <si>
    <t>Fohr J. P.</t>
  </si>
  <si>
    <t>7% K2CO3 + 0.4% (v/v) olive oil (boiling, 10 sec)</t>
  </si>
  <si>
    <t>Sharma V. K.</t>
  </si>
  <si>
    <t>Tulasidas T. N.</t>
  </si>
  <si>
    <t>MicroWave</t>
  </si>
  <si>
    <t>Grabowski S.</t>
  </si>
  <si>
    <t>Fluidized bed</t>
  </si>
  <si>
    <t>Untreated (fluidized bed drying, fluidized bed material: sugar)</t>
  </si>
  <si>
    <t>Tiris C.</t>
  </si>
  <si>
    <t>5% K2CO3 + 0.5% olive oil (Also called potasa) (Ambient temp., 30 sec)</t>
  </si>
  <si>
    <t>Kostaropoulos A. E.</t>
  </si>
  <si>
    <t>2.5% K2CO3 + 0.5% olive oil (Ambient temp., 1 min)</t>
  </si>
  <si>
    <t>2.5% K2CO3 + 0.5% olive oil (Ambient temp., 1 min) + MW heating (430 W, 1 min)</t>
  </si>
  <si>
    <t>2.5% K2CO3 + 0.5% olive oil (Ambient temp., 1 min) + MW heating (325 W, 2 min)</t>
  </si>
  <si>
    <t>2.5% K2CO3 + 0.5% olive oil (Ambient temp., 1 min) + MW heating (215 W, 2 min)</t>
  </si>
  <si>
    <t>Microwave</t>
  </si>
  <si>
    <t>Microwave Only</t>
  </si>
  <si>
    <t>2.5% K2CO3 + 0.5% olive oil (Ambient temp., 1 min) + MW heating (325 W, 30 sec)</t>
  </si>
  <si>
    <t>2.5% K2CO3 + 0.5% olive oil (Ambient temp., 1 min) + MW heating (325 W, 1 min)</t>
  </si>
  <si>
    <t>Blanched (boiling water treatment, 30 sec)</t>
  </si>
  <si>
    <t>Raghavan G. S. V.</t>
  </si>
  <si>
    <t>Dincer I.</t>
  </si>
  <si>
    <t>4.74% (w/w) K2CO3 + 0.48% (w/w) olive oil (Also called potasa solution) (Dipped 6 times)</t>
  </si>
  <si>
    <t>4% (w/w) K2CO3 + 2% (w/w) mixture A (Also called present solution) (Dipped 6 times)</t>
  </si>
  <si>
    <t>Mahmutoğlu T.</t>
  </si>
  <si>
    <t>5% K2CO3 + 2% ethyl oleate (ambient temp., 20-25 sec) on concrete</t>
  </si>
  <si>
    <t>5% K2CO3 + 2% ethyl oleate (ambient temp., 20-25 sec) on canvas</t>
  </si>
  <si>
    <t>5% K2CO3 + 2% ethyl oleate (ambient temp., 20-25 sec) on wooden racks</t>
  </si>
  <si>
    <t>5% K2CO3 + 2% ethyl oleate (ambient temp., 20-25 sec)</t>
  </si>
  <si>
    <t>SO2 treatment + 5% K2CO3 + 2% ethyl oleate (ambient temp., 20-25 sec)</t>
  </si>
  <si>
    <t>Simal S.</t>
  </si>
  <si>
    <t>Flame</t>
  </si>
  <si>
    <t>7% (w/w) K2CO3 + 0.4% (v/v) olive oil</t>
  </si>
  <si>
    <t>2.5% K2CO3 + 3% ethyl oleate</t>
  </si>
  <si>
    <t>Ghiaus A. G.</t>
  </si>
  <si>
    <t>Karathanos V. G.</t>
  </si>
  <si>
    <t>2% KHCO3 + 0.2% olive oil</t>
  </si>
  <si>
    <t>Vázquez G.</t>
  </si>
  <si>
    <t>Muscatel</t>
  </si>
  <si>
    <t>Untreated Muscatel grapes dried without washing</t>
  </si>
  <si>
    <t>Untreated Muscatel grapes dried after washing for 20 seconds</t>
  </si>
  <si>
    <t>Muscatel grapes washed for 10 seconds, treated with 7% (w/w) K2CO3 solution (at 20°C, for 20 seconds), washed again for 10 seconds, and then dried</t>
  </si>
  <si>
    <t>Muscatel grapes washed for 10 seconds, treated with 7% (w/w) K2CO3 + 0.4% (v/v) olive oil solution (at 20°C, for 20 seconds), washed again for 10 seconds, and then dried</t>
  </si>
  <si>
    <t>Italia</t>
  </si>
  <si>
    <t>Untreated Italia grapes dried without washing</t>
  </si>
  <si>
    <t>Untreated Italia grapes dried after washing for 20 seconds</t>
  </si>
  <si>
    <t>Italia grapes washed for 10 seconds, treated with 7% (w/w) K2CO3 solution (at 20°C, for 20 seconds), washed again for 10 seconds, and then dried</t>
  </si>
  <si>
    <t>Italia grapes washed for 10 seconds, treated with 7% (w/w) K2CO3 + 0.4% (v/v) olive oil solution (at 20°C, for 20 seconds), washed again for 10 seconds, and then dried</t>
  </si>
  <si>
    <t>Aledo</t>
  </si>
  <si>
    <t>Untreated Aledo grapes dried without washing</t>
  </si>
  <si>
    <t>Untreated Aledo grapes dried after washing for 20 seconds</t>
  </si>
  <si>
    <t>Aledo grapes washed for 10 seconds, treated with 7% (w/w) K2CO3 solution (at 20°C, for 20 seconds), washed again for 10 seconds, and then dried</t>
  </si>
  <si>
    <t>Aledo grapes washed for 10 seconds, treated with 7% (w/w) K2CO3 + 0.4% (v/v) olive oil solution (at 20°C, for 20 seconds), washed again for 10 seconds, and then dried</t>
  </si>
  <si>
    <t>Aledo grapes washed for 10 seconds, treated with 7% (w/w) K2CO3 solution (at 20°C, for 20 seconds), and dried without washing</t>
  </si>
  <si>
    <t>Aledo grapes washed for 10 seconds, treated with 7% (w/w) K2CO3 solution (at 20°C, for 60 seconds), and dried without washing</t>
  </si>
  <si>
    <t>Aledo grapes washed for 10 seconds, treated with 7% (w/w) K2CO3 + 0.4% (v/v) olive oil solution (at 20°C, for 20 seconds), and dried without washing</t>
  </si>
  <si>
    <t>Aledo grapes washed for 10 seconds, treated with 7% (w/w) K2CO3 + 0.4% (v/v) olive oil solution (at 20°C, for 60 seconds), and dried without washing</t>
  </si>
  <si>
    <t>Aledo grapes washed for 10 seconds, treated with 7% (w/w) K2CO3 solution (at 20°C, for 180 seconds), and dried without washing</t>
  </si>
  <si>
    <t>Aledo grapes washed for 10 seconds, treated with 7% (w/w) K2CO3 solution (at 20°C, for 600 seconds), and dried without washing</t>
  </si>
  <si>
    <t>Aledo grapes washed for 10 seconds, treated with 7% (w/w) K2CO3 + 0.4% (v/v) olive oil solution (at 20°C, for 180 seconds), and dried without washing</t>
  </si>
  <si>
    <t>Aledo grapes washed for 10 seconds, treated with 7% (w/w) K2CO3 + 0.4% (v/v) olive oil solution (at 20°C, for 600 seconds), and dried without washing</t>
  </si>
  <si>
    <t>Aledo grapes washed for 10 seconds, treated with 7% (w/w) K2CO3 solution (at 40°C, for 180 seconds), and dried without washing</t>
  </si>
  <si>
    <t>Aledo grapes washed for 10 seconds, treated with 7% (w/w) K2CO3 solution (at 55°C, for 180 seconds), and dried without washing</t>
  </si>
  <si>
    <t>Aledo grapes washed for 10 seconds, treated with 7% (w/w) K2CO3 + 0.4% (v/v) olive oil solution (at 40°C, for 180 seconds), and dried without washing</t>
  </si>
  <si>
    <t>Aledo grapes washed for 10 seconds, treated with 7% (w/w) K2CO3 + 0.4% (v/v) olive oil solution (at 55°C, for 180 seconds), and dried without washing</t>
  </si>
  <si>
    <t>Kiranoudis C. T.</t>
  </si>
  <si>
    <t>Fontaine J.</t>
  </si>
  <si>
    <t>Gabas A. L.</t>
  </si>
  <si>
    <t>2% CaCO3 + 3% ethyl oleate (50°C, 30 sec)</t>
  </si>
  <si>
    <t>2% CaCO3 + 2% ethyl oleate (50°C, 30 sec)</t>
  </si>
  <si>
    <t>2% CaCO3 + 1% ethyl oleate (50°C, 30 sec)</t>
  </si>
  <si>
    <t>2% CaCO3 emulsion (50°C, 30 sec)</t>
  </si>
  <si>
    <t>Pangavhane D. R.</t>
  </si>
  <si>
    <t>2.5% K2CO3 + 2% commercial dipping oil</t>
  </si>
  <si>
    <t>Sawhney R. L.</t>
  </si>
  <si>
    <t>Bawa A. S.</t>
  </si>
  <si>
    <t>Matteo M. D.</t>
  </si>
  <si>
    <t>Nevado</t>
  </si>
  <si>
    <t>Grapes abraded in a shaker</t>
  </si>
  <si>
    <t>7% (w/w) K2CO3 (20°C, 20 sec)</t>
  </si>
  <si>
    <t>7% (w/w) K2CO3 (20°C, 60 sec)</t>
  </si>
  <si>
    <t>7% (w/w) K2CO3 (20°C, 180 sec)</t>
  </si>
  <si>
    <t>7% (w/w) K2CO3 + 0.4% (v/v) olive oil (20°C, 20 sec)</t>
  </si>
  <si>
    <t>7% (w/w) K2CO3 + 0.4% (v/v) olive oil (20°C, 60 sec)</t>
  </si>
  <si>
    <t>7% (w/w) K2CO3 + 0.4% (v/v) olive oil (20°C, 180 sec)</t>
  </si>
  <si>
    <t>De-stalked</t>
  </si>
  <si>
    <t>Peeled</t>
  </si>
  <si>
    <t>Pahlavanzadeh H.</t>
  </si>
  <si>
    <t>5% (w/v) K2CO3 + 0.4% (v/v) olive oil</t>
  </si>
  <si>
    <t>Yaldiz O.</t>
  </si>
  <si>
    <t>6% K2CO3 + 0.5% olive oil</t>
  </si>
  <si>
    <t>Azzouz S.</t>
  </si>
  <si>
    <t>Chasselas</t>
  </si>
  <si>
    <t>Doymaz İ.</t>
  </si>
  <si>
    <t>5% (w/v) K2CO3 + 0.5% (w/v) olive oil</t>
  </si>
  <si>
    <t>5% (w/v) K2CO3 + 2% (w/v) ethyl oleate</t>
  </si>
  <si>
    <t>El-Sebaii A. A.</t>
  </si>
  <si>
    <t>2.5% K2CO3 + 2% commercial dipping oil (ambient temp., 3 min)</t>
  </si>
  <si>
    <t>Abene A.</t>
  </si>
  <si>
    <t>Toğrul İ. T.</t>
  </si>
  <si>
    <t>5% K2CO3 + 0.5% olive oil (ambient temp., 2 min)</t>
  </si>
  <si>
    <t>Bauman I.</t>
  </si>
  <si>
    <t>Red</t>
  </si>
  <si>
    <t>Grapes were blanched, cooked (necessary additives added) and treated with SO2 and starch solution (Whole grapes)</t>
  </si>
  <si>
    <t>Grapes were blanched, cooked (necessary additives added) and treated with SO2 and starch solution (Halved grapes)</t>
  </si>
  <si>
    <t>Fadhel A.</t>
  </si>
  <si>
    <t>Salengke S.</t>
  </si>
  <si>
    <t>Ohmic pretreatment (30 Hz)</t>
  </si>
  <si>
    <t>Ohmic pretreatment (60 Hz)</t>
  </si>
  <si>
    <t>Ohmic pretreatment (7.5 kHz)</t>
  </si>
  <si>
    <t>Ben Mabrouk S.</t>
  </si>
  <si>
    <t>Tunisian</t>
  </si>
  <si>
    <t>Bennamoun L.</t>
  </si>
  <si>
    <t>5% K2CO3 + 0.5% olive oil</t>
  </si>
  <si>
    <t>Telis V. R. N.</t>
  </si>
  <si>
    <t>2% K2CO3 + 0.5% olive oil (30 sec)</t>
  </si>
  <si>
    <t>6% K2CO3 + 0.5% olive oil (30 sec)</t>
  </si>
  <si>
    <t>4% K2CO3 + 1.5% olive oil (30 sec)</t>
  </si>
  <si>
    <t>2% K2CO3 + 2.5% olive oil (30 sec)</t>
  </si>
  <si>
    <t>6% K2CO3 + 2.5% olive oil (30 sec)</t>
  </si>
  <si>
    <t>6% K2CO3 (2 min)</t>
  </si>
  <si>
    <t>6% K2CO3 + 0.5% olive oil (2 min)</t>
  </si>
  <si>
    <t>6% K2CO3 + 2.5% olive oil (2 min)</t>
  </si>
  <si>
    <t>2% lecithin (2 min)</t>
  </si>
  <si>
    <t>2% lecithin (5 min)</t>
  </si>
  <si>
    <t>4% lecithin (2 min)</t>
  </si>
  <si>
    <t>4% lecithin (5 min)</t>
  </si>
  <si>
    <t>Al-Juamily K. E. J.</t>
  </si>
  <si>
    <t>Esmaiili M. 1</t>
  </si>
  <si>
    <t>Hot water</t>
  </si>
  <si>
    <t>Ethyl oleate emulsion</t>
  </si>
  <si>
    <t>PAKSAN oil emulsion</t>
  </si>
  <si>
    <t>Esmaiili M. 2</t>
  </si>
  <si>
    <t>Margaris D. P.</t>
  </si>
  <si>
    <t>Barnwal P.</t>
  </si>
  <si>
    <t>Dev S. R. S.</t>
  </si>
  <si>
    <t>Untreated (control)</t>
  </si>
  <si>
    <t>Pulsed electric field (1 Hz)</t>
  </si>
  <si>
    <t>MW (5 W/g power density)</t>
  </si>
  <si>
    <t>MW (2 W/g power density)</t>
  </si>
  <si>
    <t>Ismail O.</t>
  </si>
  <si>
    <t>Çakmak G.</t>
  </si>
  <si>
    <t>Potasa solution</t>
  </si>
  <si>
    <t>Zomorodian A. A.</t>
  </si>
  <si>
    <t>5% K2CO3 + 2.5% vegetable oil</t>
  </si>
  <si>
    <t>Li L.</t>
  </si>
  <si>
    <t>Rathore N. S.</t>
  </si>
  <si>
    <t>Thakur A. K.</t>
  </si>
  <si>
    <t>Perlette</t>
  </si>
  <si>
    <t>Whole untreated berries</t>
  </si>
  <si>
    <t>Whole berries with superficial abrasion of peel</t>
  </si>
  <si>
    <t>Half-cut berries</t>
  </si>
  <si>
    <t>Xiao H. W.</t>
  </si>
  <si>
    <t xml:space="preserve">Monukka </t>
  </si>
  <si>
    <t>Monukka</t>
  </si>
  <si>
    <t>DECAP</t>
  </si>
  <si>
    <t>Chayjan R. A.</t>
  </si>
  <si>
    <t>2.5% K2CO3 + 2% olive oil</t>
  </si>
  <si>
    <t>Altıner P.</t>
  </si>
  <si>
    <t>4% K2CO3 + 1% olive oil (20°C, 1 min)</t>
  </si>
  <si>
    <t>Bingol G.</t>
  </si>
  <si>
    <t>5% (w/v) K2CO3 + 2% (v/v) ethyl oleate solution (30°C, 1 min)</t>
  </si>
  <si>
    <t>5% (w/v) K2CO3 + 2% (v/v) ethyl oleate solution (30°C, 2 min)</t>
  </si>
  <si>
    <t>5% (w/v) K2CO3 + 2% (v/v) ethyl oleate solution (30°C, 3 min)</t>
  </si>
  <si>
    <t>5% (w/v) K2CO3 + 2% (v/v) ethyl oleate solution (40°C, 1 min)</t>
  </si>
  <si>
    <t>5% (w/v) K2CO3 + 2% (v/v) ethyl oleate solution (40°C, 2 min)</t>
  </si>
  <si>
    <t>5% (w/v) K2CO3 + 2% (v/v) ethyl oleate solution (40°C, 3 min)</t>
  </si>
  <si>
    <t>5% (w/v) K2CO3 + 2% (v/v) ethyl oleate solution (50°C, 1 min)</t>
  </si>
  <si>
    <t>5% (w/v) K2CO3 + 2% (v/v) ethyl oleate solution (50°C, 2 min)</t>
  </si>
  <si>
    <t>5% (w/v) K2CO3 + 2% (v/v) ethyl oleate solution (50°C, 3 min)</t>
  </si>
  <si>
    <t>5% (w/v) K2CO3 + 2% (v/v) ethyl oleate solution (60°C, 1 min)</t>
  </si>
  <si>
    <t>5% (w/v) K2CO3 + 2% (v/v) ethyl oleate solution (60°C, 2 min)</t>
  </si>
  <si>
    <t>5% (w/v) K2CO3 + 2% (v/v) ethyl oleate solution (60°C, 3 min)</t>
  </si>
  <si>
    <t>Bai J. W.</t>
  </si>
  <si>
    <t>HHAIB (High-humidity hot air impingement blanching) (110°C, 30 sec)</t>
  </si>
  <si>
    <t>HHAIB (110°C, 60 sec)</t>
  </si>
  <si>
    <t>HHAIB (110°C, 90 sec)</t>
  </si>
  <si>
    <t>HHAIB (110°C, 120 sec)</t>
  </si>
  <si>
    <t>HHAIB (90°C, 90 sec)</t>
  </si>
  <si>
    <t>HHAIB (100°C, 90 sec)</t>
  </si>
  <si>
    <t>HHAIB (120°C, 90 sec)</t>
  </si>
  <si>
    <t>Khazaei N. B.</t>
  </si>
  <si>
    <t>2.5% K2CO3 + 2% olive oil (Ambient temp., 1 min)</t>
  </si>
  <si>
    <t>ELkhadraoui A.</t>
  </si>
  <si>
    <t>Ramos I. N.</t>
  </si>
  <si>
    <t>Adiletta G.</t>
  </si>
  <si>
    <t>Dipped in ethyl oleate</t>
  </si>
  <si>
    <t>Abraded</t>
  </si>
  <si>
    <t>Tiwari S.</t>
  </si>
  <si>
    <t>Zemni H.</t>
  </si>
  <si>
    <t>Chandrasekar M.</t>
  </si>
  <si>
    <t>Essalhi H.</t>
  </si>
  <si>
    <t>Hamdi I.</t>
  </si>
  <si>
    <t>Huang C. C.</t>
  </si>
  <si>
    <t>Martin-Gomez J.</t>
  </si>
  <si>
    <t>Tempranillo</t>
  </si>
  <si>
    <t>Punched</t>
  </si>
  <si>
    <t>Ashtiani S. H. M.</t>
  </si>
  <si>
    <t>Noshad M.</t>
  </si>
  <si>
    <t>Cryogenic freezing (-196°C, 1 min)</t>
  </si>
  <si>
    <t>Pawar D. A.</t>
  </si>
  <si>
    <t>Templalexis C.</t>
  </si>
  <si>
    <t>Wang D.</t>
  </si>
  <si>
    <t>2% oleic acid</t>
  </si>
  <si>
    <t>2% K2CO3</t>
  </si>
  <si>
    <t>2.5% K2CO3 + 0.5% olive oil</t>
  </si>
  <si>
    <t>6% K2CO3 + 0.5% olive oil (50°C, 2 min)</t>
  </si>
  <si>
    <t>Grapes skin removed</t>
  </si>
  <si>
    <t>Untreated grapes</t>
  </si>
  <si>
    <t>500 W 25 kHz CDA Plasma pretreatment of grapes at distance 1 cm, thrice</t>
  </si>
  <si>
    <t>500 W 25 kHz CDA Plasma pretreatment of grapes at distance 5 cm, thrice</t>
  </si>
  <si>
    <t>500 W 25 kHz CDA Plasma pretreatment of grapes at distance 1 cm, twice</t>
  </si>
  <si>
    <t>500 W 25 kHz CDA Plasma pretreatment of grapes at distance 5 cm, twice</t>
  </si>
  <si>
    <t>Cold plasma treatment (10 sec)</t>
  </si>
  <si>
    <t>Cold plasma treatment (20 sec)</t>
  </si>
  <si>
    <t>Cold plasma treatment (30 sec)</t>
  </si>
  <si>
    <t>Cold plasma treatment (40 sec)</t>
  </si>
  <si>
    <t>Cold plasma treatment (50 sec)</t>
  </si>
  <si>
    <t>Cold plasma treatment (1 min)</t>
  </si>
  <si>
    <t>2.5% K2CO3 + 1.5% ethyl oleate (ambient temp., 4 min)</t>
  </si>
  <si>
    <t>Abrasive treatment</t>
  </si>
  <si>
    <t>Hot Air</t>
  </si>
  <si>
    <t>Chemical</t>
  </si>
  <si>
    <t>Physical</t>
  </si>
  <si>
    <t>Freezing</t>
  </si>
  <si>
    <t>Cryogenic</t>
  </si>
  <si>
    <t>Electric</t>
  </si>
  <si>
    <t>Chemical + Microwave</t>
  </si>
  <si>
    <t>Ohmic</t>
  </si>
  <si>
    <t>Crimson</t>
  </si>
  <si>
    <t>Globe</t>
  </si>
  <si>
    <t>Seeded</t>
  </si>
  <si>
    <t>Black</t>
  </si>
  <si>
    <t>Plasma</t>
  </si>
  <si>
    <t>Sugraone</t>
  </si>
  <si>
    <t>Asgari</t>
  </si>
  <si>
    <t>Centennial</t>
  </si>
  <si>
    <t>Shade</t>
  </si>
  <si>
    <t>Open Sun</t>
  </si>
  <si>
    <t>Thomson</t>
  </si>
  <si>
    <t>Untreated Thomson currants</t>
  </si>
  <si>
    <t>Untreated whole Thomson grapes</t>
  </si>
  <si>
    <t>Do</t>
  </si>
  <si>
    <t>P_temp</t>
  </si>
  <si>
    <t>P_time</t>
  </si>
  <si>
    <t>kg_m</t>
  </si>
  <si>
    <t>kg_r</t>
  </si>
  <si>
    <t>Diff_m</t>
  </si>
  <si>
    <t>Technique</t>
  </si>
  <si>
    <t>Vel</t>
  </si>
  <si>
    <t>Temp</t>
  </si>
  <si>
    <t>Data</t>
  </si>
  <si>
    <t>Boiling 0.15% NotApplicableOH (30 sec) + 0.3% citric acid (room temp., 3 min) + 4% NotApplicable2S2O5 (room temp., 10 min)</t>
  </si>
  <si>
    <t>0.5% NotApplicableOH (80°C, 30 sec)</t>
  </si>
  <si>
    <t>3% NotApplicableOH (100°C, 10 sec)</t>
  </si>
  <si>
    <t>0.5% NotApplicableOH + 2% ethyl oleate (80°C, 30 sec)</t>
  </si>
  <si>
    <t>3% NotApplicableOH (ambient temp., 60 sec)</t>
  </si>
  <si>
    <t>0.3% NotApplicableOH + 0.4% olive oil (boiling, 25-30 sec)</t>
  </si>
  <si>
    <t>0.5% NotApplicableOH + 2% ethyl oleate</t>
  </si>
  <si>
    <t>3% NotApplicableHSO3</t>
  </si>
  <si>
    <t>0.5% NotApplicableOH + 2% ethyl oleate (fluidized bed drying, fluidized bed material: sugar)</t>
  </si>
  <si>
    <t>0.5% NotApplicableOH + 2% ethyl oleate (fluidized bed drying, fluidized bed material: mixture of 50 wt% sugar and 50 wt% semoliNotApplicable)</t>
  </si>
  <si>
    <t>NotApplicable</t>
  </si>
  <si>
    <t>0.5% NotApplicableOH + 2% ethyl oleate (MW drying)</t>
  </si>
  <si>
    <t>0.5% NotApplicableOH + 2% ethyl oleate (Power density 0.5 W/g dry basis)</t>
  </si>
  <si>
    <t>0.5% NotApplicableOH + 2% ethyl oleate (Power density 1.0 W/g dry basis)</t>
  </si>
  <si>
    <t>0.5% NotApplicableOH + 2% ethyl oleate (Power density 1.5 W/g dry basis)</t>
  </si>
  <si>
    <t>0.6% (w/w) NotApplicableOH + 4% (w/w) NotApplicable2S2O5 + 0.1% (v/v) acetic acid solution</t>
  </si>
  <si>
    <t>0.6% (w/w) NotApplicableOH + 4% (w/w) NotApplicable2S2O5 + 0.1% (w/v) chitosan + 0.1% (v/v) acetic acid solution</t>
  </si>
  <si>
    <t>4% (w/w) NotApplicable2S2O5 + 2.5% (w/w) K2CO3 + 3% (w/w) ethyl oleate</t>
  </si>
  <si>
    <t>0.6% (w/w) NotApplicableOH</t>
  </si>
  <si>
    <t>0.5% NotApplicableOH</t>
  </si>
  <si>
    <t>0.5% NotApplicableOH + 3% ethyl oleate</t>
  </si>
  <si>
    <t>0.5% NotApplicableOH + 2% ethyl oleate (Washed twice with tap water, free gravity drained and dried immediately)</t>
  </si>
  <si>
    <t>0.5% NotApplicableOH + 2% ethyl oleate (Not washed, free gravity drained and dried immediately)</t>
  </si>
  <si>
    <t>0.5% NotApplicableOH + 2% ethyl oleate (Not washed and dried after 1 hour holding time)</t>
  </si>
  <si>
    <t>Aledo grapes washed for 10 seconds, treated with 0.5% (w/w) NotApplicableOH solution (at 20°C, for 20 seconds), washed again for 10 seconds, and then dried</t>
  </si>
  <si>
    <t>Aledo grapes washed for 10 seconds, treated with 0.5% (w/w) NotApplicableOH solution (at 20°C, for 60 seconds), washed again for 10 seconds, and then dried</t>
  </si>
  <si>
    <t>Aledo grapes washed for 10 seconds, treated with 0.5% (w/w) NotApplicableOH solution (at 20°C, for 180 seconds), washed again for 10 seconds, and then dried</t>
  </si>
  <si>
    <t>Aledo grapes washed for 10 seconds, treated with 0.5% (w/w) NotApplicableOH solution (at 20°C, for 600 seconds), washed again for 10 seconds, and then dried</t>
  </si>
  <si>
    <t>Aledo grapes washed for 10 seconds, treated with 0.5% (w/w) NotApplicableOH solution (at 60°C, for 20 seconds), washed again for 10 seconds, and then dried</t>
  </si>
  <si>
    <t>Aledo grapes washed for 10 seconds, treated with 0.5% (w/w) NotApplicableOH solution (at 60°C, for 60 seconds), washed again for 10 seconds, and then dried</t>
  </si>
  <si>
    <t>Aledo grapes washed for 10 seconds, treated with 0.5% (w/w) NotApplicableOH solution (at 60°C, for 180 seconds), washed again for 10 seconds, and then dried</t>
  </si>
  <si>
    <t>Aledo grapes washed for 10 seconds, treated with 0.5% (w/w) NotApplicableOH solution (at 60°C, for 600 seconds), washed again for 10 seconds, and then dried</t>
  </si>
  <si>
    <t>1% NotApplicableOH (80°C, 15 sec) + 0.2% K2S2O5 (Control)</t>
  </si>
  <si>
    <t>1% NotApplicableOH (80°C, 15 sec) + 0.2% K2S2O5 + 60°B honey solution</t>
  </si>
  <si>
    <t>1% NotApplicableOH (80°C, 15 sec) + 0.2% K2S2O5 + 60°B sugar solution</t>
  </si>
  <si>
    <t>0.5% (w/w) NotApplicableOH (20°C, 20 sec)</t>
  </si>
  <si>
    <t>0.5% (w/w) NotApplicableOH (20°C, 60 sec)</t>
  </si>
  <si>
    <t>0.5% (w/w) NotApplicableOH (20°C, 180 sec)</t>
  </si>
  <si>
    <t>0.5% (w/w) NotApplicableOH (20°C, 600 sec)</t>
  </si>
  <si>
    <t>0.5% (w/w) NotApplicableOH (60°C, 20 sec)</t>
  </si>
  <si>
    <t>0.5% (w/w) NotApplicableOH (60°C, 60 sec)</t>
  </si>
  <si>
    <t>0.5% (w/w) NotApplicableOH (60°C, 180 sec)</t>
  </si>
  <si>
    <t>0.5% (w/w) NotApplicableOH (60°C, 600 sec)</t>
  </si>
  <si>
    <t>0.5% (w/w) NotApplicableOH + 7% (w/w) K2CO3 + 0.4% (v/v) olive oil (20°C, 20 sec)</t>
  </si>
  <si>
    <t>0.5% (w/w) NotApplicableOH + 15% (w/w) K2CO3 + 0.8% (v/v) olive oil (20°C, 20 sec)</t>
  </si>
  <si>
    <t>2% (w/v) NotApplicableOH (85°C, 2 sec)</t>
  </si>
  <si>
    <t>0.15% (w/v) NotApplicableOH (100°C, 15 sec)</t>
  </si>
  <si>
    <t>4% (w/v) NotApplicable2CO3 (42°C, 1 min)</t>
  </si>
  <si>
    <t>1% NotApplicableOH (90°C, 2-3 sec) (Immersed twice or thrice successively)</t>
  </si>
  <si>
    <t>1% NotApplicableOH (90°C, 2-3 seconds, immersed twice or thrice successively)</t>
  </si>
  <si>
    <t>2.5% NotApplicable2CO3 + 2% ethyl oleate</t>
  </si>
  <si>
    <t>2.5% NotApplicableOH + 2% ethyl oleate</t>
  </si>
  <si>
    <t>2% (w/w) NotApplicableOH + 2% (v/v) ethyl oleate (80°C, 30 sec)</t>
  </si>
  <si>
    <t>1% NotApplicableOH (90°C, 3 sec, dipped twice or thrice successively)</t>
  </si>
  <si>
    <t>1% NotApplicableOH (90°C, 3 sec)</t>
  </si>
  <si>
    <t>0.5% (w/w) NotApplicableOH + 2% (v/v) ethyl oleate (80°C, 30 sec)</t>
  </si>
  <si>
    <t>ConventioNotApplicablel freezing (-20°C, 24 h)</t>
  </si>
  <si>
    <t>Chemical pretreatment of grapes contamiNotApplicableted with OTA</t>
  </si>
  <si>
    <t>Chemical pretreatment of grapes free from OTA contamiNotApplicabletion</t>
  </si>
  <si>
    <t>Grapes treated with a promoter (mixture of KOH, NotApplicable2CO3 and lipid)</t>
  </si>
  <si>
    <t>MW</t>
  </si>
  <si>
    <t>Pulsed</t>
  </si>
  <si>
    <t>Eletrci</t>
  </si>
  <si>
    <t>F</t>
  </si>
  <si>
    <t>Delight</t>
  </si>
  <si>
    <t>Rodi</t>
  </si>
  <si>
    <t>ConMic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</si>
</sst>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1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2" xfId="0" applyFont="1" applyBorder="1" applyAlignment="1">
      <alignment horizontal="right" vertical="center"/>
    </xf>
    <xf numFmtId="0" fontId="1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/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11" fontId="1" fillId="0" borderId="3" xfId="0" applyNumberFormat="1" applyFont="1" applyBorder="1" applyAlignment="1">
      <alignment horizontal="right" vertical="center"/>
    </xf>
    <xf numFmtId="0" fontId="1" fillId="0" borderId="3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" fontId="1" fillId="3" borderId="2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2" fontId="1" fillId="5" borderId="2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2" fontId="1" fillId="3" borderId="3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3" fillId="3" borderId="0" xfId="0" applyNumberFormat="1" applyFont="1" applyFill="1" applyAlignment="1">
      <alignment horizontal="right" vertical="center"/>
    </xf>
    <xf numFmtId="2" fontId="3" fillId="5" borderId="2" xfId="0" applyNumberFormat="1" applyFont="1" applyFill="1" applyBorder="1" applyAlignment="1">
      <alignment horizontal="right" vertical="center"/>
    </xf>
    <xf numFmtId="2" fontId="3" fillId="5" borderId="0" xfId="0" applyNumberFormat="1" applyFont="1" applyFill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164" fontId="1" fillId="0" borderId="0" xfId="0" applyNumberFormat="1" applyFont="1"/>
    <xf numFmtId="165" fontId="1" fillId="3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/>
    <xf numFmtId="165" fontId="1" fillId="2" borderId="0" xfId="0" applyNumberFormat="1" applyFont="1" applyFill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5" fontId="1" fillId="5" borderId="2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5" fontId="1" fillId="3" borderId="3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6" fontId="1" fillId="0" borderId="3" xfId="0" applyNumberFormat="1" applyFont="1" applyBorder="1" applyAlignment="1">
      <alignment horizontal="right" vertical="center"/>
    </xf>
    <xf numFmtId="165" fontId="3" fillId="5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5" fontId="3" fillId="5" borderId="2" xfId="0" applyNumberFormat="1" applyFont="1" applyFill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5" fontId="1" fillId="5" borderId="0" xfId="0" applyNumberFormat="1" applyFont="1" applyFill="1"/>
    <xf numFmtId="165" fontId="1" fillId="5" borderId="2" xfId="0" applyNumberFormat="1" applyFont="1" applyFill="1" applyBorder="1"/>
    <xf numFmtId="2" fontId="1" fillId="2" borderId="0" xfId="0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165" fontId="1" fillId="5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AR559"/>
  <sheetViews>
    <sheetView tabSelected="1" zoomScaleNormal="100" workbookViewId="0">
      <pane ySplit="1" topLeftCell="A2" activePane="bottomLeft" state="frozen"/>
      <selection activeCell="H90" sqref="H90"/>
      <selection pane="bottomLeft" activeCell="C23" sqref="C23"/>
    </sheetView>
  </sheetViews>
  <sheetFormatPr defaultRowHeight="15" customHeight="1" x14ac:dyDescent="0.25"/>
  <cols>
    <col min="1" max="2" width="7.5703125" style="84" customWidth="1"/>
    <col min="3" max="3" width="18.5703125" style="84" customWidth="1"/>
    <col min="4" max="4" width="7.5703125" style="5" customWidth="1"/>
    <col min="5" max="10" width="7.5703125" style="84" customWidth="1"/>
    <col min="11" max="11" width="11.5703125" style="84" customWidth="1"/>
    <col min="12" max="12" width="24.7109375" style="6" customWidth="1"/>
    <col min="13" max="13" width="24.7109375" style="84" customWidth="1"/>
    <col min="14" max="14" width="13.5703125" style="84" customWidth="1"/>
    <col min="15" max="15" width="13.5703125" style="85" customWidth="1"/>
    <col min="16" max="16" width="13.5703125" style="84" customWidth="1"/>
    <col min="17" max="17" width="13.5703125" style="44" customWidth="1"/>
    <col min="18" max="19" width="13.5703125" style="84" customWidth="1"/>
    <col min="20" max="43" width="11.42578125" style="84" customWidth="1"/>
    <col min="44" max="44" width="116.28515625" style="84" customWidth="1"/>
    <col min="45" max="16384" width="9.140625" style="84"/>
  </cols>
  <sheetData>
    <row r="1" spans="1:44" s="5" customFormat="1" ht="15" customHeigh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318</v>
      </c>
      <c r="F1" s="2" t="s">
        <v>316</v>
      </c>
      <c r="G1" s="2" t="s">
        <v>317</v>
      </c>
      <c r="H1" s="2" t="s">
        <v>3</v>
      </c>
      <c r="I1" s="2" t="s">
        <v>7</v>
      </c>
      <c r="J1" s="2" t="s">
        <v>8</v>
      </c>
      <c r="K1" s="2" t="s">
        <v>4</v>
      </c>
      <c r="L1" s="2" t="s">
        <v>315</v>
      </c>
      <c r="M1" s="2" t="s">
        <v>29</v>
      </c>
      <c r="N1" s="2" t="s">
        <v>310</v>
      </c>
      <c r="O1" s="2" t="s">
        <v>311</v>
      </c>
      <c r="P1" s="2" t="s">
        <v>313</v>
      </c>
      <c r="Q1" s="2" t="s">
        <v>312</v>
      </c>
      <c r="R1" s="2" t="s">
        <v>9</v>
      </c>
      <c r="S1" s="2" t="s">
        <v>314</v>
      </c>
      <c r="T1" s="86" t="s">
        <v>309</v>
      </c>
      <c r="U1" s="86" t="s">
        <v>10</v>
      </c>
      <c r="V1" s="86" t="s">
        <v>11</v>
      </c>
      <c r="W1" s="86" t="s">
        <v>12</v>
      </c>
      <c r="X1" s="86" t="s">
        <v>13</v>
      </c>
      <c r="Y1" s="86" t="s">
        <v>30</v>
      </c>
      <c r="Z1" s="86" t="s">
        <v>14</v>
      </c>
      <c r="AA1" s="86" t="s">
        <v>15</v>
      </c>
      <c r="AB1" s="86" t="s">
        <v>16</v>
      </c>
      <c r="AC1" s="86" t="s">
        <v>17</v>
      </c>
      <c r="AD1" s="86" t="s">
        <v>18</v>
      </c>
      <c r="AE1" s="86" t="s">
        <v>19</v>
      </c>
      <c r="AF1" s="86" t="s">
        <v>20</v>
      </c>
      <c r="AG1" s="86" t="s">
        <v>21</v>
      </c>
      <c r="AH1" s="86" t="s">
        <v>22</v>
      </c>
      <c r="AI1" s="86" t="s">
        <v>22</v>
      </c>
      <c r="AJ1" s="86" t="s">
        <v>23</v>
      </c>
      <c r="AK1" s="86" t="s">
        <v>24</v>
      </c>
      <c r="AL1" s="86" t="s">
        <v>25</v>
      </c>
      <c r="AM1" s="86" t="s">
        <v>26</v>
      </c>
      <c r="AN1" s="86" t="s">
        <v>26</v>
      </c>
      <c r="AO1" s="86" t="s">
        <v>27</v>
      </c>
      <c r="AP1" s="86" t="s">
        <v>28</v>
      </c>
      <c r="AQ1" s="86" t="s">
        <v>28</v>
      </c>
      <c r="AR1" s="86" t="s">
        <v>29</v>
      </c>
    </row>
    <row r="2" spans="1:44" ht="15" customHeight="1" x14ac:dyDescent="0.25">
      <c r="A2" s="3">
        <v>1</v>
      </c>
      <c r="B2" s="3">
        <v>1970</v>
      </c>
      <c r="C2" s="27" t="s">
        <v>31</v>
      </c>
      <c r="D2" s="3">
        <v>1</v>
      </c>
      <c r="E2" s="11">
        <v>4</v>
      </c>
      <c r="F2" s="30">
        <v>0.01</v>
      </c>
      <c r="G2" s="45">
        <v>27</v>
      </c>
      <c r="H2" s="45">
        <v>50</v>
      </c>
      <c r="I2" s="14">
        <v>500</v>
      </c>
      <c r="J2" s="46">
        <v>0.48230000000000001</v>
      </c>
      <c r="K2" s="27" t="s">
        <v>306</v>
      </c>
      <c r="L2" s="27" t="s">
        <v>32</v>
      </c>
      <c r="M2" s="27" t="s">
        <v>289</v>
      </c>
      <c r="N2" s="27">
        <v>25</v>
      </c>
      <c r="O2" s="27">
        <v>180</v>
      </c>
      <c r="P2" s="11"/>
      <c r="Q2" s="47">
        <v>13.93</v>
      </c>
      <c r="R2" s="4"/>
      <c r="S2" s="4">
        <v>6.4047819159271865E-3</v>
      </c>
      <c r="T2" s="4">
        <v>1250000000</v>
      </c>
      <c r="U2" s="11">
        <v>1583</v>
      </c>
      <c r="V2" s="4">
        <v>1.592E-2</v>
      </c>
      <c r="W2" s="4">
        <v>2.3040000000000001E-2</v>
      </c>
      <c r="X2" s="4">
        <v>0.54900000000000004</v>
      </c>
      <c r="Y2" s="11">
        <v>29.6</v>
      </c>
      <c r="Z2" s="11">
        <v>1075</v>
      </c>
      <c r="AA2" s="11">
        <v>150</v>
      </c>
      <c r="AB2" s="81">
        <f t="shared" ref="AB2:AB33" si="0">POWER(3/(4*PI())*AE2/AA2,1/3)</f>
        <v>0.68549279487529946</v>
      </c>
      <c r="AC2" s="81">
        <f t="shared" ref="AC2:AC65" si="1">AD2-AF2</f>
        <v>37.57571999999999</v>
      </c>
      <c r="AD2" s="81">
        <f>150*1.45046</f>
        <v>217.56900000000002</v>
      </c>
      <c r="AE2" s="81">
        <f t="shared" ref="AE2:AE33" si="2">AD2/Z2*1000</f>
        <v>202.3897674418605</v>
      </c>
      <c r="AF2" s="81">
        <f>AI2*AD2</f>
        <v>179.99328000000003</v>
      </c>
      <c r="AG2" s="83">
        <v>1</v>
      </c>
      <c r="AH2" s="83">
        <f t="shared" ref="AH2:AH7" si="3">AI2/(1-AI2)</f>
        <v>4.7901485320840163</v>
      </c>
      <c r="AI2" s="83">
        <f>(AD2-AA2*0.29822*(1-AQ2))/AD2</f>
        <v>0.82729285881720283</v>
      </c>
      <c r="AJ2" s="81">
        <f t="shared" ref="AJ2:AJ65" si="4">AC2/(1-AQ2)</f>
        <v>44.73299999999999</v>
      </c>
      <c r="AK2" s="81">
        <f t="shared" ref="AK2:AK65" si="5">AJ2/1290*1000</f>
        <v>34.676744186046506</v>
      </c>
      <c r="AL2" s="81">
        <f t="shared" ref="AL2:AL35" si="6">AJ2*AQ2</f>
        <v>7.1572799999999983</v>
      </c>
      <c r="AM2" s="83">
        <f t="shared" ref="AM2:AM48" si="7">AN2/(1-AN2)</f>
        <v>0.14942528735632185</v>
      </c>
      <c r="AN2" s="83">
        <v>0.13</v>
      </c>
      <c r="AO2" s="83">
        <f t="shared" ref="AO2:AO30" si="8">(AP2-AM2)/(AH2-AM2)</f>
        <v>8.8457985867841597E-3</v>
      </c>
      <c r="AP2" s="83">
        <f t="shared" ref="AP2:AP7" si="9">0.16/0.84</f>
        <v>0.19047619047619049</v>
      </c>
      <c r="AQ2" s="83">
        <f t="shared" ref="AQ2:AQ28" si="10">AP2/(AP2+1)</f>
        <v>0.16</v>
      </c>
      <c r="AR2" s="27" t="s">
        <v>33</v>
      </c>
    </row>
    <row r="3" spans="1:44" ht="15" customHeight="1" x14ac:dyDescent="0.25">
      <c r="A3" s="76">
        <v>2</v>
      </c>
      <c r="B3" s="76">
        <v>1970</v>
      </c>
      <c r="C3" s="77" t="s">
        <v>31</v>
      </c>
      <c r="D3" s="76">
        <v>2</v>
      </c>
      <c r="E3" s="78">
        <v>7</v>
      </c>
      <c r="F3" s="79">
        <v>0.01</v>
      </c>
      <c r="G3" s="80">
        <v>27</v>
      </c>
      <c r="H3" s="80">
        <v>50</v>
      </c>
      <c r="I3" s="16">
        <v>716</v>
      </c>
      <c r="J3" s="48">
        <v>0.59250000000000003</v>
      </c>
      <c r="K3" s="77" t="s">
        <v>306</v>
      </c>
      <c r="L3" s="77" t="s">
        <v>304</v>
      </c>
      <c r="M3" s="77" t="s">
        <v>289</v>
      </c>
      <c r="N3" s="77">
        <v>25</v>
      </c>
      <c r="O3" s="77">
        <v>180</v>
      </c>
      <c r="P3" s="78"/>
      <c r="Q3" s="81">
        <v>15.952</v>
      </c>
      <c r="R3" s="82"/>
      <c r="S3" s="82">
        <v>6.4047819159271865E-3</v>
      </c>
      <c r="T3" s="82">
        <v>1250000000</v>
      </c>
      <c r="U3" s="78">
        <v>1583</v>
      </c>
      <c r="V3" s="82">
        <v>1.592E-2</v>
      </c>
      <c r="W3" s="82">
        <v>2.3040000000000001E-2</v>
      </c>
      <c r="X3" s="82">
        <v>0.54900000000000004</v>
      </c>
      <c r="Y3" s="78">
        <v>29.6</v>
      </c>
      <c r="Z3" s="78">
        <v>1075</v>
      </c>
      <c r="AA3" s="78">
        <v>150</v>
      </c>
      <c r="AB3" s="81">
        <f t="shared" si="0"/>
        <v>0.6853746235745124</v>
      </c>
      <c r="AC3" s="81">
        <f t="shared" si="1"/>
        <v>42.388919999999985</v>
      </c>
      <c r="AD3" s="81">
        <f>AA3*1.44971</f>
        <v>217.45650000000001</v>
      </c>
      <c r="AE3" s="81">
        <f t="shared" si="2"/>
        <v>202.28511627906977</v>
      </c>
      <c r="AF3" s="81">
        <f t="shared" ref="AF3:AF28" si="11">AD3*AI3</f>
        <v>175.06758000000002</v>
      </c>
      <c r="AG3" s="83">
        <v>1</v>
      </c>
      <c r="AH3" s="83">
        <f t="shared" si="3"/>
        <v>4.130031621470895</v>
      </c>
      <c r="AI3" s="83">
        <f>(AD3-AA3*0.33642*(1-AQ3))/AD3</f>
        <v>0.8050694276786392</v>
      </c>
      <c r="AJ3" s="81">
        <f t="shared" si="4"/>
        <v>50.462999999999987</v>
      </c>
      <c r="AK3" s="81">
        <f t="shared" si="5"/>
        <v>39.118604651162777</v>
      </c>
      <c r="AL3" s="81">
        <f t="shared" si="6"/>
        <v>8.0740799999999986</v>
      </c>
      <c r="AM3" s="83">
        <f t="shared" si="7"/>
        <v>0.14942528735632185</v>
      </c>
      <c r="AN3" s="83">
        <v>0.13</v>
      </c>
      <c r="AO3" s="83">
        <f t="shared" si="8"/>
        <v>1.0312726171401174E-2</v>
      </c>
      <c r="AP3" s="83">
        <f t="shared" si="9"/>
        <v>0.19047619047619049</v>
      </c>
      <c r="AQ3" s="83">
        <f t="shared" si="10"/>
        <v>0.16</v>
      </c>
      <c r="AR3" s="77" t="s">
        <v>33</v>
      </c>
    </row>
    <row r="4" spans="1:44" ht="15" customHeight="1" x14ac:dyDescent="0.25">
      <c r="A4" s="76">
        <v>3</v>
      </c>
      <c r="B4" s="76">
        <v>1970</v>
      </c>
      <c r="C4" s="77" t="s">
        <v>31</v>
      </c>
      <c r="D4" s="76">
        <v>3</v>
      </c>
      <c r="E4" s="78">
        <v>5</v>
      </c>
      <c r="F4" s="79">
        <v>0.01</v>
      </c>
      <c r="G4" s="80">
        <v>27</v>
      </c>
      <c r="H4" s="80">
        <v>50</v>
      </c>
      <c r="I4" s="16">
        <v>376</v>
      </c>
      <c r="J4" s="48">
        <v>0.37719999999999998</v>
      </c>
      <c r="K4" s="77" t="s">
        <v>306</v>
      </c>
      <c r="L4" s="77" t="s">
        <v>305</v>
      </c>
      <c r="M4" s="77" t="s">
        <v>289</v>
      </c>
      <c r="N4" s="77">
        <v>25</v>
      </c>
      <c r="O4" s="77">
        <v>180</v>
      </c>
      <c r="P4" s="78"/>
      <c r="Q4" s="81">
        <v>32.96</v>
      </c>
      <c r="R4" s="82"/>
      <c r="S4" s="82">
        <v>6.4047819159271865E-3</v>
      </c>
      <c r="T4" s="82">
        <v>1250000000</v>
      </c>
      <c r="U4" s="78">
        <v>1583</v>
      </c>
      <c r="V4" s="82">
        <v>1.592E-2</v>
      </c>
      <c r="W4" s="82">
        <v>2.3040000000000001E-2</v>
      </c>
      <c r="X4" s="82">
        <v>0.54900000000000004</v>
      </c>
      <c r="Y4" s="78">
        <v>29.6</v>
      </c>
      <c r="Z4" s="78">
        <v>1075</v>
      </c>
      <c r="AA4" s="78">
        <v>150</v>
      </c>
      <c r="AB4" s="81">
        <f t="shared" si="0"/>
        <v>0.68526744636156767</v>
      </c>
      <c r="AC4" s="81">
        <f t="shared" si="1"/>
        <v>50.350860000000011</v>
      </c>
      <c r="AD4" s="81">
        <f>150*1.44903</f>
        <v>217.3545</v>
      </c>
      <c r="AE4" s="81">
        <f t="shared" si="2"/>
        <v>202.19023255813954</v>
      </c>
      <c r="AF4" s="81">
        <f t="shared" si="11"/>
        <v>167.00363999999999</v>
      </c>
      <c r="AG4" s="83">
        <v>1</v>
      </c>
      <c r="AH4" s="83">
        <f t="shared" si="3"/>
        <v>3.3167981639241102</v>
      </c>
      <c r="AI4" s="83">
        <f>(AD4-AA4*0.39961*(1-AQ4))/AD4</f>
        <v>0.7683468251174923</v>
      </c>
      <c r="AJ4" s="81">
        <f t="shared" si="4"/>
        <v>59.941500000000019</v>
      </c>
      <c r="AK4" s="81">
        <f t="shared" si="5"/>
        <v>46.466279069767452</v>
      </c>
      <c r="AL4" s="81">
        <f t="shared" si="6"/>
        <v>9.5906400000000041</v>
      </c>
      <c r="AM4" s="83">
        <f t="shared" si="7"/>
        <v>0.14942528735632185</v>
      </c>
      <c r="AN4" s="83">
        <v>0.13</v>
      </c>
      <c r="AO4" s="83">
        <f t="shared" si="8"/>
        <v>1.2960552710280199E-2</v>
      </c>
      <c r="AP4" s="83">
        <f t="shared" si="9"/>
        <v>0.19047619047619049</v>
      </c>
      <c r="AQ4" s="83">
        <f t="shared" si="10"/>
        <v>0.16</v>
      </c>
      <c r="AR4" s="77" t="s">
        <v>33</v>
      </c>
    </row>
    <row r="5" spans="1:44" ht="15" hidden="1" customHeight="1" x14ac:dyDescent="0.25">
      <c r="A5" s="76">
        <v>4</v>
      </c>
      <c r="B5" s="76">
        <v>1970</v>
      </c>
      <c r="C5" s="77" t="s">
        <v>31</v>
      </c>
      <c r="D5" s="76">
        <v>4</v>
      </c>
      <c r="E5" s="78">
        <v>6</v>
      </c>
      <c r="F5" s="79">
        <v>0.01</v>
      </c>
      <c r="G5" s="80">
        <v>27</v>
      </c>
      <c r="H5" s="80">
        <v>50</v>
      </c>
      <c r="I5" s="16">
        <v>912</v>
      </c>
      <c r="J5" s="48">
        <v>2.3778000000000001</v>
      </c>
      <c r="K5" s="77" t="s">
        <v>306</v>
      </c>
      <c r="L5" s="77" t="s">
        <v>32</v>
      </c>
      <c r="M5" s="77" t="s">
        <v>34</v>
      </c>
      <c r="N5" s="77" t="s">
        <v>34</v>
      </c>
      <c r="O5" s="77" t="s">
        <v>34</v>
      </c>
      <c r="P5" s="78"/>
      <c r="Q5" s="81">
        <v>5.7750000000000004</v>
      </c>
      <c r="R5" s="82"/>
      <c r="S5" s="82">
        <v>6.4047819159271865E-3</v>
      </c>
      <c r="T5" s="82">
        <v>1250000000</v>
      </c>
      <c r="U5" s="78">
        <v>1583</v>
      </c>
      <c r="V5" s="82">
        <v>1.592E-2</v>
      </c>
      <c r="W5" s="82">
        <v>2.3040000000000001E-2</v>
      </c>
      <c r="X5" s="82">
        <v>0.54900000000000004</v>
      </c>
      <c r="Y5" s="78">
        <v>29.6</v>
      </c>
      <c r="Z5" s="78">
        <v>1075</v>
      </c>
      <c r="AA5" s="78">
        <v>150</v>
      </c>
      <c r="AB5" s="81">
        <f t="shared" si="0"/>
        <v>0.68526744636156767</v>
      </c>
      <c r="AC5" s="81">
        <f t="shared" si="1"/>
        <v>43.346519999999998</v>
      </c>
      <c r="AD5" s="81">
        <f>150*1.44903</f>
        <v>217.3545</v>
      </c>
      <c r="AE5" s="81">
        <f t="shared" si="2"/>
        <v>202.19023255813954</v>
      </c>
      <c r="AF5" s="81">
        <f t="shared" si="11"/>
        <v>174.00798</v>
      </c>
      <c r="AG5" s="83">
        <v>1</v>
      </c>
      <c r="AH5" s="83">
        <f t="shared" si="3"/>
        <v>4.0143471725065822</v>
      </c>
      <c r="AI5" s="83">
        <f>(AD5-AA5*0.34402*(1-AQ5))/AD5</f>
        <v>0.80057224488105838</v>
      </c>
      <c r="AJ5" s="81">
        <f t="shared" si="4"/>
        <v>51.603000000000002</v>
      </c>
      <c r="AK5" s="81">
        <f t="shared" si="5"/>
        <v>40.002325581395347</v>
      </c>
      <c r="AL5" s="81">
        <f t="shared" si="6"/>
        <v>8.2564799999999998</v>
      </c>
      <c r="AM5" s="83">
        <f t="shared" si="7"/>
        <v>0.14942528735632185</v>
      </c>
      <c r="AN5" s="83">
        <v>0.13</v>
      </c>
      <c r="AO5" s="83">
        <f t="shared" si="8"/>
        <v>1.0621405642787698E-2</v>
      </c>
      <c r="AP5" s="83">
        <f t="shared" si="9"/>
        <v>0.19047619047619049</v>
      </c>
      <c r="AQ5" s="83">
        <f t="shared" si="10"/>
        <v>0.16</v>
      </c>
      <c r="AR5" s="77" t="s">
        <v>34</v>
      </c>
    </row>
    <row r="6" spans="1:44" ht="15" hidden="1" customHeight="1" x14ac:dyDescent="0.25">
      <c r="A6" s="76">
        <v>5</v>
      </c>
      <c r="B6" s="76">
        <v>1970</v>
      </c>
      <c r="C6" s="77" t="s">
        <v>31</v>
      </c>
      <c r="D6" s="76">
        <v>5</v>
      </c>
      <c r="E6" s="78">
        <v>9</v>
      </c>
      <c r="F6" s="79">
        <v>0.01</v>
      </c>
      <c r="G6" s="80">
        <v>27</v>
      </c>
      <c r="H6" s="80">
        <v>50</v>
      </c>
      <c r="I6" s="16">
        <v>1150</v>
      </c>
      <c r="J6" s="48">
        <v>5.1009000000000002</v>
      </c>
      <c r="K6" s="77" t="s">
        <v>306</v>
      </c>
      <c r="L6" s="77" t="s">
        <v>304</v>
      </c>
      <c r="M6" s="77" t="s">
        <v>34</v>
      </c>
      <c r="N6" s="77" t="s">
        <v>34</v>
      </c>
      <c r="O6" s="77" t="s">
        <v>34</v>
      </c>
      <c r="P6" s="78"/>
      <c r="Q6" s="81">
        <v>15.925000000000001</v>
      </c>
      <c r="R6" s="82"/>
      <c r="S6" s="82">
        <v>6.4047819159271865E-3</v>
      </c>
      <c r="T6" s="82">
        <v>1250000000</v>
      </c>
      <c r="U6" s="78">
        <v>1583</v>
      </c>
      <c r="V6" s="82">
        <v>1.592E-2</v>
      </c>
      <c r="W6" s="82">
        <v>2.3040000000000001E-2</v>
      </c>
      <c r="X6" s="82">
        <v>0.54900000000000004</v>
      </c>
      <c r="Y6" s="78">
        <v>29.6</v>
      </c>
      <c r="Z6" s="78">
        <v>1075</v>
      </c>
      <c r="AA6" s="78">
        <v>150</v>
      </c>
      <c r="AB6" s="81">
        <f t="shared" si="0"/>
        <v>0.6853746235745124</v>
      </c>
      <c r="AC6" s="81">
        <f t="shared" si="1"/>
        <v>54.187559999999991</v>
      </c>
      <c r="AD6" s="81">
        <f>150*1.44971</f>
        <v>217.45650000000001</v>
      </c>
      <c r="AE6" s="81">
        <f t="shared" si="2"/>
        <v>202.28511627906977</v>
      </c>
      <c r="AF6" s="81">
        <f t="shared" si="11"/>
        <v>163.26894000000001</v>
      </c>
      <c r="AG6" s="83">
        <v>1</v>
      </c>
      <c r="AH6" s="83">
        <f t="shared" si="3"/>
        <v>3.0130336187863058</v>
      </c>
      <c r="AI6" s="83">
        <f>(AD6-AA6*0.43006*(1-AQ6))/AD6</f>
        <v>0.75081195549454727</v>
      </c>
      <c r="AJ6" s="81">
        <f t="shared" si="4"/>
        <v>64.508999999999986</v>
      </c>
      <c r="AK6" s="81">
        <f t="shared" si="5"/>
        <v>50.006976744186034</v>
      </c>
      <c r="AL6" s="81">
        <f t="shared" si="6"/>
        <v>10.321439999999997</v>
      </c>
      <c r="AM6" s="83">
        <f t="shared" si="7"/>
        <v>0.14942528735632185</v>
      </c>
      <c r="AN6" s="83">
        <v>0.13</v>
      </c>
      <c r="AO6" s="83">
        <f t="shared" si="8"/>
        <v>1.4335376339462346E-2</v>
      </c>
      <c r="AP6" s="83">
        <f t="shared" si="9"/>
        <v>0.19047619047619049</v>
      </c>
      <c r="AQ6" s="83">
        <f t="shared" si="10"/>
        <v>0.16</v>
      </c>
      <c r="AR6" s="77" t="s">
        <v>34</v>
      </c>
    </row>
    <row r="7" spans="1:44" s="10" customFormat="1" ht="15" hidden="1" customHeight="1" x14ac:dyDescent="0.25">
      <c r="A7" s="1">
        <v>6</v>
      </c>
      <c r="B7" s="1">
        <v>1970</v>
      </c>
      <c r="C7" s="28" t="s">
        <v>31</v>
      </c>
      <c r="D7" s="1">
        <v>6</v>
      </c>
      <c r="E7" s="8">
        <v>6</v>
      </c>
      <c r="F7" s="31">
        <v>0.01</v>
      </c>
      <c r="G7" s="49">
        <v>27</v>
      </c>
      <c r="H7" s="49">
        <v>50</v>
      </c>
      <c r="I7" s="19">
        <v>718</v>
      </c>
      <c r="J7" s="50">
        <v>8.1305999999999994</v>
      </c>
      <c r="K7" s="28" t="s">
        <v>306</v>
      </c>
      <c r="L7" s="28" t="s">
        <v>305</v>
      </c>
      <c r="M7" s="28" t="s">
        <v>34</v>
      </c>
      <c r="N7" s="28" t="s">
        <v>34</v>
      </c>
      <c r="O7" s="28" t="s">
        <v>34</v>
      </c>
      <c r="P7" s="8"/>
      <c r="Q7" s="51">
        <v>6.5410000000000004</v>
      </c>
      <c r="R7" s="9"/>
      <c r="S7" s="9">
        <v>6.4047819159271865E-3</v>
      </c>
      <c r="T7" s="9">
        <v>1250000000</v>
      </c>
      <c r="U7" s="8">
        <v>1583</v>
      </c>
      <c r="V7" s="9">
        <v>1.592E-2</v>
      </c>
      <c r="W7" s="9">
        <v>2.3040000000000001E-2</v>
      </c>
      <c r="X7" s="9">
        <v>0.54900000000000004</v>
      </c>
      <c r="Y7" s="8">
        <v>29.6</v>
      </c>
      <c r="Z7" s="8">
        <v>1075</v>
      </c>
      <c r="AA7" s="8">
        <v>150</v>
      </c>
      <c r="AB7" s="51">
        <f t="shared" si="0"/>
        <v>0.6853746235745124</v>
      </c>
      <c r="AC7" s="51">
        <f t="shared" si="1"/>
        <v>46.506599999999992</v>
      </c>
      <c r="AD7" s="51">
        <f>AA7*1.44971</f>
        <v>217.45650000000001</v>
      </c>
      <c r="AE7" s="51">
        <f t="shared" si="2"/>
        <v>202.28511627906977</v>
      </c>
      <c r="AF7" s="51">
        <f t="shared" si="11"/>
        <v>170.94990000000001</v>
      </c>
      <c r="AG7" s="52">
        <v>1</v>
      </c>
      <c r="AH7" s="52">
        <f t="shared" si="3"/>
        <v>3.6758202061642864</v>
      </c>
      <c r="AI7" s="52">
        <f>(AD7-AA7*0.3691*(1-AQ7))/AD7</f>
        <v>0.7861337784798339</v>
      </c>
      <c r="AJ7" s="51">
        <f t="shared" si="4"/>
        <v>55.364999999999995</v>
      </c>
      <c r="AK7" s="51">
        <f t="shared" si="5"/>
        <v>42.918604651162788</v>
      </c>
      <c r="AL7" s="51">
        <f t="shared" si="6"/>
        <v>8.8583999999999996</v>
      </c>
      <c r="AM7" s="52">
        <f t="shared" si="7"/>
        <v>0.14942528735632185</v>
      </c>
      <c r="AN7" s="52">
        <v>0.13</v>
      </c>
      <c r="AO7" s="52">
        <f t="shared" si="8"/>
        <v>1.1641039663743949E-2</v>
      </c>
      <c r="AP7" s="52">
        <f t="shared" si="9"/>
        <v>0.19047619047619049</v>
      </c>
      <c r="AQ7" s="52">
        <f t="shared" si="10"/>
        <v>0.16</v>
      </c>
      <c r="AR7" s="28" t="s">
        <v>34</v>
      </c>
    </row>
    <row r="8" spans="1:44" ht="15" customHeight="1" x14ac:dyDescent="0.25">
      <c r="A8" s="76">
        <v>7</v>
      </c>
      <c r="B8" s="76">
        <v>1971</v>
      </c>
      <c r="C8" s="77" t="s">
        <v>35</v>
      </c>
      <c r="D8" s="76">
        <v>1</v>
      </c>
      <c r="E8" s="78">
        <v>5</v>
      </c>
      <c r="F8" s="79">
        <v>2</v>
      </c>
      <c r="G8" s="80">
        <v>40</v>
      </c>
      <c r="H8" s="80">
        <v>50</v>
      </c>
      <c r="I8" s="16">
        <v>48</v>
      </c>
      <c r="J8" s="48">
        <v>0.1603</v>
      </c>
      <c r="K8" s="77" t="s">
        <v>306</v>
      </c>
      <c r="L8" s="77" t="s">
        <v>36</v>
      </c>
      <c r="M8" s="77" t="s">
        <v>289</v>
      </c>
      <c r="N8" s="77">
        <v>25</v>
      </c>
      <c r="O8" s="77">
        <v>180</v>
      </c>
      <c r="P8" s="78"/>
      <c r="Q8" s="81">
        <v>37.93</v>
      </c>
      <c r="R8" s="82"/>
      <c r="S8" s="82">
        <v>8.535636580762566E-5</v>
      </c>
      <c r="T8" s="82">
        <v>850000000</v>
      </c>
      <c r="U8" s="78">
        <v>2883</v>
      </c>
      <c r="V8" s="82">
        <v>1.7919999999999998E-2</v>
      </c>
      <c r="W8" s="82">
        <v>2.3040000000000001E-2</v>
      </c>
      <c r="X8" s="82">
        <v>0.54900000000000004</v>
      </c>
      <c r="Y8" s="78">
        <v>29.6</v>
      </c>
      <c r="Z8" s="78">
        <v>1075</v>
      </c>
      <c r="AA8" s="78">
        <f t="shared" ref="AA8:AA39" si="12">AD8/2.5</f>
        <v>400</v>
      </c>
      <c r="AB8" s="81">
        <f t="shared" si="0"/>
        <v>0.82189116447904176</v>
      </c>
      <c r="AC8" s="81">
        <f t="shared" si="1"/>
        <v>150</v>
      </c>
      <c r="AD8" s="81">
        <v>1000</v>
      </c>
      <c r="AE8" s="81">
        <f t="shared" si="2"/>
        <v>930.23255813953483</v>
      </c>
      <c r="AF8" s="81">
        <f t="shared" si="11"/>
        <v>850</v>
      </c>
      <c r="AG8" s="83">
        <v>1</v>
      </c>
      <c r="AH8" s="83">
        <f t="shared" ref="AH8:AH20" si="13">17/3</f>
        <v>5.666666666666667</v>
      </c>
      <c r="AI8" s="83">
        <f t="shared" ref="AI8:AI28" si="14">AH8/(AH8+1)</f>
        <v>0.85</v>
      </c>
      <c r="AJ8" s="81">
        <f t="shared" si="4"/>
        <v>310.73499999999996</v>
      </c>
      <c r="AK8" s="81">
        <f t="shared" si="5"/>
        <v>240.87984496124025</v>
      </c>
      <c r="AL8" s="81">
        <f t="shared" si="6"/>
        <v>160.73499999999996</v>
      </c>
      <c r="AM8" s="83">
        <f t="shared" si="7"/>
        <v>0.15606936416184972</v>
      </c>
      <c r="AN8" s="83">
        <v>0.13500000000000001</v>
      </c>
      <c r="AO8" s="83">
        <f t="shared" si="8"/>
        <v>0.16613395104895098</v>
      </c>
      <c r="AP8" s="83">
        <f>(AD8*(1-68.9265/100)-AC8)/AC8</f>
        <v>1.0715666666666663</v>
      </c>
      <c r="AQ8" s="83">
        <f t="shared" si="10"/>
        <v>0.51727356107293987</v>
      </c>
      <c r="AR8" s="77" t="s">
        <v>37</v>
      </c>
    </row>
    <row r="9" spans="1:44" ht="15" customHeight="1" x14ac:dyDescent="0.25">
      <c r="A9" s="76">
        <v>8</v>
      </c>
      <c r="B9" s="76">
        <v>1971</v>
      </c>
      <c r="C9" s="77" t="s">
        <v>35</v>
      </c>
      <c r="D9" s="76">
        <v>2</v>
      </c>
      <c r="E9" s="78">
        <v>5</v>
      </c>
      <c r="F9" s="79">
        <v>2</v>
      </c>
      <c r="G9" s="80">
        <v>40</v>
      </c>
      <c r="H9" s="80">
        <v>50</v>
      </c>
      <c r="I9" s="16">
        <v>48</v>
      </c>
      <c r="J9" s="48">
        <v>8.6300000000000002E-2</v>
      </c>
      <c r="K9" s="77" t="s">
        <v>306</v>
      </c>
      <c r="L9" s="77" t="s">
        <v>36</v>
      </c>
      <c r="M9" s="77" t="s">
        <v>289</v>
      </c>
      <c r="N9" s="77">
        <v>25</v>
      </c>
      <c r="O9" s="77">
        <v>180</v>
      </c>
      <c r="P9" s="78"/>
      <c r="Q9" s="81">
        <v>21.952000000000002</v>
      </c>
      <c r="R9" s="82"/>
      <c r="S9" s="82">
        <v>8.535636580762566E-5</v>
      </c>
      <c r="T9" s="82">
        <v>850000000</v>
      </c>
      <c r="U9" s="78">
        <v>2883</v>
      </c>
      <c r="V9" s="82">
        <v>1.7919999999999998E-2</v>
      </c>
      <c r="W9" s="82">
        <v>2.3040000000000001E-2</v>
      </c>
      <c r="X9" s="82">
        <v>0.54900000000000004</v>
      </c>
      <c r="Y9" s="78">
        <v>29.6</v>
      </c>
      <c r="Z9" s="78">
        <v>1075</v>
      </c>
      <c r="AA9" s="78">
        <f t="shared" si="12"/>
        <v>400</v>
      </c>
      <c r="AB9" s="81">
        <f t="shared" si="0"/>
        <v>0.82189116447904176</v>
      </c>
      <c r="AC9" s="81">
        <f t="shared" si="1"/>
        <v>150</v>
      </c>
      <c r="AD9" s="81">
        <v>1000</v>
      </c>
      <c r="AE9" s="81">
        <f t="shared" si="2"/>
        <v>930.23255813953483</v>
      </c>
      <c r="AF9" s="81">
        <f t="shared" si="11"/>
        <v>850</v>
      </c>
      <c r="AG9" s="83">
        <v>1</v>
      </c>
      <c r="AH9" s="83">
        <f t="shared" si="13"/>
        <v>5.666666666666667</v>
      </c>
      <c r="AI9" s="83">
        <f t="shared" si="14"/>
        <v>0.85</v>
      </c>
      <c r="AJ9" s="81">
        <f t="shared" si="4"/>
        <v>486.24999999999994</v>
      </c>
      <c r="AK9" s="81">
        <f t="shared" si="5"/>
        <v>376.93798449612399</v>
      </c>
      <c r="AL9" s="81">
        <f t="shared" si="6"/>
        <v>336.24999999999994</v>
      </c>
      <c r="AM9" s="83">
        <f t="shared" si="7"/>
        <v>0.15606936416184972</v>
      </c>
      <c r="AN9" s="83">
        <v>0.13500000000000001</v>
      </c>
      <c r="AO9" s="83">
        <f t="shared" si="8"/>
        <v>0.37847027972027963</v>
      </c>
      <c r="AP9" s="83">
        <f>(AD9*(1-51.375/100)-AC9)/AC9</f>
        <v>2.2416666666666663</v>
      </c>
      <c r="AQ9" s="83">
        <f t="shared" si="10"/>
        <v>0.69151670951156807</v>
      </c>
      <c r="AR9" s="77" t="s">
        <v>38</v>
      </c>
    </row>
    <row r="10" spans="1:44" s="10" customFormat="1" ht="15" hidden="1" customHeight="1" x14ac:dyDescent="0.25">
      <c r="A10" s="1">
        <v>9</v>
      </c>
      <c r="B10" s="1">
        <v>1971</v>
      </c>
      <c r="C10" s="28" t="s">
        <v>35</v>
      </c>
      <c r="D10" s="1">
        <v>3</v>
      </c>
      <c r="E10" s="8">
        <v>5</v>
      </c>
      <c r="F10" s="31">
        <v>2</v>
      </c>
      <c r="G10" s="49">
        <v>40</v>
      </c>
      <c r="H10" s="49">
        <v>50</v>
      </c>
      <c r="I10" s="19">
        <v>48</v>
      </c>
      <c r="J10" s="50">
        <v>2.29E-2</v>
      </c>
      <c r="K10" s="28" t="s">
        <v>306</v>
      </c>
      <c r="L10" s="28" t="s">
        <v>36</v>
      </c>
      <c r="M10" s="28" t="s">
        <v>34</v>
      </c>
      <c r="N10" s="28" t="s">
        <v>34</v>
      </c>
      <c r="O10" s="28" t="s">
        <v>34</v>
      </c>
      <c r="P10" s="8"/>
      <c r="Q10" s="51">
        <v>8.9600000000000009</v>
      </c>
      <c r="R10" s="9"/>
      <c r="S10" s="9">
        <v>8.535636580762566E-5</v>
      </c>
      <c r="T10" s="9">
        <v>850000000</v>
      </c>
      <c r="U10" s="8">
        <v>2883</v>
      </c>
      <c r="V10" s="9">
        <v>1.7919999999999998E-2</v>
      </c>
      <c r="W10" s="9">
        <v>2.3040000000000001E-2</v>
      </c>
      <c r="X10" s="9">
        <v>0.54900000000000004</v>
      </c>
      <c r="Y10" s="8">
        <v>29.6</v>
      </c>
      <c r="Z10" s="8">
        <v>1075</v>
      </c>
      <c r="AA10" s="8">
        <f t="shared" si="12"/>
        <v>400</v>
      </c>
      <c r="AB10" s="51">
        <f t="shared" si="0"/>
        <v>0.82189116447904176</v>
      </c>
      <c r="AC10" s="51">
        <f t="shared" si="1"/>
        <v>150</v>
      </c>
      <c r="AD10" s="51">
        <v>1000</v>
      </c>
      <c r="AE10" s="51">
        <f t="shared" si="2"/>
        <v>930.23255813953483</v>
      </c>
      <c r="AF10" s="51">
        <f t="shared" si="11"/>
        <v>850</v>
      </c>
      <c r="AG10" s="52">
        <v>1</v>
      </c>
      <c r="AH10" s="52">
        <f t="shared" si="13"/>
        <v>5.666666666666667</v>
      </c>
      <c r="AI10" s="52">
        <f t="shared" si="14"/>
        <v>0.85</v>
      </c>
      <c r="AJ10" s="51">
        <f t="shared" si="4"/>
        <v>729.82500000000039</v>
      </c>
      <c r="AK10" s="51">
        <f t="shared" si="5"/>
        <v>565.75581395348865</v>
      </c>
      <c r="AL10" s="51">
        <f t="shared" si="6"/>
        <v>579.82500000000039</v>
      </c>
      <c r="AM10" s="52">
        <f t="shared" si="7"/>
        <v>0.15606936416184972</v>
      </c>
      <c r="AN10" s="52">
        <v>0.13500000000000001</v>
      </c>
      <c r="AO10" s="52">
        <f t="shared" si="8"/>
        <v>0.67314493006992993</v>
      </c>
      <c r="AP10" s="52">
        <f>(AD10*(1-27.0175/100)-AC10)/AC10</f>
        <v>3.8654999999999995</v>
      </c>
      <c r="AQ10" s="52">
        <f t="shared" si="10"/>
        <v>0.79447127736101131</v>
      </c>
      <c r="AR10" s="28" t="s">
        <v>34</v>
      </c>
    </row>
    <row r="11" spans="1:44" ht="15" customHeight="1" x14ac:dyDescent="0.25">
      <c r="A11" s="76">
        <v>10</v>
      </c>
      <c r="B11" s="76">
        <v>1974</v>
      </c>
      <c r="C11" s="77" t="s">
        <v>39</v>
      </c>
      <c r="D11" s="76">
        <v>1</v>
      </c>
      <c r="E11" s="78">
        <v>151</v>
      </c>
      <c r="F11" s="79">
        <v>0.05</v>
      </c>
      <c r="G11" s="80">
        <v>29</v>
      </c>
      <c r="H11" s="80">
        <v>57</v>
      </c>
      <c r="I11" s="16">
        <v>446</v>
      </c>
      <c r="J11" s="48">
        <v>1.0607</v>
      </c>
      <c r="K11" s="77" t="s">
        <v>306</v>
      </c>
      <c r="L11" s="77" t="s">
        <v>36</v>
      </c>
      <c r="M11" s="77" t="s">
        <v>289</v>
      </c>
      <c r="N11" s="77">
        <v>25</v>
      </c>
      <c r="O11" s="77">
        <v>180</v>
      </c>
      <c r="P11" s="78"/>
      <c r="Q11" s="81">
        <v>35.93</v>
      </c>
      <c r="R11" s="82"/>
      <c r="S11" s="82">
        <v>6.7278875836693847E-6</v>
      </c>
      <c r="T11" s="82">
        <v>950000000</v>
      </c>
      <c r="U11" s="78">
        <v>3583</v>
      </c>
      <c r="V11" s="82">
        <v>1.7919999999999998E-2</v>
      </c>
      <c r="W11" s="82">
        <v>2.3040000000000001E-2</v>
      </c>
      <c r="X11" s="82">
        <v>0.54900000000000004</v>
      </c>
      <c r="Y11" s="78">
        <v>29.6</v>
      </c>
      <c r="Z11" s="78">
        <v>1075</v>
      </c>
      <c r="AA11" s="78">
        <f t="shared" si="12"/>
        <v>400</v>
      </c>
      <c r="AB11" s="81">
        <f t="shared" si="0"/>
        <v>0.82189116447904176</v>
      </c>
      <c r="AC11" s="81">
        <f t="shared" si="1"/>
        <v>150</v>
      </c>
      <c r="AD11" s="81">
        <v>1000</v>
      </c>
      <c r="AE11" s="81">
        <f t="shared" si="2"/>
        <v>930.23255813953483</v>
      </c>
      <c r="AF11" s="81">
        <f t="shared" si="11"/>
        <v>850</v>
      </c>
      <c r="AG11" s="83">
        <v>1</v>
      </c>
      <c r="AH11" s="83">
        <f t="shared" si="13"/>
        <v>5.666666666666667</v>
      </c>
      <c r="AI11" s="83">
        <f t="shared" si="14"/>
        <v>0.85</v>
      </c>
      <c r="AJ11" s="81">
        <f t="shared" si="4"/>
        <v>245.60330640000006</v>
      </c>
      <c r="AK11" s="81">
        <f t="shared" si="5"/>
        <v>190.39016000000007</v>
      </c>
      <c r="AL11" s="81">
        <f t="shared" si="6"/>
        <v>95.603306400000079</v>
      </c>
      <c r="AM11" s="83">
        <f t="shared" si="7"/>
        <v>0.13636363636363635</v>
      </c>
      <c r="AN11" s="83">
        <v>0.12</v>
      </c>
      <c r="AO11" s="83">
        <f t="shared" si="8"/>
        <v>9.0590287167123376E-2</v>
      </c>
      <c r="AP11" s="83">
        <f>(AD11*(1-0.7543966936)-AC11)/AC11</f>
        <v>0.63735537600000047</v>
      </c>
      <c r="AQ11" s="83">
        <f t="shared" si="10"/>
        <v>0.38925903645733678</v>
      </c>
      <c r="AR11" s="77" t="s">
        <v>40</v>
      </c>
    </row>
    <row r="12" spans="1:44" ht="15" hidden="1" customHeight="1" x14ac:dyDescent="0.25">
      <c r="A12" s="1">
        <v>11</v>
      </c>
      <c r="B12" s="1">
        <v>1974</v>
      </c>
      <c r="C12" s="28" t="s">
        <v>39</v>
      </c>
      <c r="D12" s="1">
        <v>2</v>
      </c>
      <c r="E12" s="8">
        <v>123</v>
      </c>
      <c r="F12" s="79">
        <v>0.01</v>
      </c>
      <c r="G12" s="49">
        <v>29</v>
      </c>
      <c r="H12" s="49">
        <v>57</v>
      </c>
      <c r="I12" s="8">
        <v>446</v>
      </c>
      <c r="J12" s="51">
        <v>0.74609999999999999</v>
      </c>
      <c r="K12" s="28" t="s">
        <v>306</v>
      </c>
      <c r="L12" s="28" t="s">
        <v>305</v>
      </c>
      <c r="M12" s="28" t="s">
        <v>34</v>
      </c>
      <c r="N12" s="28" t="s">
        <v>34</v>
      </c>
      <c r="O12" s="28" t="s">
        <v>34</v>
      </c>
      <c r="P12" s="8"/>
      <c r="Q12" s="51">
        <v>6.952</v>
      </c>
      <c r="R12" s="9"/>
      <c r="S12" s="9">
        <v>6.7278875836693847E-6</v>
      </c>
      <c r="T12" s="9">
        <v>950000000</v>
      </c>
      <c r="U12" s="8">
        <v>3583</v>
      </c>
      <c r="V12" s="9">
        <v>1.7919999999999998E-2</v>
      </c>
      <c r="W12" s="9">
        <v>2.3040000000000001E-2</v>
      </c>
      <c r="X12" s="9">
        <v>0.54900000000000004</v>
      </c>
      <c r="Y12" s="8">
        <v>29.6</v>
      </c>
      <c r="Z12" s="8">
        <v>1075</v>
      </c>
      <c r="AA12" s="8">
        <f t="shared" si="12"/>
        <v>400</v>
      </c>
      <c r="AB12" s="51">
        <f t="shared" si="0"/>
        <v>0.82189116447904176</v>
      </c>
      <c r="AC12" s="51">
        <f t="shared" si="1"/>
        <v>150</v>
      </c>
      <c r="AD12" s="51">
        <v>1000</v>
      </c>
      <c r="AE12" s="51">
        <f t="shared" si="2"/>
        <v>930.23255813953483</v>
      </c>
      <c r="AF12" s="51">
        <f t="shared" si="11"/>
        <v>850</v>
      </c>
      <c r="AG12" s="52">
        <v>1</v>
      </c>
      <c r="AH12" s="52">
        <f t="shared" si="13"/>
        <v>5.666666666666667</v>
      </c>
      <c r="AI12" s="52">
        <f t="shared" si="14"/>
        <v>0.85</v>
      </c>
      <c r="AJ12" s="51">
        <f t="shared" si="4"/>
        <v>438.09653120000007</v>
      </c>
      <c r="AK12" s="51">
        <f t="shared" si="5"/>
        <v>339.60971410852721</v>
      </c>
      <c r="AL12" s="51">
        <f t="shared" si="6"/>
        <v>288.09653120000007</v>
      </c>
      <c r="AM12" s="52">
        <f t="shared" si="7"/>
        <v>0.13636363636363635</v>
      </c>
      <c r="AN12" s="52">
        <v>0.12</v>
      </c>
      <c r="AO12" s="52">
        <f t="shared" si="8"/>
        <v>0.32263691432328773</v>
      </c>
      <c r="AP12" s="52">
        <f>(AD12*(1-0.5619034688)-AC12)/AC12</f>
        <v>1.9206435413333334</v>
      </c>
      <c r="AQ12" s="52">
        <f t="shared" si="10"/>
        <v>0.65760970626922877</v>
      </c>
      <c r="AR12" s="28" t="s">
        <v>34</v>
      </c>
    </row>
    <row r="13" spans="1:44" ht="15" customHeight="1" x14ac:dyDescent="0.25">
      <c r="A13" s="3">
        <v>12</v>
      </c>
      <c r="B13" s="3">
        <v>1980</v>
      </c>
      <c r="C13" s="27" t="s">
        <v>41</v>
      </c>
      <c r="D13" s="3">
        <v>1</v>
      </c>
      <c r="E13" s="11">
        <v>6</v>
      </c>
      <c r="F13" s="30">
        <v>2.875</v>
      </c>
      <c r="G13" s="54">
        <v>71</v>
      </c>
      <c r="H13" s="54">
        <v>17</v>
      </c>
      <c r="I13" s="11">
        <v>10</v>
      </c>
      <c r="J13" s="47">
        <v>1.0999999999999999E-2</v>
      </c>
      <c r="K13" s="27" t="s">
        <v>306</v>
      </c>
      <c r="L13" s="27" t="s">
        <v>36</v>
      </c>
      <c r="M13" s="27" t="s">
        <v>289</v>
      </c>
      <c r="N13" s="27">
        <v>25</v>
      </c>
      <c r="O13" s="27">
        <v>180</v>
      </c>
      <c r="P13" s="11"/>
      <c r="Q13" s="55">
        <v>19.93</v>
      </c>
      <c r="R13" s="4"/>
      <c r="S13" s="4">
        <v>3.4009201370057454E-4</v>
      </c>
      <c r="T13" s="4">
        <v>876000000</v>
      </c>
      <c r="U13" s="11">
        <v>2703</v>
      </c>
      <c r="V13" s="4">
        <v>1.7919999999999998E-2</v>
      </c>
      <c r="W13" s="4">
        <v>2.3040000000000001E-2</v>
      </c>
      <c r="X13" s="4">
        <v>0.54900000000000004</v>
      </c>
      <c r="Y13" s="11">
        <v>29.6</v>
      </c>
      <c r="Z13" s="11">
        <v>1075</v>
      </c>
      <c r="AA13" s="11">
        <f t="shared" si="12"/>
        <v>400</v>
      </c>
      <c r="AB13" s="47">
        <f t="shared" si="0"/>
        <v>0.82189116447904176</v>
      </c>
      <c r="AC13" s="47">
        <f t="shared" si="1"/>
        <v>150</v>
      </c>
      <c r="AD13" s="47">
        <v>1000</v>
      </c>
      <c r="AE13" s="47">
        <f t="shared" si="2"/>
        <v>930.23255813953483</v>
      </c>
      <c r="AF13" s="47">
        <f t="shared" si="11"/>
        <v>850</v>
      </c>
      <c r="AG13" s="53">
        <v>1</v>
      </c>
      <c r="AH13" s="53">
        <f t="shared" si="13"/>
        <v>5.666666666666667</v>
      </c>
      <c r="AI13" s="53">
        <f t="shared" si="14"/>
        <v>0.85</v>
      </c>
      <c r="AJ13" s="47">
        <f t="shared" si="4"/>
        <v>397.77499999999998</v>
      </c>
      <c r="AK13" s="47">
        <f t="shared" si="5"/>
        <v>308.35271317829455</v>
      </c>
      <c r="AL13" s="47">
        <f t="shared" si="6"/>
        <v>247.77499999999998</v>
      </c>
      <c r="AM13" s="53">
        <f t="shared" si="7"/>
        <v>0.13636363636363635</v>
      </c>
      <c r="AN13" s="53">
        <v>0.12</v>
      </c>
      <c r="AO13" s="53">
        <f t="shared" si="8"/>
        <v>0.27403013698630135</v>
      </c>
      <c r="AP13" s="53">
        <f>AF13*0.2915/AC13</f>
        <v>1.6518333333333333</v>
      </c>
      <c r="AQ13" s="53">
        <f t="shared" si="10"/>
        <v>0.62290239456979446</v>
      </c>
      <c r="AR13" s="27" t="s">
        <v>42</v>
      </c>
    </row>
    <row r="14" spans="1:44" ht="15" customHeight="1" x14ac:dyDescent="0.25">
      <c r="A14" s="76">
        <v>13</v>
      </c>
      <c r="B14" s="76">
        <v>1980</v>
      </c>
      <c r="C14" s="77" t="s">
        <v>41</v>
      </c>
      <c r="D14" s="76">
        <v>2</v>
      </c>
      <c r="E14" s="78">
        <v>6</v>
      </c>
      <c r="F14" s="79">
        <v>2.875</v>
      </c>
      <c r="G14" s="56">
        <v>71</v>
      </c>
      <c r="H14" s="56">
        <v>17</v>
      </c>
      <c r="I14" s="78">
        <v>10</v>
      </c>
      <c r="J14" s="81">
        <v>4.4200000000000003E-2</v>
      </c>
      <c r="K14" s="77" t="s">
        <v>306</v>
      </c>
      <c r="L14" s="77" t="s">
        <v>36</v>
      </c>
      <c r="M14" s="77" t="s">
        <v>289</v>
      </c>
      <c r="N14" s="77">
        <v>25</v>
      </c>
      <c r="O14" s="77">
        <v>180</v>
      </c>
      <c r="P14" s="78"/>
      <c r="Q14" s="44">
        <v>20.952000000000002</v>
      </c>
      <c r="R14" s="82"/>
      <c r="S14" s="82">
        <v>3.4009201370057454E-4</v>
      </c>
      <c r="T14" s="82">
        <v>876000000</v>
      </c>
      <c r="U14" s="78">
        <v>2703</v>
      </c>
      <c r="V14" s="82">
        <v>1.7919999999999998E-2</v>
      </c>
      <c r="W14" s="82">
        <v>2.3040000000000001E-2</v>
      </c>
      <c r="X14" s="82">
        <v>0.54900000000000004</v>
      </c>
      <c r="Y14" s="78">
        <v>29.6</v>
      </c>
      <c r="Z14" s="78">
        <v>1075</v>
      </c>
      <c r="AA14" s="78">
        <f t="shared" si="12"/>
        <v>400</v>
      </c>
      <c r="AB14" s="81">
        <f t="shared" si="0"/>
        <v>0.82189116447904176</v>
      </c>
      <c r="AC14" s="81">
        <f t="shared" si="1"/>
        <v>150</v>
      </c>
      <c r="AD14" s="81">
        <v>1000</v>
      </c>
      <c r="AE14" s="81">
        <f t="shared" si="2"/>
        <v>930.23255813953483</v>
      </c>
      <c r="AF14" s="81">
        <f t="shared" si="11"/>
        <v>850</v>
      </c>
      <c r="AG14" s="83">
        <v>1</v>
      </c>
      <c r="AH14" s="83">
        <f t="shared" si="13"/>
        <v>5.666666666666667</v>
      </c>
      <c r="AI14" s="83">
        <f t="shared" si="14"/>
        <v>0.85</v>
      </c>
      <c r="AJ14" s="81">
        <f t="shared" si="4"/>
        <v>397.77499999999998</v>
      </c>
      <c r="AK14" s="81">
        <f t="shared" si="5"/>
        <v>308.35271317829455</v>
      </c>
      <c r="AL14" s="81">
        <f t="shared" si="6"/>
        <v>247.77499999999998</v>
      </c>
      <c r="AM14" s="83">
        <f t="shared" si="7"/>
        <v>0.13636363636363635</v>
      </c>
      <c r="AN14" s="83">
        <v>0.12</v>
      </c>
      <c r="AO14" s="83">
        <f t="shared" si="8"/>
        <v>0.27403013698630135</v>
      </c>
      <c r="AP14" s="83">
        <f>AF14*0.2915/AC14</f>
        <v>1.6518333333333333</v>
      </c>
      <c r="AQ14" s="83">
        <f t="shared" si="10"/>
        <v>0.62290239456979446</v>
      </c>
      <c r="AR14" s="77" t="s">
        <v>43</v>
      </c>
    </row>
    <row r="15" spans="1:44" ht="15" hidden="1" customHeight="1" x14ac:dyDescent="0.25">
      <c r="A15" s="76">
        <v>14</v>
      </c>
      <c r="B15" s="76">
        <v>1980</v>
      </c>
      <c r="C15" s="77" t="s">
        <v>41</v>
      </c>
      <c r="D15" s="76">
        <v>3</v>
      </c>
      <c r="E15" s="78">
        <v>7</v>
      </c>
      <c r="F15" s="79">
        <v>2.875</v>
      </c>
      <c r="G15" s="56">
        <v>71</v>
      </c>
      <c r="H15" s="56">
        <v>17</v>
      </c>
      <c r="I15" s="78">
        <v>15</v>
      </c>
      <c r="J15" s="81">
        <v>0.2152</v>
      </c>
      <c r="K15" s="77" t="s">
        <v>306</v>
      </c>
      <c r="L15" s="77" t="s">
        <v>36</v>
      </c>
      <c r="M15" s="77" t="s">
        <v>34</v>
      </c>
      <c r="N15" s="77" t="s">
        <v>34</v>
      </c>
      <c r="O15" s="77" t="s">
        <v>34</v>
      </c>
      <c r="P15" s="78"/>
      <c r="Q15" s="44">
        <v>15.96</v>
      </c>
      <c r="R15" s="82"/>
      <c r="S15" s="82">
        <v>3.4009201370057454E-4</v>
      </c>
      <c r="T15" s="82">
        <v>876000000</v>
      </c>
      <c r="U15" s="78">
        <v>2703</v>
      </c>
      <c r="V15" s="82">
        <v>1.7919999999999998E-2</v>
      </c>
      <c r="W15" s="82">
        <v>2.3040000000000001E-2</v>
      </c>
      <c r="X15" s="82">
        <v>0.54900000000000004</v>
      </c>
      <c r="Y15" s="78">
        <v>29.6</v>
      </c>
      <c r="Z15" s="78">
        <v>1075</v>
      </c>
      <c r="AA15" s="78">
        <f t="shared" si="12"/>
        <v>400</v>
      </c>
      <c r="AB15" s="81">
        <f t="shared" si="0"/>
        <v>0.82189116447904176</v>
      </c>
      <c r="AC15" s="81">
        <f t="shared" si="1"/>
        <v>150</v>
      </c>
      <c r="AD15" s="81">
        <v>1000</v>
      </c>
      <c r="AE15" s="81">
        <f t="shared" si="2"/>
        <v>930.23255813953483</v>
      </c>
      <c r="AF15" s="81">
        <f t="shared" si="11"/>
        <v>850</v>
      </c>
      <c r="AG15" s="83">
        <v>1</v>
      </c>
      <c r="AH15" s="83">
        <f t="shared" si="13"/>
        <v>5.666666666666667</v>
      </c>
      <c r="AI15" s="83">
        <f t="shared" si="14"/>
        <v>0.85</v>
      </c>
      <c r="AJ15" s="81">
        <f t="shared" si="4"/>
        <v>432.3105000000001</v>
      </c>
      <c r="AK15" s="81">
        <f t="shared" si="5"/>
        <v>335.12441860465123</v>
      </c>
      <c r="AL15" s="81">
        <f t="shared" si="6"/>
        <v>282.3105000000001</v>
      </c>
      <c r="AM15" s="83">
        <f t="shared" si="7"/>
        <v>0.13636363636363635</v>
      </c>
      <c r="AN15" s="83">
        <v>0.12</v>
      </c>
      <c r="AO15" s="83">
        <f t="shared" si="8"/>
        <v>0.3156619726027397</v>
      </c>
      <c r="AP15" s="83">
        <f>AF15*0.33213/AC15</f>
        <v>1.8820699999999999</v>
      </c>
      <c r="AQ15" s="83">
        <f t="shared" si="10"/>
        <v>0.65302716450329112</v>
      </c>
      <c r="AR15" s="77" t="s">
        <v>34</v>
      </c>
    </row>
    <row r="16" spans="1:44" ht="15" hidden="1" customHeight="1" x14ac:dyDescent="0.25">
      <c r="A16" s="76">
        <v>15</v>
      </c>
      <c r="B16" s="76">
        <v>1980</v>
      </c>
      <c r="C16" s="77" t="s">
        <v>41</v>
      </c>
      <c r="D16" s="76">
        <v>4</v>
      </c>
      <c r="E16" s="78">
        <v>7</v>
      </c>
      <c r="F16" s="79">
        <v>2.875</v>
      </c>
      <c r="G16" s="56">
        <v>71</v>
      </c>
      <c r="H16" s="56">
        <v>17</v>
      </c>
      <c r="I16" s="78">
        <v>15</v>
      </c>
      <c r="J16" s="81">
        <v>3.0300000000000001E-2</v>
      </c>
      <c r="K16" s="77" t="s">
        <v>306</v>
      </c>
      <c r="L16" s="77" t="s">
        <v>36</v>
      </c>
      <c r="M16" s="77" t="s">
        <v>34</v>
      </c>
      <c r="N16" s="77" t="s">
        <v>34</v>
      </c>
      <c r="O16" s="77" t="s">
        <v>34</v>
      </c>
      <c r="P16" s="78"/>
      <c r="Q16" s="44">
        <v>11.775</v>
      </c>
      <c r="R16" s="82"/>
      <c r="S16" s="82">
        <v>3.4009201370057454E-4</v>
      </c>
      <c r="T16" s="82">
        <v>876000000</v>
      </c>
      <c r="U16" s="78">
        <v>2703</v>
      </c>
      <c r="V16" s="82">
        <v>1.7919999999999998E-2</v>
      </c>
      <c r="W16" s="82">
        <v>2.3040000000000001E-2</v>
      </c>
      <c r="X16" s="82">
        <v>0.54900000000000004</v>
      </c>
      <c r="Y16" s="78">
        <v>29.6</v>
      </c>
      <c r="Z16" s="78">
        <v>1075</v>
      </c>
      <c r="AA16" s="78">
        <f t="shared" si="12"/>
        <v>400</v>
      </c>
      <c r="AB16" s="81">
        <f t="shared" si="0"/>
        <v>0.82189116447904176</v>
      </c>
      <c r="AC16" s="81">
        <f t="shared" si="1"/>
        <v>150</v>
      </c>
      <c r="AD16" s="81">
        <v>1000</v>
      </c>
      <c r="AE16" s="81">
        <f t="shared" si="2"/>
        <v>930.23255813953483</v>
      </c>
      <c r="AF16" s="81">
        <f t="shared" si="11"/>
        <v>850</v>
      </c>
      <c r="AG16" s="83">
        <v>1</v>
      </c>
      <c r="AH16" s="83">
        <f t="shared" si="13"/>
        <v>5.666666666666667</v>
      </c>
      <c r="AI16" s="83">
        <f t="shared" si="14"/>
        <v>0.85</v>
      </c>
      <c r="AJ16" s="81">
        <f t="shared" si="4"/>
        <v>399.39</v>
      </c>
      <c r="AK16" s="81">
        <f t="shared" si="5"/>
        <v>309.60465116279067</v>
      </c>
      <c r="AL16" s="81">
        <f t="shared" si="6"/>
        <v>249.39</v>
      </c>
      <c r="AM16" s="83">
        <f t="shared" si="7"/>
        <v>0.13636363636363635</v>
      </c>
      <c r="AN16" s="83">
        <v>0.12</v>
      </c>
      <c r="AO16" s="83">
        <f t="shared" si="8"/>
        <v>0.27597698630136985</v>
      </c>
      <c r="AP16" s="83">
        <f>AF16*0.2934/AC16</f>
        <v>1.6625999999999999</v>
      </c>
      <c r="AQ16" s="83">
        <f t="shared" si="10"/>
        <v>0.62442725155862688</v>
      </c>
      <c r="AR16" s="77" t="s">
        <v>44</v>
      </c>
    </row>
    <row r="17" spans="1:44" ht="15" hidden="1" customHeight="1" x14ac:dyDescent="0.25">
      <c r="A17" s="76">
        <v>16</v>
      </c>
      <c r="B17" s="76">
        <v>1980</v>
      </c>
      <c r="C17" s="77" t="s">
        <v>41</v>
      </c>
      <c r="D17" s="76">
        <v>5</v>
      </c>
      <c r="E17" s="78">
        <v>9</v>
      </c>
      <c r="F17" s="79">
        <v>2.875</v>
      </c>
      <c r="G17" s="56">
        <v>43</v>
      </c>
      <c r="H17" s="56">
        <v>57</v>
      </c>
      <c r="I17" s="78">
        <v>96</v>
      </c>
      <c r="J17" s="81">
        <v>7.4999999999999997E-2</v>
      </c>
      <c r="K17" s="77" t="s">
        <v>306</v>
      </c>
      <c r="L17" s="77" t="s">
        <v>36</v>
      </c>
      <c r="M17" s="77" t="s">
        <v>34</v>
      </c>
      <c r="N17" s="77" t="s">
        <v>34</v>
      </c>
      <c r="O17" s="77" t="s">
        <v>34</v>
      </c>
      <c r="P17" s="78"/>
      <c r="Q17" s="44">
        <v>20.925000000000001</v>
      </c>
      <c r="R17" s="82"/>
      <c r="S17" s="82">
        <v>1.6963562365495294E-4</v>
      </c>
      <c r="T17" s="82">
        <v>876000000</v>
      </c>
      <c r="U17" s="78">
        <v>2703</v>
      </c>
      <c r="V17" s="82">
        <v>1.7919999999999998E-2</v>
      </c>
      <c r="W17" s="82">
        <v>2.3040000000000001E-2</v>
      </c>
      <c r="X17" s="82">
        <v>0.54900000000000004</v>
      </c>
      <c r="Y17" s="78">
        <v>29.6</v>
      </c>
      <c r="Z17" s="78">
        <v>1075</v>
      </c>
      <c r="AA17" s="78">
        <f t="shared" si="12"/>
        <v>400</v>
      </c>
      <c r="AB17" s="81">
        <f t="shared" si="0"/>
        <v>0.82189116447904176</v>
      </c>
      <c r="AC17" s="81">
        <f t="shared" si="1"/>
        <v>150</v>
      </c>
      <c r="AD17" s="81">
        <v>1000</v>
      </c>
      <c r="AE17" s="81">
        <f t="shared" si="2"/>
        <v>930.23255813953483</v>
      </c>
      <c r="AF17" s="81">
        <f t="shared" si="11"/>
        <v>850</v>
      </c>
      <c r="AG17" s="83">
        <v>1</v>
      </c>
      <c r="AH17" s="83">
        <f t="shared" si="13"/>
        <v>5.666666666666667</v>
      </c>
      <c r="AI17" s="83">
        <f t="shared" si="14"/>
        <v>0.85</v>
      </c>
      <c r="AJ17" s="81">
        <f t="shared" si="4"/>
        <v>327.44600000000003</v>
      </c>
      <c r="AK17" s="81">
        <f t="shared" si="5"/>
        <v>253.83410852713178</v>
      </c>
      <c r="AL17" s="81">
        <f t="shared" si="6"/>
        <v>177.44600000000003</v>
      </c>
      <c r="AM17" s="83">
        <f t="shared" si="7"/>
        <v>0.13636363636363635</v>
      </c>
      <c r="AN17" s="83">
        <v>0.12</v>
      </c>
      <c r="AO17" s="83">
        <f t="shared" si="8"/>
        <v>0.18924997260273968</v>
      </c>
      <c r="AP17" s="83">
        <f>AF17*0.20876/AC17</f>
        <v>1.1829733333333332</v>
      </c>
      <c r="AQ17" s="83">
        <f t="shared" si="10"/>
        <v>0.54190920029562129</v>
      </c>
      <c r="AR17" s="77" t="s">
        <v>34</v>
      </c>
    </row>
    <row r="18" spans="1:44" ht="15" customHeight="1" x14ac:dyDescent="0.25">
      <c r="A18" s="76">
        <v>17</v>
      </c>
      <c r="B18" s="76">
        <v>1980</v>
      </c>
      <c r="C18" s="77" t="s">
        <v>41</v>
      </c>
      <c r="D18" s="76">
        <v>6</v>
      </c>
      <c r="E18" s="78">
        <v>7</v>
      </c>
      <c r="F18" s="79">
        <v>2.875</v>
      </c>
      <c r="G18" s="56">
        <v>43</v>
      </c>
      <c r="H18" s="56">
        <v>57</v>
      </c>
      <c r="I18" s="78">
        <v>60</v>
      </c>
      <c r="J18" s="81">
        <v>8.2000000000000007E-3</v>
      </c>
      <c r="K18" s="77" t="s">
        <v>306</v>
      </c>
      <c r="L18" s="77" t="s">
        <v>36</v>
      </c>
      <c r="M18" s="77" t="s">
        <v>289</v>
      </c>
      <c r="N18" s="77">
        <v>25</v>
      </c>
      <c r="O18" s="77">
        <v>180</v>
      </c>
      <c r="P18" s="78"/>
      <c r="Q18" s="44">
        <v>36.540999999999997</v>
      </c>
      <c r="R18" s="82"/>
      <c r="S18" s="82">
        <v>1.6963562365495294E-4</v>
      </c>
      <c r="T18" s="82">
        <v>876000000</v>
      </c>
      <c r="U18" s="78">
        <v>2703</v>
      </c>
      <c r="V18" s="82">
        <v>1.7919999999999998E-2</v>
      </c>
      <c r="W18" s="82">
        <v>2.3040000000000001E-2</v>
      </c>
      <c r="X18" s="82">
        <v>0.54900000000000004</v>
      </c>
      <c r="Y18" s="78">
        <v>29.6</v>
      </c>
      <c r="Z18" s="78">
        <v>1075</v>
      </c>
      <c r="AA18" s="78">
        <f t="shared" si="12"/>
        <v>400</v>
      </c>
      <c r="AB18" s="81">
        <f t="shared" si="0"/>
        <v>0.82189116447904176</v>
      </c>
      <c r="AC18" s="81">
        <f t="shared" si="1"/>
        <v>150</v>
      </c>
      <c r="AD18" s="81">
        <v>1000</v>
      </c>
      <c r="AE18" s="81">
        <f t="shared" si="2"/>
        <v>930.23255813953483</v>
      </c>
      <c r="AF18" s="81">
        <f t="shared" si="11"/>
        <v>850</v>
      </c>
      <c r="AG18" s="83">
        <v>1</v>
      </c>
      <c r="AH18" s="83">
        <f t="shared" si="13"/>
        <v>5.666666666666667</v>
      </c>
      <c r="AI18" s="83">
        <f t="shared" si="14"/>
        <v>0.85</v>
      </c>
      <c r="AJ18" s="81">
        <f t="shared" si="4"/>
        <v>340.65499999999992</v>
      </c>
      <c r="AK18" s="81">
        <f t="shared" si="5"/>
        <v>264.07364341085264</v>
      </c>
      <c r="AL18" s="81">
        <f t="shared" si="6"/>
        <v>190.65499999999992</v>
      </c>
      <c r="AM18" s="83">
        <f t="shared" si="7"/>
        <v>0.13636363636363635</v>
      </c>
      <c r="AN18" s="83">
        <v>0.12</v>
      </c>
      <c r="AO18" s="83">
        <f t="shared" si="8"/>
        <v>0.20517315068493147</v>
      </c>
      <c r="AP18" s="83">
        <f>AF18*0.2243/AC18</f>
        <v>1.2710333333333332</v>
      </c>
      <c r="AQ18" s="83">
        <f t="shared" si="10"/>
        <v>0.55967180872143363</v>
      </c>
      <c r="AR18" s="77" t="s">
        <v>45</v>
      </c>
    </row>
    <row r="19" spans="1:44" ht="15" customHeight="1" x14ac:dyDescent="0.25">
      <c r="A19" s="76">
        <v>18</v>
      </c>
      <c r="B19" s="76">
        <v>1980</v>
      </c>
      <c r="C19" s="77" t="s">
        <v>41</v>
      </c>
      <c r="D19" s="76">
        <v>7</v>
      </c>
      <c r="E19" s="78">
        <v>5</v>
      </c>
      <c r="F19" s="79">
        <v>2.875</v>
      </c>
      <c r="G19" s="56">
        <v>43</v>
      </c>
      <c r="H19" s="56">
        <v>57</v>
      </c>
      <c r="I19" s="78">
        <v>36</v>
      </c>
      <c r="J19" s="81">
        <v>0.12</v>
      </c>
      <c r="K19" s="77" t="s">
        <v>306</v>
      </c>
      <c r="L19" s="77" t="s">
        <v>36</v>
      </c>
      <c r="M19" s="77" t="s">
        <v>289</v>
      </c>
      <c r="N19" s="77">
        <v>25</v>
      </c>
      <c r="O19" s="77">
        <v>360</v>
      </c>
      <c r="P19" s="78"/>
      <c r="Q19" s="44">
        <v>40</v>
      </c>
      <c r="R19" s="82"/>
      <c r="S19" s="82">
        <v>1.6963562365495294E-4</v>
      </c>
      <c r="T19" s="82">
        <v>876000000</v>
      </c>
      <c r="U19" s="78">
        <v>2703</v>
      </c>
      <c r="V19" s="82">
        <v>1.7919999999999998E-2</v>
      </c>
      <c r="W19" s="82">
        <v>2.3040000000000001E-2</v>
      </c>
      <c r="X19" s="82">
        <v>0.54900000000000004</v>
      </c>
      <c r="Y19" s="78">
        <v>29.6</v>
      </c>
      <c r="Z19" s="78">
        <v>1075</v>
      </c>
      <c r="AA19" s="78">
        <f t="shared" si="12"/>
        <v>400</v>
      </c>
      <c r="AB19" s="81">
        <f t="shared" si="0"/>
        <v>0.82189116447904176</v>
      </c>
      <c r="AC19" s="81">
        <f t="shared" si="1"/>
        <v>150</v>
      </c>
      <c r="AD19" s="81">
        <v>1000</v>
      </c>
      <c r="AE19" s="81">
        <f t="shared" si="2"/>
        <v>930.23255813953483</v>
      </c>
      <c r="AF19" s="81">
        <f t="shared" si="11"/>
        <v>850</v>
      </c>
      <c r="AG19" s="83">
        <v>1</v>
      </c>
      <c r="AH19" s="83">
        <f t="shared" si="13"/>
        <v>5.666666666666667</v>
      </c>
      <c r="AI19" s="83">
        <f t="shared" si="14"/>
        <v>0.85</v>
      </c>
      <c r="AJ19" s="81">
        <f t="shared" si="4"/>
        <v>337.71400000000006</v>
      </c>
      <c r="AK19" s="81">
        <f t="shared" si="5"/>
        <v>261.79379844961244</v>
      </c>
      <c r="AL19" s="81">
        <f t="shared" si="6"/>
        <v>187.71400000000006</v>
      </c>
      <c r="AM19" s="83">
        <f t="shared" si="7"/>
        <v>0.13636363636363635</v>
      </c>
      <c r="AN19" s="83">
        <v>0.12</v>
      </c>
      <c r="AO19" s="83">
        <f t="shared" si="8"/>
        <v>0.20162783561643838</v>
      </c>
      <c r="AP19" s="83">
        <f>AF19*0.22084/AC19</f>
        <v>1.2514266666666667</v>
      </c>
      <c r="AQ19" s="83">
        <f t="shared" si="10"/>
        <v>0.55583718767951584</v>
      </c>
      <c r="AR19" s="77" t="s">
        <v>46</v>
      </c>
    </row>
    <row r="20" spans="1:44" ht="15" customHeight="1" x14ac:dyDescent="0.25">
      <c r="A20" s="1">
        <v>19</v>
      </c>
      <c r="B20" s="1">
        <v>1980</v>
      </c>
      <c r="C20" s="28" t="s">
        <v>41</v>
      </c>
      <c r="D20" s="1">
        <v>8</v>
      </c>
      <c r="E20" s="8">
        <v>5</v>
      </c>
      <c r="F20" s="31">
        <v>2.875</v>
      </c>
      <c r="G20" s="57">
        <v>43</v>
      </c>
      <c r="H20" s="57">
        <v>57</v>
      </c>
      <c r="I20" s="8">
        <v>36</v>
      </c>
      <c r="J20" s="51">
        <v>3.8899999999999997E-2</v>
      </c>
      <c r="K20" s="28" t="s">
        <v>306</v>
      </c>
      <c r="L20" s="28" t="s">
        <v>36</v>
      </c>
      <c r="M20" s="28" t="s">
        <v>289</v>
      </c>
      <c r="N20" s="28">
        <v>25</v>
      </c>
      <c r="O20" s="28">
        <v>540</v>
      </c>
      <c r="P20" s="8"/>
      <c r="Q20" s="51">
        <v>55</v>
      </c>
      <c r="R20" s="9"/>
      <c r="S20" s="9">
        <v>1.6963562365495294E-4</v>
      </c>
      <c r="T20" s="9">
        <v>876000000</v>
      </c>
      <c r="U20" s="8">
        <v>2703</v>
      </c>
      <c r="V20" s="9">
        <v>1.7919999999999998E-2</v>
      </c>
      <c r="W20" s="9">
        <v>2.3040000000000001E-2</v>
      </c>
      <c r="X20" s="9">
        <v>0.54900000000000004</v>
      </c>
      <c r="Y20" s="8">
        <v>29.6</v>
      </c>
      <c r="Z20" s="8">
        <v>1075</v>
      </c>
      <c r="AA20" s="8">
        <f t="shared" si="12"/>
        <v>400</v>
      </c>
      <c r="AB20" s="51">
        <f t="shared" si="0"/>
        <v>0.82189116447904176</v>
      </c>
      <c r="AC20" s="51">
        <f t="shared" si="1"/>
        <v>150</v>
      </c>
      <c r="AD20" s="51">
        <v>1000</v>
      </c>
      <c r="AE20" s="51">
        <f t="shared" si="2"/>
        <v>930.23255813953483</v>
      </c>
      <c r="AF20" s="51">
        <f t="shared" si="11"/>
        <v>850</v>
      </c>
      <c r="AG20" s="52">
        <v>1</v>
      </c>
      <c r="AH20" s="52">
        <f t="shared" si="13"/>
        <v>5.666666666666667</v>
      </c>
      <c r="AI20" s="52">
        <f t="shared" si="14"/>
        <v>0.85</v>
      </c>
      <c r="AJ20" s="51">
        <f t="shared" si="4"/>
        <v>313.23399999999998</v>
      </c>
      <c r="AK20" s="51">
        <f t="shared" si="5"/>
        <v>242.81705426356586</v>
      </c>
      <c r="AL20" s="51">
        <f t="shared" si="6"/>
        <v>163.23399999999998</v>
      </c>
      <c r="AM20" s="52">
        <f t="shared" si="7"/>
        <v>0.13636363636363635</v>
      </c>
      <c r="AN20" s="52">
        <v>0.12</v>
      </c>
      <c r="AO20" s="52">
        <f t="shared" si="8"/>
        <v>0.17211769863013696</v>
      </c>
      <c r="AP20" s="52">
        <f>AF20*0.19204/AC20</f>
        <v>1.0882266666666665</v>
      </c>
      <c r="AQ20" s="52">
        <f t="shared" si="10"/>
        <v>0.52112478211177582</v>
      </c>
      <c r="AR20" s="28" t="s">
        <v>47</v>
      </c>
    </row>
    <row r="21" spans="1:44" ht="15" hidden="1" customHeight="1" x14ac:dyDescent="0.25">
      <c r="A21" s="3">
        <v>20</v>
      </c>
      <c r="B21" s="3">
        <v>1983</v>
      </c>
      <c r="C21" s="27" t="s">
        <v>48</v>
      </c>
      <c r="D21" s="3">
        <v>1</v>
      </c>
      <c r="E21" s="11">
        <v>15</v>
      </c>
      <c r="F21" s="79">
        <v>0.6</v>
      </c>
      <c r="G21" s="45">
        <v>40</v>
      </c>
      <c r="H21" s="45">
        <v>40</v>
      </c>
      <c r="I21" s="11">
        <v>168</v>
      </c>
      <c r="J21" s="47">
        <v>0.36919999999999997</v>
      </c>
      <c r="K21" s="27" t="s">
        <v>306</v>
      </c>
      <c r="L21" s="27" t="s">
        <v>36</v>
      </c>
      <c r="M21" s="27" t="s">
        <v>34</v>
      </c>
      <c r="N21" s="27" t="s">
        <v>34</v>
      </c>
      <c r="O21" s="27" t="s">
        <v>34</v>
      </c>
      <c r="P21" s="11"/>
      <c r="Q21" s="55">
        <v>16.93</v>
      </c>
      <c r="R21" s="4"/>
      <c r="S21" s="4">
        <v>7.4606156180617765E-3</v>
      </c>
      <c r="T21" s="4">
        <v>850000000</v>
      </c>
      <c r="U21" s="11">
        <v>1483</v>
      </c>
      <c r="V21" s="4">
        <v>1.7919999999999998E-2</v>
      </c>
      <c r="W21" s="4">
        <v>2.3040000000000001E-2</v>
      </c>
      <c r="X21" s="4">
        <v>0.54900000000000004</v>
      </c>
      <c r="Y21" s="11">
        <v>29.6</v>
      </c>
      <c r="Z21" s="11">
        <v>1075</v>
      </c>
      <c r="AA21" s="11">
        <f t="shared" si="12"/>
        <v>400</v>
      </c>
      <c r="AB21" s="47">
        <f t="shared" si="0"/>
        <v>0.82189116447904176</v>
      </c>
      <c r="AC21" s="47">
        <f t="shared" si="1"/>
        <v>250.72320000000002</v>
      </c>
      <c r="AD21" s="47">
        <v>1000</v>
      </c>
      <c r="AE21" s="47">
        <f t="shared" si="2"/>
        <v>930.23255813953483</v>
      </c>
      <c r="AF21" s="47">
        <f t="shared" si="11"/>
        <v>749.27679999999998</v>
      </c>
      <c r="AG21" s="53">
        <v>1</v>
      </c>
      <c r="AH21" s="53">
        <f t="shared" ref="AH21:AH28" si="15">(1-0.84*0.29848)/(0.84*0.29848)</f>
        <v>2.988462176615486</v>
      </c>
      <c r="AI21" s="53">
        <f t="shared" si="14"/>
        <v>0.74927679999999997</v>
      </c>
      <c r="AJ21" s="47">
        <f t="shared" si="4"/>
        <v>298.48</v>
      </c>
      <c r="AK21" s="47">
        <f t="shared" si="5"/>
        <v>231.37984496124031</v>
      </c>
      <c r="AL21" s="47">
        <f t="shared" si="6"/>
        <v>47.756800000000005</v>
      </c>
      <c r="AM21" s="53">
        <f t="shared" si="7"/>
        <v>0.13636363636363635</v>
      </c>
      <c r="AN21" s="53">
        <v>0.12</v>
      </c>
      <c r="AO21" s="53">
        <f t="shared" si="8"/>
        <v>1.8972890785104429E-2</v>
      </c>
      <c r="AP21" s="53">
        <f t="shared" ref="AP21:AP28" si="16">4/21</f>
        <v>0.19047619047619047</v>
      </c>
      <c r="AQ21" s="53">
        <f t="shared" si="10"/>
        <v>0.16</v>
      </c>
      <c r="AR21" s="27" t="s">
        <v>34</v>
      </c>
    </row>
    <row r="22" spans="1:44" ht="15" customHeight="1" x14ac:dyDescent="0.25">
      <c r="A22" s="76">
        <v>21</v>
      </c>
      <c r="B22" s="76">
        <v>1983</v>
      </c>
      <c r="C22" s="77" t="s">
        <v>48</v>
      </c>
      <c r="D22" s="76">
        <v>2</v>
      </c>
      <c r="E22" s="78">
        <v>14</v>
      </c>
      <c r="F22" s="79">
        <v>0.6</v>
      </c>
      <c r="G22" s="80">
        <v>40</v>
      </c>
      <c r="H22" s="80">
        <v>40</v>
      </c>
      <c r="I22" s="78">
        <v>156</v>
      </c>
      <c r="J22" s="81">
        <v>0.51449999999999996</v>
      </c>
      <c r="K22" s="77" t="s">
        <v>306</v>
      </c>
      <c r="L22" s="77" t="s">
        <v>36</v>
      </c>
      <c r="M22" s="77" t="s">
        <v>289</v>
      </c>
      <c r="N22" s="77">
        <v>25</v>
      </c>
      <c r="O22" s="77">
        <v>180</v>
      </c>
      <c r="P22" s="78"/>
      <c r="Q22" s="44">
        <v>23.952000000000002</v>
      </c>
      <c r="R22" s="82"/>
      <c r="S22" s="82">
        <v>7.4606156180617765E-3</v>
      </c>
      <c r="T22" s="82">
        <v>850000000</v>
      </c>
      <c r="U22" s="78">
        <v>1483</v>
      </c>
      <c r="V22" s="82">
        <v>1.7919999999999998E-2</v>
      </c>
      <c r="W22" s="82">
        <v>2.3040000000000001E-2</v>
      </c>
      <c r="X22" s="82">
        <v>0.54900000000000004</v>
      </c>
      <c r="Y22" s="78">
        <v>29.6</v>
      </c>
      <c r="Z22" s="78">
        <v>1075</v>
      </c>
      <c r="AA22" s="78">
        <f t="shared" si="12"/>
        <v>400</v>
      </c>
      <c r="AB22" s="81">
        <f t="shared" si="0"/>
        <v>0.82189116447904176</v>
      </c>
      <c r="AC22" s="81">
        <f t="shared" si="1"/>
        <v>250.72320000000002</v>
      </c>
      <c r="AD22" s="81">
        <v>1000</v>
      </c>
      <c r="AE22" s="81">
        <f t="shared" si="2"/>
        <v>930.23255813953483</v>
      </c>
      <c r="AF22" s="81">
        <f t="shared" si="11"/>
        <v>749.27679999999998</v>
      </c>
      <c r="AG22" s="83">
        <v>1</v>
      </c>
      <c r="AH22" s="83">
        <f t="shared" si="15"/>
        <v>2.988462176615486</v>
      </c>
      <c r="AI22" s="83">
        <f t="shared" si="14"/>
        <v>0.74927679999999997</v>
      </c>
      <c r="AJ22" s="81">
        <f t="shared" si="4"/>
        <v>298.48</v>
      </c>
      <c r="AK22" s="81">
        <f t="shared" si="5"/>
        <v>231.37984496124031</v>
      </c>
      <c r="AL22" s="81">
        <f t="shared" si="6"/>
        <v>47.756800000000005</v>
      </c>
      <c r="AM22" s="83">
        <f t="shared" si="7"/>
        <v>0.13636363636363635</v>
      </c>
      <c r="AN22" s="83">
        <v>0.12</v>
      </c>
      <c r="AO22" s="83">
        <f t="shared" si="8"/>
        <v>1.8972890785104429E-2</v>
      </c>
      <c r="AP22" s="83">
        <f t="shared" si="16"/>
        <v>0.19047619047619047</v>
      </c>
      <c r="AQ22" s="83">
        <f t="shared" si="10"/>
        <v>0.16</v>
      </c>
      <c r="AR22" s="77" t="s">
        <v>49</v>
      </c>
    </row>
    <row r="23" spans="1:44" ht="15" customHeight="1" x14ac:dyDescent="0.25">
      <c r="A23" s="76">
        <v>22</v>
      </c>
      <c r="B23" s="76">
        <v>1983</v>
      </c>
      <c r="C23" s="77" t="s">
        <v>48</v>
      </c>
      <c r="D23" s="76">
        <v>3</v>
      </c>
      <c r="E23" s="78">
        <v>12</v>
      </c>
      <c r="F23" s="79">
        <v>0.6</v>
      </c>
      <c r="G23" s="80">
        <v>40</v>
      </c>
      <c r="H23" s="80">
        <v>40</v>
      </c>
      <c r="I23" s="78">
        <v>156</v>
      </c>
      <c r="J23" s="81">
        <v>1.0622</v>
      </c>
      <c r="K23" s="77" t="s">
        <v>306</v>
      </c>
      <c r="L23" s="77" t="s">
        <v>36</v>
      </c>
      <c r="M23" s="77" t="s">
        <v>289</v>
      </c>
      <c r="N23" s="77">
        <v>25</v>
      </c>
      <c r="O23" s="77">
        <v>180</v>
      </c>
      <c r="P23" s="78"/>
      <c r="Q23" s="44">
        <v>38.06</v>
      </c>
      <c r="R23" s="82"/>
      <c r="S23" s="82">
        <v>7.4606156180617765E-3</v>
      </c>
      <c r="T23" s="82">
        <v>850000000</v>
      </c>
      <c r="U23" s="78">
        <v>1483</v>
      </c>
      <c r="V23" s="82">
        <v>1.7919999999999998E-2</v>
      </c>
      <c r="W23" s="82">
        <v>2.3040000000000001E-2</v>
      </c>
      <c r="X23" s="82">
        <v>0.54900000000000004</v>
      </c>
      <c r="Y23" s="78">
        <v>29.6</v>
      </c>
      <c r="Z23" s="78">
        <v>1075</v>
      </c>
      <c r="AA23" s="78">
        <f t="shared" si="12"/>
        <v>400</v>
      </c>
      <c r="AB23" s="81">
        <f t="shared" si="0"/>
        <v>0.82189116447904176</v>
      </c>
      <c r="AC23" s="81">
        <f t="shared" si="1"/>
        <v>250.72320000000002</v>
      </c>
      <c r="AD23" s="81">
        <v>1000</v>
      </c>
      <c r="AE23" s="81">
        <f t="shared" si="2"/>
        <v>930.23255813953483</v>
      </c>
      <c r="AF23" s="81">
        <f t="shared" si="11"/>
        <v>749.27679999999998</v>
      </c>
      <c r="AG23" s="83">
        <v>1</v>
      </c>
      <c r="AH23" s="83">
        <f t="shared" si="15"/>
        <v>2.988462176615486</v>
      </c>
      <c r="AI23" s="83">
        <f t="shared" si="14"/>
        <v>0.74927679999999997</v>
      </c>
      <c r="AJ23" s="81">
        <f t="shared" si="4"/>
        <v>298.48</v>
      </c>
      <c r="AK23" s="81">
        <f t="shared" si="5"/>
        <v>231.37984496124031</v>
      </c>
      <c r="AL23" s="81">
        <f t="shared" si="6"/>
        <v>47.756800000000005</v>
      </c>
      <c r="AM23" s="83">
        <f t="shared" si="7"/>
        <v>0.13636363636363635</v>
      </c>
      <c r="AN23" s="83">
        <v>0.12</v>
      </c>
      <c r="AO23" s="83">
        <f t="shared" si="8"/>
        <v>1.8972890785104429E-2</v>
      </c>
      <c r="AP23" s="83">
        <f t="shared" si="16"/>
        <v>0.19047619047619047</v>
      </c>
      <c r="AQ23" s="83">
        <f t="shared" si="10"/>
        <v>0.16</v>
      </c>
      <c r="AR23" s="77" t="s">
        <v>50</v>
      </c>
    </row>
    <row r="24" spans="1:44" ht="15" customHeight="1" x14ac:dyDescent="0.25">
      <c r="A24" s="76">
        <v>23</v>
      </c>
      <c r="B24" s="76">
        <v>1983</v>
      </c>
      <c r="C24" s="77" t="s">
        <v>48</v>
      </c>
      <c r="D24" s="76">
        <v>4</v>
      </c>
      <c r="E24" s="78">
        <v>11</v>
      </c>
      <c r="F24" s="79">
        <v>0.6</v>
      </c>
      <c r="G24" s="80">
        <v>40</v>
      </c>
      <c r="H24" s="80">
        <v>40</v>
      </c>
      <c r="I24" s="78">
        <v>156</v>
      </c>
      <c r="J24" s="81">
        <v>0.89859999999999995</v>
      </c>
      <c r="K24" s="77" t="s">
        <v>306</v>
      </c>
      <c r="L24" s="77" t="s">
        <v>36</v>
      </c>
      <c r="M24" s="77" t="s">
        <v>289</v>
      </c>
      <c r="N24" s="77">
        <v>25</v>
      </c>
      <c r="O24" s="77">
        <v>180</v>
      </c>
      <c r="P24" s="78"/>
      <c r="Q24" s="44">
        <v>39.774999999999999</v>
      </c>
      <c r="R24" s="82"/>
      <c r="S24" s="82">
        <v>7.4606156180617765E-3</v>
      </c>
      <c r="T24" s="82">
        <v>850000000</v>
      </c>
      <c r="U24" s="78">
        <v>1483</v>
      </c>
      <c r="V24" s="82">
        <v>1.7919999999999998E-2</v>
      </c>
      <c r="W24" s="82">
        <v>2.3040000000000001E-2</v>
      </c>
      <c r="X24" s="82">
        <v>0.54900000000000004</v>
      </c>
      <c r="Y24" s="78">
        <v>29.6</v>
      </c>
      <c r="Z24" s="78">
        <v>1075</v>
      </c>
      <c r="AA24" s="78">
        <f t="shared" si="12"/>
        <v>400</v>
      </c>
      <c r="AB24" s="81">
        <f t="shared" si="0"/>
        <v>0.82189116447904176</v>
      </c>
      <c r="AC24" s="81">
        <f t="shared" si="1"/>
        <v>250.72320000000002</v>
      </c>
      <c r="AD24" s="81">
        <v>1000</v>
      </c>
      <c r="AE24" s="81">
        <f t="shared" si="2"/>
        <v>930.23255813953483</v>
      </c>
      <c r="AF24" s="81">
        <f t="shared" si="11"/>
        <v>749.27679999999998</v>
      </c>
      <c r="AG24" s="83">
        <v>1</v>
      </c>
      <c r="AH24" s="83">
        <f t="shared" si="15"/>
        <v>2.988462176615486</v>
      </c>
      <c r="AI24" s="83">
        <f t="shared" si="14"/>
        <v>0.74927679999999997</v>
      </c>
      <c r="AJ24" s="81">
        <f t="shared" si="4"/>
        <v>298.48</v>
      </c>
      <c r="AK24" s="81">
        <f t="shared" si="5"/>
        <v>231.37984496124031</v>
      </c>
      <c r="AL24" s="81">
        <f t="shared" si="6"/>
        <v>47.756800000000005</v>
      </c>
      <c r="AM24" s="83">
        <f t="shared" si="7"/>
        <v>0.13636363636363635</v>
      </c>
      <c r="AN24" s="83">
        <v>0.12</v>
      </c>
      <c r="AO24" s="83">
        <f t="shared" si="8"/>
        <v>1.8972890785104429E-2</v>
      </c>
      <c r="AP24" s="83">
        <f t="shared" si="16"/>
        <v>0.19047619047619047</v>
      </c>
      <c r="AQ24" s="83">
        <f t="shared" si="10"/>
        <v>0.16</v>
      </c>
      <c r="AR24" s="77" t="s">
        <v>51</v>
      </c>
    </row>
    <row r="25" spans="1:44" ht="15" customHeight="1" x14ac:dyDescent="0.25">
      <c r="A25" s="76">
        <v>24</v>
      </c>
      <c r="B25" s="76">
        <v>1983</v>
      </c>
      <c r="C25" s="77" t="s">
        <v>48</v>
      </c>
      <c r="D25" s="76">
        <v>5</v>
      </c>
      <c r="E25" s="78">
        <v>11</v>
      </c>
      <c r="F25" s="79">
        <v>0.6</v>
      </c>
      <c r="G25" s="80">
        <v>40</v>
      </c>
      <c r="H25" s="80">
        <v>40</v>
      </c>
      <c r="I25" s="78">
        <v>144</v>
      </c>
      <c r="J25" s="81">
        <v>0.43070000000000003</v>
      </c>
      <c r="K25" s="77" t="s">
        <v>306</v>
      </c>
      <c r="L25" s="77" t="s">
        <v>36</v>
      </c>
      <c r="M25" s="77" t="s">
        <v>289</v>
      </c>
      <c r="N25" s="77">
        <v>25</v>
      </c>
      <c r="O25" s="77">
        <v>180</v>
      </c>
      <c r="P25" s="78"/>
      <c r="Q25" s="44">
        <v>41.924999999999997</v>
      </c>
      <c r="R25" s="82"/>
      <c r="S25" s="82">
        <v>7.4606156180617765E-3</v>
      </c>
      <c r="T25" s="82">
        <v>850000000</v>
      </c>
      <c r="U25" s="78">
        <v>1483</v>
      </c>
      <c r="V25" s="82">
        <v>1.7919999999999998E-2</v>
      </c>
      <c r="W25" s="82">
        <v>2.3040000000000001E-2</v>
      </c>
      <c r="X25" s="82">
        <v>0.54900000000000004</v>
      </c>
      <c r="Y25" s="78">
        <v>29.6</v>
      </c>
      <c r="Z25" s="78">
        <v>1075</v>
      </c>
      <c r="AA25" s="78">
        <f t="shared" si="12"/>
        <v>400</v>
      </c>
      <c r="AB25" s="81">
        <f t="shared" si="0"/>
        <v>0.82189116447904176</v>
      </c>
      <c r="AC25" s="81">
        <f t="shared" si="1"/>
        <v>250.72320000000002</v>
      </c>
      <c r="AD25" s="81">
        <v>1000</v>
      </c>
      <c r="AE25" s="81">
        <f t="shared" si="2"/>
        <v>930.23255813953483</v>
      </c>
      <c r="AF25" s="81">
        <f t="shared" si="11"/>
        <v>749.27679999999998</v>
      </c>
      <c r="AG25" s="83">
        <v>1</v>
      </c>
      <c r="AH25" s="83">
        <f t="shared" si="15"/>
        <v>2.988462176615486</v>
      </c>
      <c r="AI25" s="83">
        <f t="shared" si="14"/>
        <v>0.74927679999999997</v>
      </c>
      <c r="AJ25" s="81">
        <f t="shared" si="4"/>
        <v>298.48</v>
      </c>
      <c r="AK25" s="81">
        <f t="shared" si="5"/>
        <v>231.37984496124031</v>
      </c>
      <c r="AL25" s="81">
        <f t="shared" si="6"/>
        <v>47.756800000000005</v>
      </c>
      <c r="AM25" s="83">
        <f t="shared" si="7"/>
        <v>0.13636363636363635</v>
      </c>
      <c r="AN25" s="83">
        <v>0.12</v>
      </c>
      <c r="AO25" s="83">
        <f t="shared" si="8"/>
        <v>1.8972890785104429E-2</v>
      </c>
      <c r="AP25" s="83">
        <f t="shared" si="16"/>
        <v>0.19047619047619047</v>
      </c>
      <c r="AQ25" s="83">
        <f t="shared" si="10"/>
        <v>0.16</v>
      </c>
      <c r="AR25" s="77" t="s">
        <v>52</v>
      </c>
    </row>
    <row r="26" spans="1:44" ht="15" customHeight="1" x14ac:dyDescent="0.25">
      <c r="A26" s="76">
        <v>25</v>
      </c>
      <c r="B26" s="76">
        <v>1983</v>
      </c>
      <c r="C26" s="77" t="s">
        <v>48</v>
      </c>
      <c r="D26" s="76">
        <v>6</v>
      </c>
      <c r="E26" s="78">
        <v>11</v>
      </c>
      <c r="F26" s="79">
        <v>0.6</v>
      </c>
      <c r="G26" s="80">
        <v>40</v>
      </c>
      <c r="H26" s="80">
        <v>40</v>
      </c>
      <c r="I26" s="78">
        <v>144</v>
      </c>
      <c r="J26" s="81">
        <v>0.27589999999999998</v>
      </c>
      <c r="K26" s="77" t="s">
        <v>306</v>
      </c>
      <c r="L26" s="77" t="s">
        <v>36</v>
      </c>
      <c r="M26" s="77" t="s">
        <v>289</v>
      </c>
      <c r="N26" s="77">
        <v>25</v>
      </c>
      <c r="O26" s="77">
        <v>180</v>
      </c>
      <c r="P26" s="78"/>
      <c r="Q26" s="44">
        <v>36.540999999999997</v>
      </c>
      <c r="R26" s="82"/>
      <c r="S26" s="82">
        <v>7.4606156180617765E-3</v>
      </c>
      <c r="T26" s="82">
        <v>850000000</v>
      </c>
      <c r="U26" s="78">
        <v>1483</v>
      </c>
      <c r="V26" s="82">
        <v>1.7919999999999998E-2</v>
      </c>
      <c r="W26" s="82">
        <v>2.3040000000000001E-2</v>
      </c>
      <c r="X26" s="82">
        <v>0.54900000000000004</v>
      </c>
      <c r="Y26" s="78">
        <v>29.6</v>
      </c>
      <c r="Z26" s="78">
        <v>1075</v>
      </c>
      <c r="AA26" s="78">
        <f t="shared" si="12"/>
        <v>400</v>
      </c>
      <c r="AB26" s="81">
        <f t="shared" si="0"/>
        <v>0.82189116447904176</v>
      </c>
      <c r="AC26" s="81">
        <f t="shared" si="1"/>
        <v>250.72320000000002</v>
      </c>
      <c r="AD26" s="81">
        <v>1000</v>
      </c>
      <c r="AE26" s="81">
        <f t="shared" si="2"/>
        <v>930.23255813953483</v>
      </c>
      <c r="AF26" s="81">
        <f t="shared" si="11"/>
        <v>749.27679999999998</v>
      </c>
      <c r="AG26" s="83">
        <v>1</v>
      </c>
      <c r="AH26" s="83">
        <f t="shared" si="15"/>
        <v>2.988462176615486</v>
      </c>
      <c r="AI26" s="83">
        <f t="shared" si="14"/>
        <v>0.74927679999999997</v>
      </c>
      <c r="AJ26" s="81">
        <f t="shared" si="4"/>
        <v>298.48</v>
      </c>
      <c r="AK26" s="81">
        <f t="shared" si="5"/>
        <v>231.37984496124031</v>
      </c>
      <c r="AL26" s="81">
        <f t="shared" si="6"/>
        <v>47.756800000000005</v>
      </c>
      <c r="AM26" s="83">
        <f t="shared" si="7"/>
        <v>0.13636363636363635</v>
      </c>
      <c r="AN26" s="83">
        <v>0.12</v>
      </c>
      <c r="AO26" s="83">
        <f t="shared" si="8"/>
        <v>1.8972890785104429E-2</v>
      </c>
      <c r="AP26" s="83">
        <f t="shared" si="16"/>
        <v>0.19047619047619047</v>
      </c>
      <c r="AQ26" s="83">
        <f t="shared" si="10"/>
        <v>0.16</v>
      </c>
      <c r="AR26" s="77" t="s">
        <v>53</v>
      </c>
    </row>
    <row r="27" spans="1:44" ht="15" customHeight="1" x14ac:dyDescent="0.25">
      <c r="A27" s="76">
        <v>26</v>
      </c>
      <c r="B27" s="76">
        <v>1983</v>
      </c>
      <c r="C27" s="77" t="s">
        <v>48</v>
      </c>
      <c r="D27" s="76">
        <v>7</v>
      </c>
      <c r="E27" s="78">
        <v>10</v>
      </c>
      <c r="F27" s="79">
        <v>0.8</v>
      </c>
      <c r="G27" s="80">
        <v>40</v>
      </c>
      <c r="H27" s="80">
        <v>40</v>
      </c>
      <c r="I27" s="78">
        <v>108</v>
      </c>
      <c r="J27" s="81">
        <v>0.24260000000000001</v>
      </c>
      <c r="K27" s="77" t="s">
        <v>306</v>
      </c>
      <c r="L27" s="77" t="s">
        <v>36</v>
      </c>
      <c r="M27" s="77" t="s">
        <v>289</v>
      </c>
      <c r="N27" s="77">
        <v>25</v>
      </c>
      <c r="O27" s="77">
        <v>180</v>
      </c>
      <c r="P27" s="78"/>
      <c r="Q27" s="44">
        <v>45</v>
      </c>
      <c r="R27" s="82"/>
      <c r="S27" s="82">
        <v>7.4606156180617765E-3</v>
      </c>
      <c r="T27" s="82">
        <v>850000000</v>
      </c>
      <c r="U27" s="78">
        <v>1483</v>
      </c>
      <c r="V27" s="82">
        <v>1.7919999999999998E-2</v>
      </c>
      <c r="W27" s="82">
        <v>2.3040000000000001E-2</v>
      </c>
      <c r="X27" s="82">
        <v>0.54900000000000004</v>
      </c>
      <c r="Y27" s="78">
        <v>29.6</v>
      </c>
      <c r="Z27" s="78">
        <v>1075</v>
      </c>
      <c r="AA27" s="78">
        <f t="shared" si="12"/>
        <v>400</v>
      </c>
      <c r="AB27" s="81">
        <f t="shared" si="0"/>
        <v>0.82189116447904176</v>
      </c>
      <c r="AC27" s="81">
        <f t="shared" si="1"/>
        <v>250.72320000000002</v>
      </c>
      <c r="AD27" s="81">
        <v>1000</v>
      </c>
      <c r="AE27" s="81">
        <f t="shared" si="2"/>
        <v>930.23255813953483</v>
      </c>
      <c r="AF27" s="81">
        <f t="shared" si="11"/>
        <v>749.27679999999998</v>
      </c>
      <c r="AG27" s="83">
        <v>1</v>
      </c>
      <c r="AH27" s="83">
        <f t="shared" si="15"/>
        <v>2.988462176615486</v>
      </c>
      <c r="AI27" s="83">
        <f t="shared" si="14"/>
        <v>0.74927679999999997</v>
      </c>
      <c r="AJ27" s="81">
        <f t="shared" si="4"/>
        <v>298.48</v>
      </c>
      <c r="AK27" s="81">
        <f t="shared" si="5"/>
        <v>231.37984496124031</v>
      </c>
      <c r="AL27" s="81">
        <f t="shared" si="6"/>
        <v>47.756800000000005</v>
      </c>
      <c r="AM27" s="83">
        <f t="shared" si="7"/>
        <v>0.13636363636363635</v>
      </c>
      <c r="AN27" s="83">
        <v>0.12</v>
      </c>
      <c r="AO27" s="83">
        <f t="shared" si="8"/>
        <v>1.8972890785104429E-2</v>
      </c>
      <c r="AP27" s="83">
        <f t="shared" si="16"/>
        <v>0.19047619047619047</v>
      </c>
      <c r="AQ27" s="83">
        <f t="shared" si="10"/>
        <v>0.16</v>
      </c>
      <c r="AR27" s="77" t="s">
        <v>54</v>
      </c>
    </row>
    <row r="28" spans="1:44" ht="15" customHeight="1" x14ac:dyDescent="0.25">
      <c r="A28" s="1">
        <v>27</v>
      </c>
      <c r="B28" s="1">
        <v>1983</v>
      </c>
      <c r="C28" s="28" t="s">
        <v>48</v>
      </c>
      <c r="D28" s="1">
        <v>8</v>
      </c>
      <c r="E28" s="8">
        <v>9</v>
      </c>
      <c r="F28" s="79">
        <v>0.9</v>
      </c>
      <c r="G28" s="49">
        <v>40</v>
      </c>
      <c r="H28" s="49">
        <v>40</v>
      </c>
      <c r="I28" s="8">
        <v>96</v>
      </c>
      <c r="J28" s="51">
        <v>0.186</v>
      </c>
      <c r="K28" s="28" t="s">
        <v>306</v>
      </c>
      <c r="L28" s="28" t="s">
        <v>36</v>
      </c>
      <c r="M28" s="28" t="s">
        <v>289</v>
      </c>
      <c r="N28" s="28">
        <v>25</v>
      </c>
      <c r="O28" s="28">
        <v>180</v>
      </c>
      <c r="P28" s="8"/>
      <c r="Q28" s="51">
        <v>62</v>
      </c>
      <c r="R28" s="9"/>
      <c r="S28" s="9">
        <v>7.4606156180617765E-3</v>
      </c>
      <c r="T28" s="9">
        <v>850000000</v>
      </c>
      <c r="U28" s="8">
        <v>1483</v>
      </c>
      <c r="V28" s="9">
        <v>1.7919999999999998E-2</v>
      </c>
      <c r="W28" s="9">
        <v>2.3040000000000001E-2</v>
      </c>
      <c r="X28" s="9">
        <v>0.54900000000000004</v>
      </c>
      <c r="Y28" s="8">
        <v>29.6</v>
      </c>
      <c r="Z28" s="8">
        <v>1075</v>
      </c>
      <c r="AA28" s="8">
        <f t="shared" si="12"/>
        <v>400</v>
      </c>
      <c r="AB28" s="51">
        <f t="shared" si="0"/>
        <v>0.82189116447904176</v>
      </c>
      <c r="AC28" s="51">
        <f t="shared" si="1"/>
        <v>250.72320000000002</v>
      </c>
      <c r="AD28" s="51">
        <v>1000</v>
      </c>
      <c r="AE28" s="51">
        <f t="shared" si="2"/>
        <v>930.23255813953483</v>
      </c>
      <c r="AF28" s="51">
        <f t="shared" si="11"/>
        <v>749.27679999999998</v>
      </c>
      <c r="AG28" s="52">
        <v>1</v>
      </c>
      <c r="AH28" s="52">
        <f t="shared" si="15"/>
        <v>2.988462176615486</v>
      </c>
      <c r="AI28" s="52">
        <f t="shared" si="14"/>
        <v>0.74927679999999997</v>
      </c>
      <c r="AJ28" s="51">
        <f t="shared" si="4"/>
        <v>298.48</v>
      </c>
      <c r="AK28" s="51">
        <f t="shared" si="5"/>
        <v>231.37984496124031</v>
      </c>
      <c r="AL28" s="51">
        <f t="shared" si="6"/>
        <v>47.756800000000005</v>
      </c>
      <c r="AM28" s="52">
        <f t="shared" si="7"/>
        <v>0.13636363636363635</v>
      </c>
      <c r="AN28" s="52">
        <v>0.12</v>
      </c>
      <c r="AO28" s="52">
        <f t="shared" si="8"/>
        <v>1.8972890785104429E-2</v>
      </c>
      <c r="AP28" s="52">
        <f t="shared" si="16"/>
        <v>0.19047619047619047</v>
      </c>
      <c r="AQ28" s="52">
        <f t="shared" si="10"/>
        <v>0.16</v>
      </c>
      <c r="AR28" s="28" t="s">
        <v>55</v>
      </c>
    </row>
    <row r="29" spans="1:44" ht="15" hidden="1" customHeight="1" x14ac:dyDescent="0.25">
      <c r="A29" s="3">
        <v>28</v>
      </c>
      <c r="B29" s="3">
        <v>1985</v>
      </c>
      <c r="C29" s="27" t="s">
        <v>56</v>
      </c>
      <c r="D29" s="3">
        <v>1</v>
      </c>
      <c r="E29" s="11">
        <v>122</v>
      </c>
      <c r="F29" s="34">
        <v>0.5</v>
      </c>
      <c r="G29" s="58">
        <v>30</v>
      </c>
      <c r="H29" s="58">
        <v>70</v>
      </c>
      <c r="I29" s="11">
        <v>100</v>
      </c>
      <c r="J29" s="47">
        <v>0.20030000000000001</v>
      </c>
      <c r="K29" s="27" t="s">
        <v>306</v>
      </c>
      <c r="L29" s="27" t="s">
        <v>36</v>
      </c>
      <c r="M29" s="27" t="s">
        <v>34</v>
      </c>
      <c r="N29" s="27" t="s">
        <v>34</v>
      </c>
      <c r="O29" s="27" t="s">
        <v>34</v>
      </c>
      <c r="P29" s="11"/>
      <c r="Q29" s="55">
        <v>86.93</v>
      </c>
      <c r="R29" s="4"/>
      <c r="S29" s="4">
        <v>1.6948057134076269E-4</v>
      </c>
      <c r="T29" s="4">
        <v>850000000</v>
      </c>
      <c r="U29" s="11">
        <v>2583</v>
      </c>
      <c r="V29" s="4">
        <v>1.7919999999999998E-2</v>
      </c>
      <c r="W29" s="4">
        <v>2.3040000000000001E-2</v>
      </c>
      <c r="X29" s="4">
        <v>0.54900000000000004</v>
      </c>
      <c r="Y29" s="11">
        <v>29.6</v>
      </c>
      <c r="Z29" s="11">
        <v>1075</v>
      </c>
      <c r="AA29" s="11">
        <f t="shared" si="12"/>
        <v>400</v>
      </c>
      <c r="AB29" s="47">
        <f t="shared" si="0"/>
        <v>0.82189116447904176</v>
      </c>
      <c r="AC29" s="47">
        <f t="shared" si="1"/>
        <v>247.25699999999995</v>
      </c>
      <c r="AD29" s="47">
        <v>1000</v>
      </c>
      <c r="AE29" s="47">
        <f t="shared" si="2"/>
        <v>930.23255813953483</v>
      </c>
      <c r="AF29" s="47">
        <f>AI29*AD29</f>
        <v>752.74300000000005</v>
      </c>
      <c r="AG29" s="53">
        <v>1</v>
      </c>
      <c r="AH29" s="53">
        <f t="shared" ref="AH29:AH48" si="17">AI29/(1-AI29)</f>
        <v>3.0443748811964886</v>
      </c>
      <c r="AI29" s="53">
        <v>0.75274300000000005</v>
      </c>
      <c r="AJ29" s="47">
        <f t="shared" si="4"/>
        <v>481.1158374692339</v>
      </c>
      <c r="AK29" s="47">
        <f t="shared" si="5"/>
        <v>372.95801354204178</v>
      </c>
      <c r="AL29" s="47">
        <f t="shared" si="6"/>
        <v>233.85883746923395</v>
      </c>
      <c r="AM29" s="53">
        <f t="shared" si="7"/>
        <v>0.16279069767441862</v>
      </c>
      <c r="AN29" s="53">
        <v>0.14000000000000001</v>
      </c>
      <c r="AO29" s="53">
        <f t="shared" si="8"/>
        <v>0.27173320661931871</v>
      </c>
      <c r="AP29" s="53">
        <f t="shared" ref="AP29:AP48" si="18">AQ29/(1-AQ29)</f>
        <v>0.94581280800638201</v>
      </c>
      <c r="AQ29" s="53">
        <v>0.48607594939999998</v>
      </c>
      <c r="AR29" s="27" t="s">
        <v>34</v>
      </c>
    </row>
    <row r="30" spans="1:44" ht="15" hidden="1" customHeight="1" x14ac:dyDescent="0.25">
      <c r="A30" s="76">
        <v>29</v>
      </c>
      <c r="B30" s="76">
        <v>1985</v>
      </c>
      <c r="C30" s="77" t="s">
        <v>56</v>
      </c>
      <c r="D30" s="76">
        <v>2</v>
      </c>
      <c r="E30" s="78">
        <v>129</v>
      </c>
      <c r="F30" s="74">
        <v>0.5</v>
      </c>
      <c r="G30" s="75">
        <v>40</v>
      </c>
      <c r="H30" s="75">
        <v>40</v>
      </c>
      <c r="I30" s="78">
        <v>99</v>
      </c>
      <c r="J30" s="81">
        <v>0.49809999999999999</v>
      </c>
      <c r="K30" s="77" t="s">
        <v>306</v>
      </c>
      <c r="L30" s="77" t="s">
        <v>36</v>
      </c>
      <c r="M30" s="77" t="s">
        <v>34</v>
      </c>
      <c r="N30" s="77" t="s">
        <v>34</v>
      </c>
      <c r="O30" s="77" t="s">
        <v>34</v>
      </c>
      <c r="P30" s="78"/>
      <c r="Q30" s="44">
        <v>32.951999999999998</v>
      </c>
      <c r="R30" s="82"/>
      <c r="S30" s="82">
        <v>2.2247434337812242E-4</v>
      </c>
      <c r="T30" s="82">
        <v>850000000</v>
      </c>
      <c r="U30" s="78">
        <v>2583</v>
      </c>
      <c r="V30" s="82">
        <v>1.7919999999999998E-2</v>
      </c>
      <c r="W30" s="82">
        <v>2.3040000000000001E-2</v>
      </c>
      <c r="X30" s="82">
        <v>0.54900000000000004</v>
      </c>
      <c r="Y30" s="78">
        <v>29.6</v>
      </c>
      <c r="Z30" s="78">
        <v>1075</v>
      </c>
      <c r="AA30" s="78">
        <f t="shared" si="12"/>
        <v>400</v>
      </c>
      <c r="AB30" s="81">
        <f t="shared" si="0"/>
        <v>0.82189116447904176</v>
      </c>
      <c r="AC30" s="81">
        <f t="shared" si="1"/>
        <v>247.25699999999995</v>
      </c>
      <c r="AD30" s="81">
        <v>1000</v>
      </c>
      <c r="AE30" s="81">
        <f t="shared" si="2"/>
        <v>930.23255813953483</v>
      </c>
      <c r="AF30" s="81">
        <f t="shared" ref="AF30:AF93" si="19">AD30*AI30</f>
        <v>752.74300000000005</v>
      </c>
      <c r="AG30" s="83">
        <v>1</v>
      </c>
      <c r="AH30" s="83">
        <f t="shared" si="17"/>
        <v>3.0443748811964886</v>
      </c>
      <c r="AI30" s="83">
        <v>0.75274300000000005</v>
      </c>
      <c r="AJ30" s="81">
        <f t="shared" si="4"/>
        <v>288.10181415971692</v>
      </c>
      <c r="AK30" s="81">
        <f t="shared" si="5"/>
        <v>223.3347396586953</v>
      </c>
      <c r="AL30" s="81">
        <f t="shared" si="6"/>
        <v>40.844814159716961</v>
      </c>
      <c r="AM30" s="83">
        <f t="shared" si="7"/>
        <v>0.16279069767441862</v>
      </c>
      <c r="AN30" s="83">
        <v>0.14000000000000001</v>
      </c>
      <c r="AO30" s="83">
        <f t="shared" si="8"/>
        <v>8.3323706244965939E-4</v>
      </c>
      <c r="AP30" s="83">
        <f t="shared" si="18"/>
        <v>0.16519174041469795</v>
      </c>
      <c r="AQ30" s="83">
        <v>0.1417721519</v>
      </c>
      <c r="AR30" s="77" t="s">
        <v>34</v>
      </c>
    </row>
    <row r="31" spans="1:44" ht="15" hidden="1" customHeight="1" x14ac:dyDescent="0.25">
      <c r="A31" s="76">
        <v>30</v>
      </c>
      <c r="B31" s="76">
        <v>1985</v>
      </c>
      <c r="C31" s="77" t="s">
        <v>56</v>
      </c>
      <c r="D31" s="76">
        <v>3</v>
      </c>
      <c r="E31" s="78">
        <v>77</v>
      </c>
      <c r="F31" s="74">
        <v>0.5</v>
      </c>
      <c r="G31" s="75">
        <v>50</v>
      </c>
      <c r="H31" s="75">
        <v>25</v>
      </c>
      <c r="I31" s="78">
        <v>48</v>
      </c>
      <c r="J31" s="81">
        <v>5.1200000000000002E-2</v>
      </c>
      <c r="K31" s="77" t="s">
        <v>306</v>
      </c>
      <c r="L31" s="77" t="s">
        <v>36</v>
      </c>
      <c r="M31" s="77" t="s">
        <v>34</v>
      </c>
      <c r="N31" s="77" t="s">
        <v>34</v>
      </c>
      <c r="O31" s="77" t="s">
        <v>34</v>
      </c>
      <c r="P31" s="78"/>
      <c r="Q31" s="44">
        <v>25.06</v>
      </c>
      <c r="R31" s="82"/>
      <c r="S31" s="82">
        <v>2.8716212653909153E-4</v>
      </c>
      <c r="T31" s="82">
        <v>850000000</v>
      </c>
      <c r="U31" s="78">
        <v>2583</v>
      </c>
      <c r="V31" s="82">
        <v>1.7919999999999998E-2</v>
      </c>
      <c r="W31" s="82">
        <v>2.3040000000000001E-2</v>
      </c>
      <c r="X31" s="82">
        <v>0.54900000000000004</v>
      </c>
      <c r="Y31" s="78">
        <v>29.6</v>
      </c>
      <c r="Z31" s="78">
        <v>1075</v>
      </c>
      <c r="AA31" s="78">
        <f t="shared" si="12"/>
        <v>400</v>
      </c>
      <c r="AB31" s="81">
        <f t="shared" si="0"/>
        <v>0.82189116447904176</v>
      </c>
      <c r="AC31" s="81">
        <f t="shared" si="1"/>
        <v>247.25699999999995</v>
      </c>
      <c r="AD31" s="81">
        <v>1000</v>
      </c>
      <c r="AE31" s="81">
        <f t="shared" si="2"/>
        <v>930.23255813953483</v>
      </c>
      <c r="AF31" s="81">
        <f t="shared" si="19"/>
        <v>752.74300000000005</v>
      </c>
      <c r="AG31" s="83">
        <v>1</v>
      </c>
      <c r="AH31" s="83">
        <f t="shared" si="17"/>
        <v>3.0443748811964886</v>
      </c>
      <c r="AI31" s="83">
        <v>0.75274300000000005</v>
      </c>
      <c r="AJ31" s="81">
        <f t="shared" si="4"/>
        <v>275.11694366662164</v>
      </c>
      <c r="AK31" s="81">
        <f t="shared" si="5"/>
        <v>213.26894857877645</v>
      </c>
      <c r="AL31" s="81">
        <f t="shared" si="6"/>
        <v>27.859943666621689</v>
      </c>
      <c r="AM31" s="83">
        <f t="shared" si="7"/>
        <v>0.11267605635683396</v>
      </c>
      <c r="AN31" s="83">
        <f t="shared" ref="AN31:AN39" si="20">AQ31</f>
        <v>0.1012658228</v>
      </c>
      <c r="AO31" s="83">
        <v>0</v>
      </c>
      <c r="AP31" s="83">
        <f t="shared" si="18"/>
        <v>0.11267605635683396</v>
      </c>
      <c r="AQ31" s="83">
        <v>0.1012658228</v>
      </c>
      <c r="AR31" s="77" t="s">
        <v>34</v>
      </c>
    </row>
    <row r="32" spans="1:44" ht="15" hidden="1" customHeight="1" x14ac:dyDescent="0.25">
      <c r="A32" s="76">
        <v>31</v>
      </c>
      <c r="B32" s="76">
        <v>1985</v>
      </c>
      <c r="C32" s="77" t="s">
        <v>56</v>
      </c>
      <c r="D32" s="76">
        <v>4</v>
      </c>
      <c r="E32" s="78">
        <v>71</v>
      </c>
      <c r="F32" s="74">
        <v>0.5</v>
      </c>
      <c r="G32" s="75">
        <v>60</v>
      </c>
      <c r="H32" s="75">
        <v>15</v>
      </c>
      <c r="I32" s="78">
        <v>28</v>
      </c>
      <c r="J32" s="81">
        <v>2.9399999999999999E-2</v>
      </c>
      <c r="K32" s="77" t="s">
        <v>306</v>
      </c>
      <c r="L32" s="77" t="s">
        <v>36</v>
      </c>
      <c r="M32" s="77" t="s">
        <v>34</v>
      </c>
      <c r="N32" s="77" t="s">
        <v>34</v>
      </c>
      <c r="O32" s="77" t="s">
        <v>34</v>
      </c>
      <c r="P32" s="78"/>
      <c r="Q32" s="44">
        <v>39.774999999999999</v>
      </c>
      <c r="R32" s="82"/>
      <c r="S32" s="82">
        <v>3.650228856568989E-4</v>
      </c>
      <c r="T32" s="82">
        <v>850000000</v>
      </c>
      <c r="U32" s="78">
        <v>2583</v>
      </c>
      <c r="V32" s="82">
        <v>1.7919999999999998E-2</v>
      </c>
      <c r="W32" s="82">
        <v>2.3040000000000001E-2</v>
      </c>
      <c r="X32" s="82">
        <v>0.54900000000000004</v>
      </c>
      <c r="Y32" s="78">
        <v>29.6</v>
      </c>
      <c r="Z32" s="78">
        <v>1075</v>
      </c>
      <c r="AA32" s="78">
        <f t="shared" si="12"/>
        <v>400</v>
      </c>
      <c r="AB32" s="81">
        <f t="shared" si="0"/>
        <v>0.82189116447904176</v>
      </c>
      <c r="AC32" s="81">
        <f t="shared" si="1"/>
        <v>247.25699999999995</v>
      </c>
      <c r="AD32" s="81">
        <v>1000</v>
      </c>
      <c r="AE32" s="81">
        <f t="shared" si="2"/>
        <v>930.23255813953483</v>
      </c>
      <c r="AF32" s="81">
        <f t="shared" si="19"/>
        <v>752.74300000000005</v>
      </c>
      <c r="AG32" s="83">
        <v>1</v>
      </c>
      <c r="AH32" s="83">
        <f t="shared" si="17"/>
        <v>3.0443748811964886</v>
      </c>
      <c r="AI32" s="83">
        <v>0.75274300000000005</v>
      </c>
      <c r="AJ32" s="81">
        <f t="shared" si="4"/>
        <v>274.08750702846606</v>
      </c>
      <c r="AK32" s="81">
        <f t="shared" si="5"/>
        <v>212.47093568098143</v>
      </c>
      <c r="AL32" s="81">
        <f t="shared" si="6"/>
        <v>26.830507028466119</v>
      </c>
      <c r="AM32" s="83">
        <f t="shared" si="7"/>
        <v>0.10851262867569422</v>
      </c>
      <c r="AN32" s="83">
        <f t="shared" si="20"/>
        <v>9.7890295399999994E-2</v>
      </c>
      <c r="AO32" s="83">
        <v>0</v>
      </c>
      <c r="AP32" s="83">
        <f t="shared" si="18"/>
        <v>0.10851262867569422</v>
      </c>
      <c r="AQ32" s="83">
        <v>9.7890295399999994E-2</v>
      </c>
      <c r="AR32" s="77" t="s">
        <v>34</v>
      </c>
    </row>
    <row r="33" spans="1:44" ht="15" hidden="1" customHeight="1" x14ac:dyDescent="0.25">
      <c r="A33" s="76">
        <v>32</v>
      </c>
      <c r="B33" s="76">
        <v>1985</v>
      </c>
      <c r="C33" s="77" t="s">
        <v>56</v>
      </c>
      <c r="D33" s="76">
        <v>5</v>
      </c>
      <c r="E33" s="78">
        <v>64</v>
      </c>
      <c r="F33" s="74">
        <v>0.5</v>
      </c>
      <c r="G33" s="75">
        <v>70</v>
      </c>
      <c r="H33" s="75">
        <v>9</v>
      </c>
      <c r="I33" s="78">
        <v>20</v>
      </c>
      <c r="J33" s="81">
        <v>3.1300000000000001E-2</v>
      </c>
      <c r="K33" s="77" t="s">
        <v>306</v>
      </c>
      <c r="L33" s="77" t="s">
        <v>36</v>
      </c>
      <c r="M33" s="77" t="s">
        <v>34</v>
      </c>
      <c r="N33" s="77" t="s">
        <v>34</v>
      </c>
      <c r="O33" s="77" t="s">
        <v>34</v>
      </c>
      <c r="P33" s="78"/>
      <c r="Q33" s="44">
        <v>41.924999999999997</v>
      </c>
      <c r="R33" s="82"/>
      <c r="S33" s="82">
        <v>4.5755201293865315E-4</v>
      </c>
      <c r="T33" s="82">
        <v>850000000</v>
      </c>
      <c r="U33" s="78">
        <v>2583</v>
      </c>
      <c r="V33" s="82">
        <v>1.7919999999999998E-2</v>
      </c>
      <c r="W33" s="82">
        <v>2.3040000000000001E-2</v>
      </c>
      <c r="X33" s="82">
        <v>0.54900000000000004</v>
      </c>
      <c r="Y33" s="78">
        <v>29.6</v>
      </c>
      <c r="Z33" s="78">
        <v>1075</v>
      </c>
      <c r="AA33" s="78">
        <f t="shared" si="12"/>
        <v>400</v>
      </c>
      <c r="AB33" s="81">
        <f t="shared" si="0"/>
        <v>0.82189116447904176</v>
      </c>
      <c r="AC33" s="81">
        <f t="shared" si="1"/>
        <v>247.25699999999995</v>
      </c>
      <c r="AD33" s="81">
        <v>1000</v>
      </c>
      <c r="AE33" s="81">
        <f t="shared" si="2"/>
        <v>930.23255813953483</v>
      </c>
      <c r="AF33" s="81">
        <f t="shared" si="19"/>
        <v>752.74300000000005</v>
      </c>
      <c r="AG33" s="83">
        <v>1</v>
      </c>
      <c r="AH33" s="83">
        <f t="shared" si="17"/>
        <v>3.0443748811964886</v>
      </c>
      <c r="AI33" s="83">
        <v>0.75274300000000005</v>
      </c>
      <c r="AJ33" s="81">
        <f t="shared" si="4"/>
        <v>268.06911710838409</v>
      </c>
      <c r="AK33" s="81">
        <f t="shared" si="5"/>
        <v>207.80551713828226</v>
      </c>
      <c r="AL33" s="81">
        <f t="shared" si="6"/>
        <v>20.812117108384133</v>
      </c>
      <c r="AM33" s="83">
        <f t="shared" si="7"/>
        <v>8.4172003657668484E-2</v>
      </c>
      <c r="AN33" s="83">
        <f t="shared" si="20"/>
        <v>7.7637130799999995E-2</v>
      </c>
      <c r="AO33" s="83">
        <v>0</v>
      </c>
      <c r="AP33" s="83">
        <f t="shared" si="18"/>
        <v>8.4172003657668484E-2</v>
      </c>
      <c r="AQ33" s="83">
        <v>7.7637130799999995E-2</v>
      </c>
      <c r="AR33" s="77" t="s">
        <v>34</v>
      </c>
    </row>
    <row r="34" spans="1:44" ht="15" hidden="1" customHeight="1" x14ac:dyDescent="0.25">
      <c r="A34" s="76">
        <v>33</v>
      </c>
      <c r="B34" s="76">
        <v>1985</v>
      </c>
      <c r="C34" s="77" t="s">
        <v>56</v>
      </c>
      <c r="D34" s="76">
        <v>6</v>
      </c>
      <c r="E34" s="78">
        <v>77</v>
      </c>
      <c r="F34" s="74">
        <v>0.5</v>
      </c>
      <c r="G34" s="75">
        <v>80</v>
      </c>
      <c r="H34" s="75">
        <v>6</v>
      </c>
      <c r="I34" s="78">
        <v>15</v>
      </c>
      <c r="J34" s="81">
        <v>4.1000000000000003E-3</v>
      </c>
      <c r="K34" s="77" t="s">
        <v>306</v>
      </c>
      <c r="L34" s="77" t="s">
        <v>36</v>
      </c>
      <c r="M34" s="77" t="s">
        <v>34</v>
      </c>
      <c r="N34" s="77" t="s">
        <v>34</v>
      </c>
      <c r="O34" s="77" t="s">
        <v>34</v>
      </c>
      <c r="P34" s="78"/>
      <c r="Q34" s="44">
        <v>36.540999999999997</v>
      </c>
      <c r="R34" s="82"/>
      <c r="S34" s="82">
        <v>5.6624468303994213E-4</v>
      </c>
      <c r="T34" s="82">
        <v>850000000</v>
      </c>
      <c r="U34" s="78">
        <v>2583</v>
      </c>
      <c r="V34" s="82">
        <v>1.7919999999999998E-2</v>
      </c>
      <c r="W34" s="82">
        <v>2.3040000000000001E-2</v>
      </c>
      <c r="X34" s="82">
        <v>0.54900000000000004</v>
      </c>
      <c r="Y34" s="78">
        <v>29.6</v>
      </c>
      <c r="Z34" s="78">
        <v>1075</v>
      </c>
      <c r="AA34" s="78">
        <f t="shared" si="12"/>
        <v>400</v>
      </c>
      <c r="AB34" s="81">
        <f t="shared" ref="AB34:AB65" si="21">POWER(3/(4*PI())*AE34/AA34,1/3)</f>
        <v>0.82189116447904176</v>
      </c>
      <c r="AC34" s="81">
        <f t="shared" si="1"/>
        <v>247.25699999999995</v>
      </c>
      <c r="AD34" s="81">
        <v>1000</v>
      </c>
      <c r="AE34" s="81">
        <f t="shared" ref="AE34:AE65" si="22">AD34/Z34*1000</f>
        <v>930.23255813953483</v>
      </c>
      <c r="AF34" s="81">
        <f t="shared" si="19"/>
        <v>752.74300000000005</v>
      </c>
      <c r="AG34" s="83">
        <v>1</v>
      </c>
      <c r="AH34" s="83">
        <f t="shared" si="17"/>
        <v>3.0443748811964886</v>
      </c>
      <c r="AI34" s="83">
        <v>0.75274300000000005</v>
      </c>
      <c r="AJ34" s="81">
        <f t="shared" si="4"/>
        <v>264.20157349046406</v>
      </c>
      <c r="AK34" s="81">
        <f t="shared" si="5"/>
        <v>204.80742131043723</v>
      </c>
      <c r="AL34" s="81">
        <f t="shared" si="6"/>
        <v>16.944573490464112</v>
      </c>
      <c r="AM34" s="83">
        <f t="shared" si="7"/>
        <v>6.8530207397420967E-2</v>
      </c>
      <c r="AN34" s="83">
        <f t="shared" si="20"/>
        <v>6.4135021099999995E-2</v>
      </c>
      <c r="AO34" s="83">
        <v>0</v>
      </c>
      <c r="AP34" s="83">
        <f t="shared" si="18"/>
        <v>6.8530207397420967E-2</v>
      </c>
      <c r="AQ34" s="83">
        <v>6.4135021099999995E-2</v>
      </c>
      <c r="AR34" s="77" t="s">
        <v>34</v>
      </c>
    </row>
    <row r="35" spans="1:44" ht="15" hidden="1" customHeight="1" x14ac:dyDescent="0.25">
      <c r="A35" s="76">
        <v>34</v>
      </c>
      <c r="B35" s="76">
        <v>1985</v>
      </c>
      <c r="C35" s="77" t="s">
        <v>56</v>
      </c>
      <c r="D35" s="76">
        <v>7</v>
      </c>
      <c r="E35" s="78">
        <v>151</v>
      </c>
      <c r="F35" s="74">
        <v>0.1</v>
      </c>
      <c r="G35" s="75">
        <v>60</v>
      </c>
      <c r="H35" s="75">
        <v>15</v>
      </c>
      <c r="I35" s="78">
        <v>44</v>
      </c>
      <c r="J35" s="81">
        <v>4.3E-3</v>
      </c>
      <c r="K35" s="77" t="s">
        <v>306</v>
      </c>
      <c r="L35" s="77" t="s">
        <v>36</v>
      </c>
      <c r="M35" s="77" t="s">
        <v>34</v>
      </c>
      <c r="N35" s="77" t="s">
        <v>34</v>
      </c>
      <c r="O35" s="77" t="s">
        <v>34</v>
      </c>
      <c r="P35" s="78"/>
      <c r="Q35" s="44">
        <v>19</v>
      </c>
      <c r="R35" s="82"/>
      <c r="S35" s="82">
        <v>3.650228856568989E-4</v>
      </c>
      <c r="T35" s="82">
        <v>850000000</v>
      </c>
      <c r="U35" s="78">
        <v>2583</v>
      </c>
      <c r="V35" s="82">
        <v>1.7919999999999998E-2</v>
      </c>
      <c r="W35" s="82">
        <v>2.3040000000000001E-2</v>
      </c>
      <c r="X35" s="82">
        <v>0.54900000000000004</v>
      </c>
      <c r="Y35" s="78">
        <v>29.6</v>
      </c>
      <c r="Z35" s="78">
        <v>1075</v>
      </c>
      <c r="AA35" s="78">
        <f t="shared" si="12"/>
        <v>400</v>
      </c>
      <c r="AB35" s="81">
        <f t="shared" si="21"/>
        <v>0.82189116447904176</v>
      </c>
      <c r="AC35" s="81">
        <f t="shared" si="1"/>
        <v>247.25699999999995</v>
      </c>
      <c r="AD35" s="81">
        <v>1000</v>
      </c>
      <c r="AE35" s="81">
        <f t="shared" si="22"/>
        <v>930.23255813953483</v>
      </c>
      <c r="AF35" s="81">
        <f t="shared" si="19"/>
        <v>752.74300000000005</v>
      </c>
      <c r="AG35" s="83">
        <v>1</v>
      </c>
      <c r="AH35" s="83">
        <f t="shared" si="17"/>
        <v>3.0443748811964886</v>
      </c>
      <c r="AI35" s="83">
        <v>0.75274300000000005</v>
      </c>
      <c r="AJ35" s="81">
        <f t="shared" si="4"/>
        <v>268.29147299558718</v>
      </c>
      <c r="AK35" s="81">
        <f t="shared" si="5"/>
        <v>207.97788604309085</v>
      </c>
      <c r="AL35" s="81">
        <f t="shared" si="6"/>
        <v>21.034472995587258</v>
      </c>
      <c r="AM35" s="83">
        <f t="shared" si="7"/>
        <v>8.5071294222558977E-2</v>
      </c>
      <c r="AN35" s="83">
        <f t="shared" si="20"/>
        <v>7.8401571099999998E-2</v>
      </c>
      <c r="AO35" s="83">
        <v>0</v>
      </c>
      <c r="AP35" s="83">
        <f t="shared" si="18"/>
        <v>8.5071294222558977E-2</v>
      </c>
      <c r="AQ35" s="83">
        <v>7.8401571099999998E-2</v>
      </c>
      <c r="AR35" s="77" t="s">
        <v>34</v>
      </c>
    </row>
    <row r="36" spans="1:44" ht="15" hidden="1" customHeight="1" x14ac:dyDescent="0.25">
      <c r="A36" s="76">
        <v>35</v>
      </c>
      <c r="B36" s="76">
        <v>1985</v>
      </c>
      <c r="C36" s="77" t="s">
        <v>56</v>
      </c>
      <c r="D36" s="76">
        <v>8</v>
      </c>
      <c r="E36" s="78">
        <v>120</v>
      </c>
      <c r="F36" s="74">
        <v>0.25</v>
      </c>
      <c r="G36" s="75">
        <v>60</v>
      </c>
      <c r="H36" s="75">
        <v>15</v>
      </c>
      <c r="I36" s="78">
        <v>35</v>
      </c>
      <c r="J36" s="81">
        <v>3.4700000000000002E-2</v>
      </c>
      <c r="K36" s="77" t="s">
        <v>306</v>
      </c>
      <c r="L36" s="77" t="s">
        <v>36</v>
      </c>
      <c r="M36" s="77" t="s">
        <v>34</v>
      </c>
      <c r="N36" s="77" t="s">
        <v>34</v>
      </c>
      <c r="O36" s="77" t="s">
        <v>34</v>
      </c>
      <c r="P36" s="78"/>
      <c r="Q36" s="44">
        <v>31</v>
      </c>
      <c r="R36" s="82"/>
      <c r="S36" s="82">
        <v>3.650228856568989E-4</v>
      </c>
      <c r="T36" s="82">
        <v>850000000</v>
      </c>
      <c r="U36" s="78">
        <v>2583</v>
      </c>
      <c r="V36" s="82">
        <v>1.7919999999999998E-2</v>
      </c>
      <c r="W36" s="82">
        <v>2.3040000000000001E-2</v>
      </c>
      <c r="X36" s="82">
        <v>0.54900000000000004</v>
      </c>
      <c r="Y36" s="78">
        <v>29.6</v>
      </c>
      <c r="Z36" s="78">
        <v>1075</v>
      </c>
      <c r="AA36" s="78">
        <f t="shared" si="12"/>
        <v>400</v>
      </c>
      <c r="AB36" s="81">
        <f t="shared" si="21"/>
        <v>0.82189116447904176</v>
      </c>
      <c r="AC36" s="81">
        <f t="shared" si="1"/>
        <v>247.25699999999995</v>
      </c>
      <c r="AD36" s="81">
        <v>1000</v>
      </c>
      <c r="AE36" s="81">
        <f t="shared" si="22"/>
        <v>930.23255813953483</v>
      </c>
      <c r="AF36" s="81">
        <f t="shared" si="19"/>
        <v>752.74300000000005</v>
      </c>
      <c r="AG36" s="83">
        <v>1</v>
      </c>
      <c r="AH36" s="83">
        <f t="shared" si="17"/>
        <v>3.0443748811964886</v>
      </c>
      <c r="AI36" s="83">
        <v>0.75274300000000005</v>
      </c>
      <c r="AJ36" s="81">
        <f t="shared" si="4"/>
        <v>271.47574745970019</v>
      </c>
      <c r="AK36" s="81">
        <f t="shared" si="5"/>
        <v>210.44631586023272</v>
      </c>
      <c r="AL36" s="81">
        <f>AJ36-AC36</f>
        <v>24.218747459700239</v>
      </c>
      <c r="AM36" s="83">
        <f t="shared" si="7"/>
        <v>9.7949693880052965E-2</v>
      </c>
      <c r="AN36" s="83">
        <f t="shared" si="20"/>
        <v>8.9211458800000004E-2</v>
      </c>
      <c r="AO36" s="83">
        <v>0</v>
      </c>
      <c r="AP36" s="83">
        <f t="shared" si="18"/>
        <v>9.7949693880052965E-2</v>
      </c>
      <c r="AQ36" s="83">
        <v>8.9211458800000004E-2</v>
      </c>
      <c r="AR36" s="77" t="s">
        <v>34</v>
      </c>
    </row>
    <row r="37" spans="1:44" ht="15" hidden="1" customHeight="1" x14ac:dyDescent="0.25">
      <c r="A37" s="76">
        <v>36</v>
      </c>
      <c r="B37" s="76">
        <v>1985</v>
      </c>
      <c r="C37" s="77" t="s">
        <v>56</v>
      </c>
      <c r="D37" s="76">
        <v>9</v>
      </c>
      <c r="E37" s="78">
        <v>88</v>
      </c>
      <c r="F37" s="74">
        <v>0.75</v>
      </c>
      <c r="G37" s="75">
        <v>60</v>
      </c>
      <c r="H37" s="75">
        <v>15</v>
      </c>
      <c r="I37" s="78">
        <v>23</v>
      </c>
      <c r="J37" s="81">
        <v>3.95E-2</v>
      </c>
      <c r="K37" s="77" t="s">
        <v>306</v>
      </c>
      <c r="L37" s="77" t="s">
        <v>36</v>
      </c>
      <c r="M37" s="77" t="s">
        <v>34</v>
      </c>
      <c r="N37" s="77" t="s">
        <v>34</v>
      </c>
      <c r="O37" s="77" t="s">
        <v>34</v>
      </c>
      <c r="P37" s="78"/>
      <c r="Q37" s="44">
        <v>44</v>
      </c>
      <c r="R37" s="82"/>
      <c r="S37" s="82">
        <v>3.650228856568989E-4</v>
      </c>
      <c r="T37" s="82">
        <v>850000000</v>
      </c>
      <c r="U37" s="78">
        <v>2583</v>
      </c>
      <c r="V37" s="82">
        <v>1.7919999999999998E-2</v>
      </c>
      <c r="W37" s="82">
        <v>2.3040000000000001E-2</v>
      </c>
      <c r="X37" s="82">
        <v>0.54900000000000004</v>
      </c>
      <c r="Y37" s="78">
        <v>29.6</v>
      </c>
      <c r="Z37" s="78">
        <v>1075</v>
      </c>
      <c r="AA37" s="78">
        <f t="shared" si="12"/>
        <v>400</v>
      </c>
      <c r="AB37" s="81">
        <f t="shared" si="21"/>
        <v>0.82189116447904176</v>
      </c>
      <c r="AC37" s="81">
        <f t="shared" si="1"/>
        <v>247.25699999999995</v>
      </c>
      <c r="AD37" s="81">
        <v>1000</v>
      </c>
      <c r="AE37" s="81">
        <f t="shared" si="22"/>
        <v>930.23255813953483</v>
      </c>
      <c r="AF37" s="81">
        <f t="shared" si="19"/>
        <v>752.74300000000005</v>
      </c>
      <c r="AG37" s="83">
        <v>1</v>
      </c>
      <c r="AH37" s="83">
        <f t="shared" si="17"/>
        <v>3.0443748811964886</v>
      </c>
      <c r="AI37" s="83">
        <v>0.75274300000000005</v>
      </c>
      <c r="AJ37" s="81">
        <f t="shared" si="4"/>
        <v>276.87478898742131</v>
      </c>
      <c r="AK37" s="81">
        <f t="shared" si="5"/>
        <v>214.63161937009403</v>
      </c>
      <c r="AL37" s="81">
        <f>AJ37-AC37</f>
        <v>29.617788987421363</v>
      </c>
      <c r="AM37" s="83">
        <f t="shared" si="7"/>
        <v>0.11978544181730499</v>
      </c>
      <c r="AN37" s="83">
        <f t="shared" si="20"/>
        <v>0.10697177989999999</v>
      </c>
      <c r="AO37" s="83">
        <v>0</v>
      </c>
      <c r="AP37" s="83">
        <f t="shared" si="18"/>
        <v>0.11978544181730499</v>
      </c>
      <c r="AQ37" s="83">
        <v>0.10697177989999999</v>
      </c>
      <c r="AR37" s="77" t="s">
        <v>34</v>
      </c>
    </row>
    <row r="38" spans="1:44" ht="15" customHeight="1" x14ac:dyDescent="0.25">
      <c r="A38" s="76">
        <v>37</v>
      </c>
      <c r="B38" s="76">
        <v>1985</v>
      </c>
      <c r="C38" s="77" t="s">
        <v>56</v>
      </c>
      <c r="D38" s="76">
        <v>10</v>
      </c>
      <c r="E38" s="78">
        <v>53</v>
      </c>
      <c r="F38" s="74">
        <v>0.5</v>
      </c>
      <c r="G38" s="75">
        <v>50</v>
      </c>
      <c r="H38" s="75">
        <v>25</v>
      </c>
      <c r="I38" s="78">
        <v>46</v>
      </c>
      <c r="J38" s="81">
        <v>4.2099999999999999E-2</v>
      </c>
      <c r="K38" s="77" t="s">
        <v>306</v>
      </c>
      <c r="L38" s="77" t="s">
        <v>36</v>
      </c>
      <c r="M38" s="77" t="s">
        <v>289</v>
      </c>
      <c r="N38" s="77">
        <v>25</v>
      </c>
      <c r="O38" s="77">
        <v>180</v>
      </c>
      <c r="P38" s="78"/>
      <c r="Q38" s="44">
        <v>31</v>
      </c>
      <c r="R38" s="82"/>
      <c r="S38" s="82">
        <v>2.8716212653909153E-4</v>
      </c>
      <c r="T38" s="82">
        <v>850000000</v>
      </c>
      <c r="U38" s="78">
        <v>2583</v>
      </c>
      <c r="V38" s="82">
        <v>1.7919999999999998E-2</v>
      </c>
      <c r="W38" s="82">
        <v>2.3040000000000001E-2</v>
      </c>
      <c r="X38" s="82">
        <v>0.54900000000000004</v>
      </c>
      <c r="Y38" s="78">
        <v>29.6</v>
      </c>
      <c r="Z38" s="78">
        <v>1075</v>
      </c>
      <c r="AA38" s="78">
        <f t="shared" si="12"/>
        <v>400</v>
      </c>
      <c r="AB38" s="81">
        <f t="shared" si="21"/>
        <v>0.82189116447904176</v>
      </c>
      <c r="AC38" s="81">
        <f t="shared" si="1"/>
        <v>230.63800000000003</v>
      </c>
      <c r="AD38" s="81">
        <v>1000</v>
      </c>
      <c r="AE38" s="81">
        <f t="shared" si="22"/>
        <v>930.23255813953483</v>
      </c>
      <c r="AF38" s="81">
        <f t="shared" si="19"/>
        <v>769.36199999999997</v>
      </c>
      <c r="AG38" s="83">
        <v>1</v>
      </c>
      <c r="AH38" s="83">
        <f t="shared" si="17"/>
        <v>3.3357989576739304</v>
      </c>
      <c r="AI38" s="83">
        <v>0.76936199999999999</v>
      </c>
      <c r="AJ38" s="81">
        <f t="shared" si="4"/>
        <v>261.73771690316744</v>
      </c>
      <c r="AK38" s="81">
        <f t="shared" si="5"/>
        <v>202.89745496369568</v>
      </c>
      <c r="AL38" s="81">
        <f>AJ38-AC38</f>
        <v>31.099716903167405</v>
      </c>
      <c r="AM38" s="83">
        <f t="shared" si="7"/>
        <v>0.13484212013270749</v>
      </c>
      <c r="AN38" s="83">
        <f t="shared" si="20"/>
        <v>0.1188201581</v>
      </c>
      <c r="AO38" s="83">
        <v>0</v>
      </c>
      <c r="AP38" s="83">
        <f t="shared" si="18"/>
        <v>0.13484212013270749</v>
      </c>
      <c r="AQ38" s="83">
        <v>0.1188201581</v>
      </c>
      <c r="AR38" s="77" t="s">
        <v>57</v>
      </c>
    </row>
    <row r="39" spans="1:44" ht="15" customHeight="1" x14ac:dyDescent="0.25">
      <c r="A39" s="1">
        <v>38</v>
      </c>
      <c r="B39" s="1">
        <v>1985</v>
      </c>
      <c r="C39" s="28" t="s">
        <v>56</v>
      </c>
      <c r="D39" s="1">
        <v>11</v>
      </c>
      <c r="E39" s="8">
        <v>57</v>
      </c>
      <c r="F39" s="35">
        <v>0.5</v>
      </c>
      <c r="G39" s="59">
        <v>50</v>
      </c>
      <c r="H39" s="59">
        <v>25</v>
      </c>
      <c r="I39" s="8">
        <v>36</v>
      </c>
      <c r="J39" s="51">
        <v>5.5100000000000003E-2</v>
      </c>
      <c r="K39" s="28" t="s">
        <v>306</v>
      </c>
      <c r="L39" s="28" t="s">
        <v>36</v>
      </c>
      <c r="M39" s="28" t="s">
        <v>289</v>
      </c>
      <c r="N39" s="28">
        <v>25</v>
      </c>
      <c r="O39" s="28">
        <v>180</v>
      </c>
      <c r="P39" s="8"/>
      <c r="Q39" s="51">
        <v>59</v>
      </c>
      <c r="R39" s="9"/>
      <c r="S39" s="9">
        <v>2.8716212653909153E-4</v>
      </c>
      <c r="T39" s="9">
        <v>850000000</v>
      </c>
      <c r="U39" s="8">
        <v>2583</v>
      </c>
      <c r="V39" s="9">
        <v>1.7919999999999998E-2</v>
      </c>
      <c r="W39" s="9">
        <v>2.3040000000000001E-2</v>
      </c>
      <c r="X39" s="9">
        <v>0.54900000000000004</v>
      </c>
      <c r="Y39" s="8">
        <v>29.6</v>
      </c>
      <c r="Z39" s="8">
        <v>1075</v>
      </c>
      <c r="AA39" s="8">
        <f t="shared" si="12"/>
        <v>400</v>
      </c>
      <c r="AB39" s="51">
        <f t="shared" si="21"/>
        <v>0.82189116447904176</v>
      </c>
      <c r="AC39" s="51">
        <f t="shared" si="1"/>
        <v>220</v>
      </c>
      <c r="AD39" s="51">
        <v>1000</v>
      </c>
      <c r="AE39" s="51">
        <f t="shared" si="22"/>
        <v>930.23255813953483</v>
      </c>
      <c r="AF39" s="51">
        <f t="shared" si="19"/>
        <v>780</v>
      </c>
      <c r="AG39" s="52">
        <v>1</v>
      </c>
      <c r="AH39" s="52">
        <f t="shared" si="17"/>
        <v>3.5454545454545459</v>
      </c>
      <c r="AI39" s="52">
        <v>0.78</v>
      </c>
      <c r="AJ39" s="51">
        <f t="shared" si="4"/>
        <v>248.5277008319008</v>
      </c>
      <c r="AK39" s="51">
        <f t="shared" si="5"/>
        <v>192.65713242783008</v>
      </c>
      <c r="AL39" s="51">
        <f t="shared" ref="AL39:AL102" si="23">AJ39*AQ39</f>
        <v>28.527700831900816</v>
      </c>
      <c r="AM39" s="52">
        <f t="shared" si="7"/>
        <v>0.12967136741773097</v>
      </c>
      <c r="AN39" s="52">
        <f t="shared" si="20"/>
        <v>0.1147868054</v>
      </c>
      <c r="AO39" s="52">
        <v>0</v>
      </c>
      <c r="AP39" s="52">
        <f t="shared" si="18"/>
        <v>0.12967136741773097</v>
      </c>
      <c r="AQ39" s="52">
        <v>0.1147868054</v>
      </c>
      <c r="AR39" s="28" t="s">
        <v>58</v>
      </c>
    </row>
    <row r="40" spans="1:44" ht="15" customHeight="1" x14ac:dyDescent="0.25">
      <c r="A40" s="3">
        <v>39</v>
      </c>
      <c r="B40" s="3">
        <v>1986</v>
      </c>
      <c r="C40" s="27" t="s">
        <v>59</v>
      </c>
      <c r="D40" s="3">
        <v>1</v>
      </c>
      <c r="E40" s="11">
        <v>21</v>
      </c>
      <c r="F40" s="34">
        <v>1.5</v>
      </c>
      <c r="G40" s="58">
        <v>60</v>
      </c>
      <c r="H40" s="58">
        <v>15</v>
      </c>
      <c r="I40" s="11">
        <v>15</v>
      </c>
      <c r="J40" s="47">
        <v>1.61E-2</v>
      </c>
      <c r="K40" s="27" t="s">
        <v>306</v>
      </c>
      <c r="L40" s="27" t="s">
        <v>36</v>
      </c>
      <c r="M40" s="27" t="s">
        <v>289</v>
      </c>
      <c r="N40" s="27">
        <v>100</v>
      </c>
      <c r="O40" s="27">
        <v>30</v>
      </c>
      <c r="P40" s="11"/>
      <c r="Q40" s="55">
        <v>36.93</v>
      </c>
      <c r="R40" s="4"/>
      <c r="S40" s="4">
        <v>1.9979506696202426E-4</v>
      </c>
      <c r="T40" s="4">
        <v>848000000</v>
      </c>
      <c r="U40" s="11">
        <v>2783</v>
      </c>
      <c r="V40" s="4">
        <v>1.7919999999999998E-2</v>
      </c>
      <c r="W40" s="4">
        <v>2.3040000000000001E-2</v>
      </c>
      <c r="X40" s="4">
        <v>0.54900000000000004</v>
      </c>
      <c r="Y40" s="11">
        <v>29.6</v>
      </c>
      <c r="Z40" s="11">
        <v>1075</v>
      </c>
      <c r="AA40" s="11">
        <f t="shared" ref="AA40:AA74" si="24">AD40/2.5</f>
        <v>400</v>
      </c>
      <c r="AB40" s="47">
        <f t="shared" si="21"/>
        <v>0.82189116447904176</v>
      </c>
      <c r="AC40" s="47">
        <f t="shared" si="1"/>
        <v>250</v>
      </c>
      <c r="AD40" s="47">
        <v>1000</v>
      </c>
      <c r="AE40" s="47">
        <f t="shared" si="22"/>
        <v>930.23255813953483</v>
      </c>
      <c r="AF40" s="47">
        <f t="shared" si="19"/>
        <v>750</v>
      </c>
      <c r="AG40" s="53">
        <v>1</v>
      </c>
      <c r="AH40" s="53">
        <f t="shared" si="17"/>
        <v>3</v>
      </c>
      <c r="AI40" s="53">
        <v>0.75</v>
      </c>
      <c r="AJ40" s="47">
        <f t="shared" si="4"/>
        <v>560.61501445727197</v>
      </c>
      <c r="AK40" s="47">
        <f t="shared" si="5"/>
        <v>434.58528252501702</v>
      </c>
      <c r="AL40" s="47">
        <f t="shared" si="23"/>
        <v>310.61501445727197</v>
      </c>
      <c r="AM40" s="53">
        <f t="shared" si="7"/>
        <v>0.17647058823529413</v>
      </c>
      <c r="AN40" s="53">
        <v>0.15</v>
      </c>
      <c r="AO40" s="53">
        <v>0.13372999999999999</v>
      </c>
      <c r="AP40" s="53">
        <f t="shared" si="18"/>
        <v>1.2424600578290879</v>
      </c>
      <c r="AQ40" s="53">
        <f t="shared" ref="AQ40:AQ48" si="25">(AH40-AM40)*AO40+AM40</f>
        <v>0.55406117647058828</v>
      </c>
      <c r="AR40" s="27" t="s">
        <v>319</v>
      </c>
    </row>
    <row r="41" spans="1:44" ht="15" customHeight="1" x14ac:dyDescent="0.25">
      <c r="A41" s="76">
        <v>40</v>
      </c>
      <c r="B41" s="76">
        <v>1986</v>
      </c>
      <c r="C41" s="77" t="s">
        <v>59</v>
      </c>
      <c r="D41" s="76">
        <v>2</v>
      </c>
      <c r="E41" s="78">
        <v>20</v>
      </c>
      <c r="F41" s="74">
        <v>2.5</v>
      </c>
      <c r="G41" s="75">
        <v>60</v>
      </c>
      <c r="H41" s="75">
        <v>15</v>
      </c>
      <c r="I41" s="78">
        <v>15</v>
      </c>
      <c r="J41" s="81">
        <v>2.9399999999999999E-2</v>
      </c>
      <c r="K41" s="77" t="s">
        <v>306</v>
      </c>
      <c r="L41" s="77" t="s">
        <v>36</v>
      </c>
      <c r="M41" s="77" t="s">
        <v>289</v>
      </c>
      <c r="N41" s="77">
        <v>100</v>
      </c>
      <c r="O41" s="77">
        <v>30</v>
      </c>
      <c r="P41" s="78"/>
      <c r="Q41" s="44">
        <v>38.951999999999998</v>
      </c>
      <c r="R41" s="82"/>
      <c r="S41" s="82">
        <v>1.9979506696202426E-4</v>
      </c>
      <c r="T41" s="82">
        <v>848000000</v>
      </c>
      <c r="U41" s="78">
        <v>2783</v>
      </c>
      <c r="V41" s="82">
        <v>1.7919999999999998E-2</v>
      </c>
      <c r="W41" s="82">
        <v>2.3040000000000001E-2</v>
      </c>
      <c r="X41" s="82">
        <v>0.54900000000000004</v>
      </c>
      <c r="Y41" s="78">
        <v>29.6</v>
      </c>
      <c r="Z41" s="78">
        <v>1075</v>
      </c>
      <c r="AA41" s="78">
        <f t="shared" si="24"/>
        <v>400</v>
      </c>
      <c r="AB41" s="81">
        <f t="shared" si="21"/>
        <v>0.82189116447904176</v>
      </c>
      <c r="AC41" s="81">
        <f t="shared" si="1"/>
        <v>250</v>
      </c>
      <c r="AD41" s="81">
        <v>1000</v>
      </c>
      <c r="AE41" s="81">
        <f t="shared" si="22"/>
        <v>930.23255813953483</v>
      </c>
      <c r="AF41" s="81">
        <f t="shared" si="19"/>
        <v>750</v>
      </c>
      <c r="AG41" s="83">
        <v>1</v>
      </c>
      <c r="AH41" s="83">
        <f t="shared" si="17"/>
        <v>3</v>
      </c>
      <c r="AI41" s="83">
        <v>0.75</v>
      </c>
      <c r="AJ41" s="81">
        <f t="shared" si="4"/>
        <v>465.50243594686486</v>
      </c>
      <c r="AK41" s="81">
        <f t="shared" si="5"/>
        <v>360.85460150919755</v>
      </c>
      <c r="AL41" s="81">
        <f t="shared" si="23"/>
        <v>215.50243594686486</v>
      </c>
      <c r="AM41" s="83">
        <f t="shared" si="7"/>
        <v>0.17647058823529413</v>
      </c>
      <c r="AN41" s="83">
        <v>0.15</v>
      </c>
      <c r="AO41" s="83">
        <v>0.10145999999999999</v>
      </c>
      <c r="AP41" s="83">
        <f t="shared" si="18"/>
        <v>0.86200974378745931</v>
      </c>
      <c r="AQ41" s="83">
        <f t="shared" si="25"/>
        <v>0.46294588235294121</v>
      </c>
      <c r="AR41" s="77" t="s">
        <v>319</v>
      </c>
    </row>
    <row r="42" spans="1:44" ht="15" customHeight="1" x14ac:dyDescent="0.25">
      <c r="A42" s="76">
        <v>41</v>
      </c>
      <c r="B42" s="76">
        <v>1986</v>
      </c>
      <c r="C42" s="77" t="s">
        <v>59</v>
      </c>
      <c r="D42" s="76">
        <v>3</v>
      </c>
      <c r="E42" s="78">
        <v>20</v>
      </c>
      <c r="F42" s="74">
        <v>3</v>
      </c>
      <c r="G42" s="75">
        <v>60</v>
      </c>
      <c r="H42" s="75">
        <v>15</v>
      </c>
      <c r="I42" s="78">
        <v>15</v>
      </c>
      <c r="J42" s="81">
        <v>2.87E-2</v>
      </c>
      <c r="K42" s="77" t="s">
        <v>306</v>
      </c>
      <c r="L42" s="77" t="s">
        <v>36</v>
      </c>
      <c r="M42" s="77" t="s">
        <v>289</v>
      </c>
      <c r="N42" s="77">
        <v>100</v>
      </c>
      <c r="O42" s="77">
        <v>30</v>
      </c>
      <c r="P42" s="78"/>
      <c r="Q42" s="44">
        <v>45.06</v>
      </c>
      <c r="R42" s="82"/>
      <c r="S42" s="82">
        <v>1.9979506696202426E-4</v>
      </c>
      <c r="T42" s="82">
        <v>848000000</v>
      </c>
      <c r="U42" s="78">
        <v>2783</v>
      </c>
      <c r="V42" s="82">
        <v>1.7919999999999998E-2</v>
      </c>
      <c r="W42" s="82">
        <v>2.3040000000000001E-2</v>
      </c>
      <c r="X42" s="82">
        <v>0.54900000000000004</v>
      </c>
      <c r="Y42" s="78">
        <v>29.6</v>
      </c>
      <c r="Z42" s="78">
        <v>1075</v>
      </c>
      <c r="AA42" s="78">
        <f t="shared" si="24"/>
        <v>400</v>
      </c>
      <c r="AB42" s="81">
        <f t="shared" si="21"/>
        <v>0.82189116447904176</v>
      </c>
      <c r="AC42" s="81">
        <f t="shared" si="1"/>
        <v>250</v>
      </c>
      <c r="AD42" s="81">
        <v>1000</v>
      </c>
      <c r="AE42" s="81">
        <f t="shared" si="22"/>
        <v>930.23255813953483</v>
      </c>
      <c r="AF42" s="81">
        <f t="shared" si="19"/>
        <v>750</v>
      </c>
      <c r="AG42" s="83">
        <v>1</v>
      </c>
      <c r="AH42" s="83">
        <f t="shared" si="17"/>
        <v>3</v>
      </c>
      <c r="AI42" s="83">
        <v>0.75</v>
      </c>
      <c r="AJ42" s="81">
        <f t="shared" si="4"/>
        <v>391.60978342596832</v>
      </c>
      <c r="AK42" s="81">
        <f t="shared" si="5"/>
        <v>303.57347552400643</v>
      </c>
      <c r="AL42" s="81">
        <f t="shared" si="23"/>
        <v>141.60978342596829</v>
      </c>
      <c r="AM42" s="83">
        <f t="shared" si="7"/>
        <v>0.17647058823529413</v>
      </c>
      <c r="AN42" s="83">
        <v>0.15</v>
      </c>
      <c r="AO42" s="83">
        <v>6.5570000000000003E-2</v>
      </c>
      <c r="AP42" s="83">
        <f t="shared" si="18"/>
        <v>0.56643913370387311</v>
      </c>
      <c r="AQ42" s="83">
        <f t="shared" si="25"/>
        <v>0.3616094117647059</v>
      </c>
      <c r="AR42" s="77" t="s">
        <v>319</v>
      </c>
    </row>
    <row r="43" spans="1:44" ht="15" customHeight="1" x14ac:dyDescent="0.25">
      <c r="A43" s="76">
        <v>42</v>
      </c>
      <c r="B43" s="76">
        <v>1986</v>
      </c>
      <c r="C43" s="77" t="s">
        <v>59</v>
      </c>
      <c r="D43" s="76">
        <v>4</v>
      </c>
      <c r="E43" s="78">
        <v>21</v>
      </c>
      <c r="F43" s="74">
        <v>1.5</v>
      </c>
      <c r="G43" s="75">
        <v>65</v>
      </c>
      <c r="H43" s="75">
        <v>12</v>
      </c>
      <c r="I43" s="78">
        <v>15</v>
      </c>
      <c r="J43" s="81">
        <v>1.4500000000000001E-2</v>
      </c>
      <c r="K43" s="77" t="s">
        <v>306</v>
      </c>
      <c r="L43" s="77" t="s">
        <v>36</v>
      </c>
      <c r="M43" s="77" t="s">
        <v>289</v>
      </c>
      <c r="N43" s="77">
        <v>100</v>
      </c>
      <c r="O43" s="77">
        <v>30</v>
      </c>
      <c r="P43" s="78"/>
      <c r="Q43" s="44">
        <v>39.774999999999999</v>
      </c>
      <c r="R43" s="82"/>
      <c r="S43" s="82">
        <v>2.2606077580247973E-4</v>
      </c>
      <c r="T43" s="82">
        <v>848000000</v>
      </c>
      <c r="U43" s="78">
        <v>2783</v>
      </c>
      <c r="V43" s="82">
        <v>1.7919999999999998E-2</v>
      </c>
      <c r="W43" s="82">
        <v>2.3040000000000001E-2</v>
      </c>
      <c r="X43" s="82">
        <v>0.54900000000000004</v>
      </c>
      <c r="Y43" s="78">
        <v>29.6</v>
      </c>
      <c r="Z43" s="78">
        <v>1075</v>
      </c>
      <c r="AA43" s="78">
        <f t="shared" si="24"/>
        <v>400</v>
      </c>
      <c r="AB43" s="81">
        <f t="shared" si="21"/>
        <v>0.82189116447904176</v>
      </c>
      <c r="AC43" s="81">
        <f t="shared" si="1"/>
        <v>250</v>
      </c>
      <c r="AD43" s="81">
        <v>1000</v>
      </c>
      <c r="AE43" s="81">
        <f t="shared" si="22"/>
        <v>930.23255813953483</v>
      </c>
      <c r="AF43" s="81">
        <f t="shared" si="19"/>
        <v>750</v>
      </c>
      <c r="AG43" s="83">
        <v>1</v>
      </c>
      <c r="AH43" s="83">
        <f t="shared" si="17"/>
        <v>3</v>
      </c>
      <c r="AI43" s="83">
        <v>0.75</v>
      </c>
      <c r="AJ43" s="81">
        <f t="shared" si="4"/>
        <v>422.27715689235811</v>
      </c>
      <c r="AK43" s="81">
        <f t="shared" si="5"/>
        <v>327.34663324988998</v>
      </c>
      <c r="AL43" s="81">
        <f t="shared" si="23"/>
        <v>172.27715689235811</v>
      </c>
      <c r="AM43" s="83">
        <f t="shared" si="7"/>
        <v>0.17647058823529413</v>
      </c>
      <c r="AN43" s="83">
        <v>0.15</v>
      </c>
      <c r="AO43" s="83">
        <v>8.1989999999999993E-2</v>
      </c>
      <c r="AP43" s="83">
        <f t="shared" si="18"/>
        <v>0.68910862756943236</v>
      </c>
      <c r="AQ43" s="83">
        <f t="shared" si="25"/>
        <v>0.40797176470588237</v>
      </c>
      <c r="AR43" s="77" t="s">
        <v>319</v>
      </c>
    </row>
    <row r="44" spans="1:44" ht="15" customHeight="1" x14ac:dyDescent="0.25">
      <c r="A44" s="76">
        <v>43</v>
      </c>
      <c r="B44" s="76">
        <v>1986</v>
      </c>
      <c r="C44" s="77" t="s">
        <v>59</v>
      </c>
      <c r="D44" s="76">
        <v>5</v>
      </c>
      <c r="E44" s="78">
        <v>21</v>
      </c>
      <c r="F44" s="74">
        <v>2.5</v>
      </c>
      <c r="G44" s="75">
        <v>65</v>
      </c>
      <c r="H44" s="75">
        <v>12</v>
      </c>
      <c r="I44" s="78">
        <v>15</v>
      </c>
      <c r="J44" s="81">
        <v>1.2699999999999999E-2</v>
      </c>
      <c r="K44" s="77" t="s">
        <v>306</v>
      </c>
      <c r="L44" s="77" t="s">
        <v>36</v>
      </c>
      <c r="M44" s="77" t="s">
        <v>289</v>
      </c>
      <c r="N44" s="77">
        <v>100</v>
      </c>
      <c r="O44" s="77">
        <v>30</v>
      </c>
      <c r="P44" s="78"/>
      <c r="Q44" s="44">
        <v>41.924999999999997</v>
      </c>
      <c r="R44" s="82"/>
      <c r="S44" s="82">
        <v>2.2606077580247973E-4</v>
      </c>
      <c r="T44" s="82">
        <v>848000000</v>
      </c>
      <c r="U44" s="78">
        <v>2783</v>
      </c>
      <c r="V44" s="82">
        <v>1.7919999999999998E-2</v>
      </c>
      <c r="W44" s="82">
        <v>2.3040000000000001E-2</v>
      </c>
      <c r="X44" s="82">
        <v>0.54900000000000004</v>
      </c>
      <c r="Y44" s="78">
        <v>29.6</v>
      </c>
      <c r="Z44" s="78">
        <v>1075</v>
      </c>
      <c r="AA44" s="78">
        <f t="shared" si="24"/>
        <v>400</v>
      </c>
      <c r="AB44" s="81">
        <f t="shared" si="21"/>
        <v>0.82189116447904176</v>
      </c>
      <c r="AC44" s="81">
        <f t="shared" si="1"/>
        <v>250</v>
      </c>
      <c r="AD44" s="81">
        <v>1000</v>
      </c>
      <c r="AE44" s="81">
        <f t="shared" si="22"/>
        <v>930.23255813953483</v>
      </c>
      <c r="AF44" s="81">
        <f t="shared" si="19"/>
        <v>750</v>
      </c>
      <c r="AG44" s="83">
        <v>1</v>
      </c>
      <c r="AH44" s="83">
        <f t="shared" si="17"/>
        <v>3</v>
      </c>
      <c r="AI44" s="83">
        <v>0.75</v>
      </c>
      <c r="AJ44" s="81">
        <f t="shared" si="4"/>
        <v>374.70552553992866</v>
      </c>
      <c r="AK44" s="81">
        <f t="shared" si="5"/>
        <v>290.46939964335553</v>
      </c>
      <c r="AL44" s="81">
        <f t="shared" si="23"/>
        <v>124.70552553992864</v>
      </c>
      <c r="AM44" s="83">
        <f t="shared" si="7"/>
        <v>0.17647058823529413</v>
      </c>
      <c r="AN44" s="83">
        <v>0.15</v>
      </c>
      <c r="AO44" s="83">
        <v>5.5370000000000003E-2</v>
      </c>
      <c r="AP44" s="83">
        <f t="shared" si="18"/>
        <v>0.49882210215971456</v>
      </c>
      <c r="AQ44" s="83">
        <f t="shared" si="25"/>
        <v>0.33280941176470591</v>
      </c>
      <c r="AR44" s="77" t="s">
        <v>319</v>
      </c>
    </row>
    <row r="45" spans="1:44" ht="15" customHeight="1" x14ac:dyDescent="0.25">
      <c r="A45" s="76">
        <v>44</v>
      </c>
      <c r="B45" s="76">
        <v>1986</v>
      </c>
      <c r="C45" s="77" t="s">
        <v>59</v>
      </c>
      <c r="D45" s="76">
        <v>6</v>
      </c>
      <c r="E45" s="78">
        <v>19</v>
      </c>
      <c r="F45" s="74">
        <v>3</v>
      </c>
      <c r="G45" s="75">
        <v>65</v>
      </c>
      <c r="H45" s="75">
        <v>12</v>
      </c>
      <c r="I45" s="78">
        <v>14</v>
      </c>
      <c r="J45" s="81">
        <v>4.2299999999999997E-2</v>
      </c>
      <c r="K45" s="77" t="s">
        <v>306</v>
      </c>
      <c r="L45" s="77" t="s">
        <v>36</v>
      </c>
      <c r="M45" s="77" t="s">
        <v>289</v>
      </c>
      <c r="N45" s="77">
        <v>100</v>
      </c>
      <c r="O45" s="77">
        <v>30</v>
      </c>
      <c r="P45" s="78"/>
      <c r="Q45" s="44">
        <v>39.540999999999997</v>
      </c>
      <c r="R45" s="82"/>
      <c r="S45" s="82">
        <v>2.2606077580247973E-4</v>
      </c>
      <c r="T45" s="82">
        <v>848000000</v>
      </c>
      <c r="U45" s="78">
        <v>2783</v>
      </c>
      <c r="V45" s="82">
        <v>1.7919999999999998E-2</v>
      </c>
      <c r="W45" s="82">
        <v>2.3040000000000001E-2</v>
      </c>
      <c r="X45" s="82">
        <v>0.54900000000000004</v>
      </c>
      <c r="Y45" s="78">
        <v>29.6</v>
      </c>
      <c r="Z45" s="78">
        <v>1075</v>
      </c>
      <c r="AA45" s="78">
        <f t="shared" si="24"/>
        <v>400</v>
      </c>
      <c r="AB45" s="81">
        <f t="shared" si="21"/>
        <v>0.82189116447904176</v>
      </c>
      <c r="AC45" s="81">
        <f t="shared" si="1"/>
        <v>250</v>
      </c>
      <c r="AD45" s="81">
        <v>1000</v>
      </c>
      <c r="AE45" s="81">
        <f t="shared" si="22"/>
        <v>930.23255813953483</v>
      </c>
      <c r="AF45" s="81">
        <f t="shared" si="19"/>
        <v>750</v>
      </c>
      <c r="AG45" s="83">
        <v>1</v>
      </c>
      <c r="AH45" s="83">
        <f t="shared" si="17"/>
        <v>3</v>
      </c>
      <c r="AI45" s="83">
        <v>0.75</v>
      </c>
      <c r="AJ45" s="81">
        <f t="shared" si="4"/>
        <v>368.49881386734734</v>
      </c>
      <c r="AK45" s="81">
        <f t="shared" si="5"/>
        <v>285.65799524600573</v>
      </c>
      <c r="AL45" s="81">
        <f t="shared" si="23"/>
        <v>118.49881386734735</v>
      </c>
      <c r="AM45" s="83">
        <f t="shared" si="7"/>
        <v>0.17647058823529413</v>
      </c>
      <c r="AN45" s="83">
        <v>0.15</v>
      </c>
      <c r="AO45" s="83">
        <v>5.1389999999999998E-2</v>
      </c>
      <c r="AP45" s="83">
        <f t="shared" si="18"/>
        <v>0.47399525546938942</v>
      </c>
      <c r="AQ45" s="83">
        <f t="shared" si="25"/>
        <v>0.32157176470588233</v>
      </c>
      <c r="AR45" s="77" t="s">
        <v>319</v>
      </c>
    </row>
    <row r="46" spans="1:44" ht="15" customHeight="1" x14ac:dyDescent="0.25">
      <c r="A46" s="76">
        <v>45</v>
      </c>
      <c r="B46" s="76">
        <v>1986</v>
      </c>
      <c r="C46" s="77" t="s">
        <v>59</v>
      </c>
      <c r="D46" s="76">
        <v>7</v>
      </c>
      <c r="E46" s="78">
        <v>20</v>
      </c>
      <c r="F46" s="74">
        <v>1.5</v>
      </c>
      <c r="G46" s="75">
        <v>70</v>
      </c>
      <c r="H46" s="75">
        <v>10</v>
      </c>
      <c r="I46" s="78">
        <v>14</v>
      </c>
      <c r="J46" s="81">
        <v>1.2699999999999999E-2</v>
      </c>
      <c r="K46" s="77" t="s">
        <v>306</v>
      </c>
      <c r="L46" s="77" t="s">
        <v>36</v>
      </c>
      <c r="M46" s="77" t="s">
        <v>289</v>
      </c>
      <c r="N46" s="77">
        <v>100</v>
      </c>
      <c r="O46" s="77">
        <v>30</v>
      </c>
      <c r="P46" s="78"/>
      <c r="Q46" s="44">
        <v>29</v>
      </c>
      <c r="R46" s="82"/>
      <c r="S46" s="82">
        <v>2.5486050180564606E-4</v>
      </c>
      <c r="T46" s="82">
        <v>848000000</v>
      </c>
      <c r="U46" s="78">
        <v>2783</v>
      </c>
      <c r="V46" s="82">
        <v>1.7919999999999998E-2</v>
      </c>
      <c r="W46" s="82">
        <v>2.3040000000000001E-2</v>
      </c>
      <c r="X46" s="82">
        <v>0.54900000000000004</v>
      </c>
      <c r="Y46" s="78">
        <v>29.6</v>
      </c>
      <c r="Z46" s="78">
        <v>1075</v>
      </c>
      <c r="AA46" s="78">
        <f t="shared" si="24"/>
        <v>400</v>
      </c>
      <c r="AB46" s="81">
        <f t="shared" si="21"/>
        <v>0.82189116447904176</v>
      </c>
      <c r="AC46" s="81">
        <f t="shared" si="1"/>
        <v>250</v>
      </c>
      <c r="AD46" s="81">
        <v>1000</v>
      </c>
      <c r="AE46" s="81">
        <f t="shared" si="22"/>
        <v>930.23255813953483</v>
      </c>
      <c r="AF46" s="81">
        <f t="shared" si="19"/>
        <v>750</v>
      </c>
      <c r="AG46" s="83">
        <v>1</v>
      </c>
      <c r="AH46" s="83">
        <f t="shared" si="17"/>
        <v>3</v>
      </c>
      <c r="AI46" s="83">
        <v>0.75</v>
      </c>
      <c r="AJ46" s="81">
        <f t="shared" si="4"/>
        <v>373.64608243072161</v>
      </c>
      <c r="AK46" s="81">
        <f t="shared" si="5"/>
        <v>289.64812591528806</v>
      </c>
      <c r="AL46" s="81">
        <f t="shared" si="23"/>
        <v>123.64608243072162</v>
      </c>
      <c r="AM46" s="83">
        <f t="shared" si="7"/>
        <v>0.17647058823529413</v>
      </c>
      <c r="AN46" s="83">
        <v>0.15</v>
      </c>
      <c r="AO46" s="83">
        <v>5.4699999999999999E-2</v>
      </c>
      <c r="AP46" s="83">
        <f t="shared" si="18"/>
        <v>0.49458432972288652</v>
      </c>
      <c r="AQ46" s="83">
        <f t="shared" si="25"/>
        <v>0.33091764705882354</v>
      </c>
      <c r="AR46" s="77" t="s">
        <v>319</v>
      </c>
    </row>
    <row r="47" spans="1:44" ht="15" customHeight="1" x14ac:dyDescent="0.25">
      <c r="A47" s="76">
        <v>46</v>
      </c>
      <c r="B47" s="76">
        <v>1986</v>
      </c>
      <c r="C47" s="77" t="s">
        <v>59</v>
      </c>
      <c r="D47" s="76">
        <v>8</v>
      </c>
      <c r="E47" s="78">
        <v>19</v>
      </c>
      <c r="F47" s="74">
        <v>2.5</v>
      </c>
      <c r="G47" s="75">
        <v>70</v>
      </c>
      <c r="H47" s="75">
        <v>10</v>
      </c>
      <c r="I47" s="78">
        <v>14</v>
      </c>
      <c r="J47" s="81">
        <v>1.37E-2</v>
      </c>
      <c r="K47" s="77" t="s">
        <v>306</v>
      </c>
      <c r="L47" s="77" t="s">
        <v>36</v>
      </c>
      <c r="M47" s="77" t="s">
        <v>289</v>
      </c>
      <c r="N47" s="77">
        <v>100</v>
      </c>
      <c r="O47" s="77">
        <v>30</v>
      </c>
      <c r="P47" s="78"/>
      <c r="Q47" s="44">
        <v>37</v>
      </c>
      <c r="R47" s="82"/>
      <c r="S47" s="82">
        <v>2.5486050180564606E-4</v>
      </c>
      <c r="T47" s="82">
        <v>848000000</v>
      </c>
      <c r="U47" s="78">
        <v>2783</v>
      </c>
      <c r="V47" s="82">
        <v>1.7919999999999998E-2</v>
      </c>
      <c r="W47" s="82">
        <v>2.3040000000000001E-2</v>
      </c>
      <c r="X47" s="82">
        <v>0.54900000000000004</v>
      </c>
      <c r="Y47" s="78">
        <v>29.6</v>
      </c>
      <c r="Z47" s="78">
        <v>1075</v>
      </c>
      <c r="AA47" s="78">
        <f t="shared" si="24"/>
        <v>400</v>
      </c>
      <c r="AB47" s="81">
        <f t="shared" si="21"/>
        <v>0.82189116447904176</v>
      </c>
      <c r="AC47" s="81">
        <f t="shared" si="1"/>
        <v>250</v>
      </c>
      <c r="AD47" s="81">
        <v>1000</v>
      </c>
      <c r="AE47" s="81">
        <f t="shared" si="22"/>
        <v>930.23255813953483</v>
      </c>
      <c r="AF47" s="81">
        <f t="shared" si="19"/>
        <v>750</v>
      </c>
      <c r="AG47" s="83">
        <v>1</v>
      </c>
      <c r="AH47" s="83">
        <f t="shared" si="17"/>
        <v>3</v>
      </c>
      <c r="AI47" s="83">
        <v>0.75</v>
      </c>
      <c r="AJ47" s="81">
        <f t="shared" si="4"/>
        <v>342.883513192544</v>
      </c>
      <c r="AK47" s="81">
        <f t="shared" si="5"/>
        <v>265.80117301747595</v>
      </c>
      <c r="AL47" s="81">
        <f t="shared" si="23"/>
        <v>92.883513192544015</v>
      </c>
      <c r="AM47" s="83">
        <f t="shared" si="7"/>
        <v>0.17647058823529413</v>
      </c>
      <c r="AN47" s="83">
        <v>0.15</v>
      </c>
      <c r="AO47" s="83">
        <v>3.3439999999999998E-2</v>
      </c>
      <c r="AP47" s="83">
        <f t="shared" si="18"/>
        <v>0.37153405277017604</v>
      </c>
      <c r="AQ47" s="83">
        <f t="shared" si="25"/>
        <v>0.27088941176470588</v>
      </c>
      <c r="AR47" s="77" t="s">
        <v>319</v>
      </c>
    </row>
    <row r="48" spans="1:44" ht="15" customHeight="1" x14ac:dyDescent="0.25">
      <c r="A48" s="1">
        <v>47</v>
      </c>
      <c r="B48" s="1">
        <v>1986</v>
      </c>
      <c r="C48" s="28" t="s">
        <v>59</v>
      </c>
      <c r="D48" s="1">
        <v>9</v>
      </c>
      <c r="E48" s="8">
        <v>19</v>
      </c>
      <c r="F48" s="35">
        <v>3</v>
      </c>
      <c r="G48" s="59">
        <v>70</v>
      </c>
      <c r="H48" s="59">
        <v>10</v>
      </c>
      <c r="I48" s="8">
        <v>13</v>
      </c>
      <c r="J48" s="51">
        <v>2.7199999999999998E-2</v>
      </c>
      <c r="K48" s="28" t="s">
        <v>306</v>
      </c>
      <c r="L48" s="28" t="s">
        <v>36</v>
      </c>
      <c r="M48" s="28" t="s">
        <v>289</v>
      </c>
      <c r="N48" s="28">
        <v>100</v>
      </c>
      <c r="O48" s="28">
        <v>30</v>
      </c>
      <c r="P48" s="8"/>
      <c r="Q48" s="51">
        <v>49</v>
      </c>
      <c r="R48" s="9"/>
      <c r="S48" s="9">
        <v>2.5486050180564606E-4</v>
      </c>
      <c r="T48" s="9">
        <v>848000000</v>
      </c>
      <c r="U48" s="8">
        <v>2783</v>
      </c>
      <c r="V48" s="9">
        <v>1.7919999999999998E-2</v>
      </c>
      <c r="W48" s="9">
        <v>2.3040000000000001E-2</v>
      </c>
      <c r="X48" s="9">
        <v>0.54900000000000004</v>
      </c>
      <c r="Y48" s="8">
        <v>29.6</v>
      </c>
      <c r="Z48" s="8">
        <v>1075</v>
      </c>
      <c r="AA48" s="8">
        <f t="shared" si="24"/>
        <v>400</v>
      </c>
      <c r="AB48" s="51">
        <f t="shared" si="21"/>
        <v>0.82189116447904176</v>
      </c>
      <c r="AC48" s="51">
        <f t="shared" si="1"/>
        <v>250</v>
      </c>
      <c r="AD48" s="51">
        <v>1000</v>
      </c>
      <c r="AE48" s="51">
        <f t="shared" si="22"/>
        <v>930.23255813953483</v>
      </c>
      <c r="AF48" s="51">
        <f t="shared" si="19"/>
        <v>750</v>
      </c>
      <c r="AG48" s="52">
        <v>1</v>
      </c>
      <c r="AH48" s="52">
        <f t="shared" si="17"/>
        <v>3</v>
      </c>
      <c r="AI48" s="52">
        <v>0.75</v>
      </c>
      <c r="AJ48" s="51">
        <f t="shared" si="4"/>
        <v>314.82974007656657</v>
      </c>
      <c r="AK48" s="51">
        <f t="shared" si="5"/>
        <v>244.0540620748578</v>
      </c>
      <c r="AL48" s="51">
        <f t="shared" si="23"/>
        <v>64.829740076566594</v>
      </c>
      <c r="AM48" s="52">
        <f t="shared" si="7"/>
        <v>0.17647058823529413</v>
      </c>
      <c r="AN48" s="52">
        <v>0.15</v>
      </c>
      <c r="AO48" s="52">
        <v>1.043E-2</v>
      </c>
      <c r="AP48" s="52">
        <f t="shared" si="18"/>
        <v>0.25931896030626639</v>
      </c>
      <c r="AQ48" s="52">
        <f t="shared" si="25"/>
        <v>0.20592000000000002</v>
      </c>
      <c r="AR48" s="28" t="s">
        <v>319</v>
      </c>
    </row>
    <row r="49" spans="1:44" ht="15" hidden="1" customHeight="1" x14ac:dyDescent="0.25">
      <c r="A49" s="76">
        <v>48</v>
      </c>
      <c r="B49" s="76">
        <v>1986</v>
      </c>
      <c r="C49" s="77" t="s">
        <v>60</v>
      </c>
      <c r="D49" s="76">
        <v>1</v>
      </c>
      <c r="E49" s="78">
        <v>18</v>
      </c>
      <c r="F49" s="74">
        <v>3</v>
      </c>
      <c r="G49" s="75">
        <v>39.299999999999997</v>
      </c>
      <c r="H49" s="75">
        <v>65.3</v>
      </c>
      <c r="I49" s="78">
        <v>68</v>
      </c>
      <c r="J49" s="81">
        <v>5.4000000000000003E-3</v>
      </c>
      <c r="K49" s="77" t="s">
        <v>306</v>
      </c>
      <c r="L49" s="77" t="s">
        <v>36</v>
      </c>
      <c r="M49" s="77" t="s">
        <v>34</v>
      </c>
      <c r="N49" s="77" t="s">
        <v>34</v>
      </c>
      <c r="O49" s="77" t="s">
        <v>34</v>
      </c>
      <c r="P49" s="78"/>
      <c r="Q49" s="44">
        <v>45.93</v>
      </c>
      <c r="R49" s="82"/>
      <c r="S49" s="82">
        <v>1.0819695562342278E-3</v>
      </c>
      <c r="T49" s="82">
        <v>850000000</v>
      </c>
      <c r="U49" s="78">
        <v>2083</v>
      </c>
      <c r="V49" s="82">
        <v>5.9199999999999999E-3</v>
      </c>
      <c r="W49" s="82">
        <v>2.3040000000000001E-2</v>
      </c>
      <c r="X49" s="82">
        <v>0.54900000000000004</v>
      </c>
      <c r="Y49" s="78">
        <v>29.6</v>
      </c>
      <c r="Z49" s="78">
        <v>1075</v>
      </c>
      <c r="AA49" s="78">
        <f t="shared" si="24"/>
        <v>400</v>
      </c>
      <c r="AB49" s="81">
        <f t="shared" si="21"/>
        <v>0.82189116447904176</v>
      </c>
      <c r="AC49" s="81">
        <f t="shared" si="1"/>
        <v>222.22222222222217</v>
      </c>
      <c r="AD49" s="81">
        <v>1000</v>
      </c>
      <c r="AE49" s="81">
        <f t="shared" si="22"/>
        <v>930.23255813953483</v>
      </c>
      <c r="AF49" s="81">
        <f t="shared" si="19"/>
        <v>777.77777777777783</v>
      </c>
      <c r="AG49" s="83">
        <v>1</v>
      </c>
      <c r="AH49" s="83">
        <v>3.5</v>
      </c>
      <c r="AI49" s="83">
        <f t="shared" ref="AI49:AI86" si="26">AH49/(1+AH49)</f>
        <v>0.77777777777777779</v>
      </c>
      <c r="AJ49" s="81">
        <f t="shared" si="4"/>
        <v>468.96444444444438</v>
      </c>
      <c r="AK49" s="81">
        <f t="shared" si="5"/>
        <v>363.53832902670109</v>
      </c>
      <c r="AL49" s="81">
        <f t="shared" si="23"/>
        <v>246.74222222222221</v>
      </c>
      <c r="AM49" s="83">
        <v>0.16</v>
      </c>
      <c r="AN49" s="83">
        <f t="shared" ref="AN49:AN85" si="27">AM49/(1+AM49)</f>
        <v>0.13793103448275865</v>
      </c>
      <c r="AO49" s="83">
        <f t="shared" ref="AO49:AO76" si="28">(AP49-AM49)/(AH49-AM49)</f>
        <v>0.28453293413173658</v>
      </c>
      <c r="AP49" s="83">
        <v>1.1103400000000001</v>
      </c>
      <c r="AQ49" s="83">
        <f>AP49/(1+AP49)</f>
        <v>0.52614270686240139</v>
      </c>
      <c r="AR49" s="77" t="s">
        <v>34</v>
      </c>
    </row>
    <row r="50" spans="1:44" ht="15" customHeight="1" x14ac:dyDescent="0.25">
      <c r="A50" s="76">
        <v>49</v>
      </c>
      <c r="B50" s="76">
        <v>1986</v>
      </c>
      <c r="C50" s="77" t="s">
        <v>60</v>
      </c>
      <c r="D50" s="76">
        <v>2</v>
      </c>
      <c r="E50" s="78">
        <v>18</v>
      </c>
      <c r="F50" s="74">
        <v>3</v>
      </c>
      <c r="G50" s="75">
        <v>39.299999999999997</v>
      </c>
      <c r="H50" s="75">
        <v>65.3</v>
      </c>
      <c r="I50" s="78">
        <v>68</v>
      </c>
      <c r="J50" s="81">
        <v>3.2000000000000001E-2</v>
      </c>
      <c r="K50" s="77" t="s">
        <v>306</v>
      </c>
      <c r="L50" s="77" t="s">
        <v>36</v>
      </c>
      <c r="M50" s="77" t="s">
        <v>289</v>
      </c>
      <c r="N50" s="77">
        <v>80</v>
      </c>
      <c r="O50" s="77">
        <v>30</v>
      </c>
      <c r="P50" s="78"/>
      <c r="Q50" s="44">
        <v>75.951999999999998</v>
      </c>
      <c r="R50" s="82"/>
      <c r="S50" s="82">
        <v>1.0819695562342278E-3</v>
      </c>
      <c r="T50" s="82">
        <v>850000000</v>
      </c>
      <c r="U50" s="78">
        <v>2083</v>
      </c>
      <c r="V50" s="82">
        <v>5.9199999999999999E-3</v>
      </c>
      <c r="W50" s="82">
        <v>2.3040000000000001E-2</v>
      </c>
      <c r="X50" s="82">
        <v>0.54900000000000004</v>
      </c>
      <c r="Y50" s="78">
        <v>29.6</v>
      </c>
      <c r="Z50" s="78">
        <v>1075</v>
      </c>
      <c r="AA50" s="78">
        <f t="shared" si="24"/>
        <v>400</v>
      </c>
      <c r="AB50" s="81">
        <f t="shared" si="21"/>
        <v>0.82189116447904176</v>
      </c>
      <c r="AC50" s="81">
        <f t="shared" si="1"/>
        <v>221.97804637121385</v>
      </c>
      <c r="AD50" s="81">
        <v>1000</v>
      </c>
      <c r="AE50" s="81">
        <f t="shared" si="22"/>
        <v>930.23255813953483</v>
      </c>
      <c r="AF50" s="81">
        <f t="shared" si="19"/>
        <v>778.02195362878615</v>
      </c>
      <c r="AG50" s="83">
        <v>1</v>
      </c>
      <c r="AH50" s="83">
        <v>3.50495</v>
      </c>
      <c r="AI50" s="83">
        <f t="shared" si="26"/>
        <v>0.77802195362878612</v>
      </c>
      <c r="AJ50" s="81">
        <f t="shared" si="4"/>
        <v>373.62678831063607</v>
      </c>
      <c r="AK50" s="81">
        <f t="shared" si="5"/>
        <v>289.63316923305121</v>
      </c>
      <c r="AL50" s="81">
        <f t="shared" si="23"/>
        <v>151.64874193942219</v>
      </c>
      <c r="AM50" s="83">
        <v>0.16</v>
      </c>
      <c r="AN50" s="83">
        <f t="shared" si="27"/>
        <v>0.13793103448275865</v>
      </c>
      <c r="AO50" s="83">
        <f t="shared" si="28"/>
        <v>0.15640592535015471</v>
      </c>
      <c r="AP50" s="83">
        <v>0.68317000000000005</v>
      </c>
      <c r="AQ50" s="83">
        <f>AP50/(1+AP50)</f>
        <v>0.40588294705822942</v>
      </c>
      <c r="AR50" s="77" t="s">
        <v>320</v>
      </c>
    </row>
    <row r="51" spans="1:44" ht="15" customHeight="1" x14ac:dyDescent="0.25">
      <c r="A51" s="76">
        <v>50</v>
      </c>
      <c r="B51" s="76">
        <v>1986</v>
      </c>
      <c r="C51" s="77" t="s">
        <v>60</v>
      </c>
      <c r="D51" s="76">
        <v>3</v>
      </c>
      <c r="E51" s="78">
        <v>12</v>
      </c>
      <c r="F51" s="74">
        <v>0.4</v>
      </c>
      <c r="G51" s="75">
        <v>46.5</v>
      </c>
      <c r="H51" s="75">
        <v>44.8</v>
      </c>
      <c r="I51" s="78">
        <v>44</v>
      </c>
      <c r="J51" s="81">
        <v>9.8799999999999999E-2</v>
      </c>
      <c r="K51" s="77" t="s">
        <v>306</v>
      </c>
      <c r="L51" s="77" t="s">
        <v>36</v>
      </c>
      <c r="M51" s="77" t="s">
        <v>289</v>
      </c>
      <c r="N51" s="77">
        <v>80</v>
      </c>
      <c r="O51" s="77">
        <v>30</v>
      </c>
      <c r="P51" s="78"/>
      <c r="Q51" s="44">
        <v>48.96</v>
      </c>
      <c r="R51" s="82"/>
      <c r="S51" s="82">
        <v>1.2572638124591596E-3</v>
      </c>
      <c r="T51" s="82">
        <v>850000000</v>
      </c>
      <c r="U51" s="78">
        <v>2083</v>
      </c>
      <c r="V51" s="82">
        <v>5.9199999999999999E-3</v>
      </c>
      <c r="W51" s="82">
        <v>2.3040000000000001E-2</v>
      </c>
      <c r="X51" s="82">
        <v>0.54900000000000004</v>
      </c>
      <c r="Y51" s="78">
        <v>29.6</v>
      </c>
      <c r="Z51" s="78">
        <v>1075</v>
      </c>
      <c r="AA51" s="78">
        <f t="shared" si="24"/>
        <v>400</v>
      </c>
      <c r="AB51" s="81">
        <f t="shared" si="21"/>
        <v>0.82189116447904176</v>
      </c>
      <c r="AC51" s="81">
        <f t="shared" si="1"/>
        <v>222.4674307681355</v>
      </c>
      <c r="AD51" s="81">
        <v>1000</v>
      </c>
      <c r="AE51" s="81">
        <f t="shared" si="22"/>
        <v>930.23255813953483</v>
      </c>
      <c r="AF51" s="81">
        <f t="shared" si="19"/>
        <v>777.5325692318645</v>
      </c>
      <c r="AG51" s="83">
        <v>1</v>
      </c>
      <c r="AH51" s="83">
        <v>3.4950399999999999</v>
      </c>
      <c r="AI51" s="83">
        <f t="shared" si="26"/>
        <v>0.77753256923186453</v>
      </c>
      <c r="AJ51" s="81">
        <f t="shared" si="4"/>
        <v>265.47928383284682</v>
      </c>
      <c r="AK51" s="81">
        <f t="shared" si="5"/>
        <v>205.79789444406728</v>
      </c>
      <c r="AL51" s="81">
        <f t="shared" si="23"/>
        <v>43.011853064711318</v>
      </c>
      <c r="AM51" s="83">
        <v>0.16</v>
      </c>
      <c r="AN51" s="83">
        <f t="shared" si="27"/>
        <v>0.13793103448275865</v>
      </c>
      <c r="AO51" s="83">
        <f t="shared" si="28"/>
        <v>9.9968815966225318E-3</v>
      </c>
      <c r="AP51" s="83">
        <v>0.19334000000000001</v>
      </c>
      <c r="AQ51" s="83">
        <f>AP51/(1+AP51)</f>
        <v>0.16201585466002982</v>
      </c>
      <c r="AR51" s="77" t="s">
        <v>320</v>
      </c>
    </row>
    <row r="52" spans="1:44" ht="15" customHeight="1" x14ac:dyDescent="0.25">
      <c r="A52" s="76">
        <v>51</v>
      </c>
      <c r="B52" s="76">
        <v>1986</v>
      </c>
      <c r="C52" s="77" t="s">
        <v>60</v>
      </c>
      <c r="D52" s="76">
        <v>4</v>
      </c>
      <c r="E52" s="78">
        <v>11</v>
      </c>
      <c r="F52" s="74">
        <v>2.5</v>
      </c>
      <c r="G52" s="75">
        <v>39.1</v>
      </c>
      <c r="H52" s="75">
        <v>66</v>
      </c>
      <c r="I52" s="78">
        <v>40</v>
      </c>
      <c r="J52" s="81">
        <v>0.44080000000000003</v>
      </c>
      <c r="K52" s="77" t="s">
        <v>306</v>
      </c>
      <c r="L52" s="77" t="s">
        <v>36</v>
      </c>
      <c r="M52" s="77" t="s">
        <v>289</v>
      </c>
      <c r="N52" s="77">
        <v>80</v>
      </c>
      <c r="O52" s="77">
        <v>30</v>
      </c>
      <c r="P52" s="78"/>
      <c r="Q52" s="44">
        <v>280.77499999999998</v>
      </c>
      <c r="R52" s="82"/>
      <c r="S52" s="82">
        <v>1.0773596013468406E-3</v>
      </c>
      <c r="T52" s="82">
        <v>850000000</v>
      </c>
      <c r="U52" s="78">
        <v>2083</v>
      </c>
      <c r="V52" s="82">
        <v>5.9199999999999999E-3</v>
      </c>
      <c r="W52" s="82">
        <v>2.3040000000000001E-2</v>
      </c>
      <c r="X52" s="82">
        <v>0.54900000000000004</v>
      </c>
      <c r="Y52" s="78">
        <v>29.6</v>
      </c>
      <c r="Z52" s="78">
        <v>1075</v>
      </c>
      <c r="AA52" s="78">
        <f t="shared" si="24"/>
        <v>400</v>
      </c>
      <c r="AB52" s="81">
        <f t="shared" si="21"/>
        <v>0.82189116447904176</v>
      </c>
      <c r="AC52" s="81">
        <f t="shared" si="1"/>
        <v>222.22222222222217</v>
      </c>
      <c r="AD52" s="81">
        <v>1000</v>
      </c>
      <c r="AE52" s="81">
        <f t="shared" si="22"/>
        <v>930.23255813953483</v>
      </c>
      <c r="AF52" s="81">
        <f t="shared" si="19"/>
        <v>777.77777777777783</v>
      </c>
      <c r="AG52" s="83">
        <v>1</v>
      </c>
      <c r="AH52" s="83">
        <v>3.5</v>
      </c>
      <c r="AI52" s="83">
        <f t="shared" si="26"/>
        <v>0.77777777777777779</v>
      </c>
      <c r="AJ52" s="81">
        <f t="shared" si="4"/>
        <v>268.62444444444441</v>
      </c>
      <c r="AK52" s="81">
        <f t="shared" si="5"/>
        <v>208.23600344530573</v>
      </c>
      <c r="AL52" s="81">
        <f t="shared" si="23"/>
        <v>46.402222222222214</v>
      </c>
      <c r="AM52" s="83">
        <v>0.16</v>
      </c>
      <c r="AN52" s="83">
        <f t="shared" si="27"/>
        <v>0.13793103448275865</v>
      </c>
      <c r="AO52" s="83">
        <f t="shared" si="28"/>
        <v>1.4613772455089819E-2</v>
      </c>
      <c r="AP52" s="83">
        <v>0.20881</v>
      </c>
      <c r="AQ52" s="83">
        <f>AP52/(1+AP52)</f>
        <v>0.17274013285793466</v>
      </c>
      <c r="AR52" s="77" t="s">
        <v>320</v>
      </c>
    </row>
    <row r="53" spans="1:44" ht="15" customHeight="1" x14ac:dyDescent="0.25">
      <c r="A53" s="76">
        <v>52</v>
      </c>
      <c r="B53" s="76">
        <v>1986</v>
      </c>
      <c r="C53" s="77" t="s">
        <v>60</v>
      </c>
      <c r="D53" s="76">
        <v>5</v>
      </c>
      <c r="E53" s="78">
        <v>9</v>
      </c>
      <c r="F53" s="74">
        <v>2.5</v>
      </c>
      <c r="G53" s="75">
        <v>41</v>
      </c>
      <c r="H53" s="75">
        <v>59.7</v>
      </c>
      <c r="I53" s="78">
        <v>31</v>
      </c>
      <c r="J53" s="81">
        <v>8.9700000000000002E-2</v>
      </c>
      <c r="K53" s="77" t="s">
        <v>306</v>
      </c>
      <c r="L53" s="77" t="s">
        <v>36</v>
      </c>
      <c r="M53" s="77" t="s">
        <v>289</v>
      </c>
      <c r="N53" s="77">
        <v>80</v>
      </c>
      <c r="O53" s="77">
        <v>30</v>
      </c>
      <c r="P53" s="78"/>
      <c r="Q53" s="44">
        <v>230.92500000000001</v>
      </c>
      <c r="R53" s="82"/>
      <c r="S53" s="82">
        <v>1.1217129369976849E-3</v>
      </c>
      <c r="T53" s="82">
        <v>850000000</v>
      </c>
      <c r="U53" s="78">
        <v>2083</v>
      </c>
      <c r="V53" s="82">
        <v>5.9199999999999999E-3</v>
      </c>
      <c r="W53" s="82">
        <v>2.3040000000000001E-2</v>
      </c>
      <c r="X53" s="82">
        <v>0.54900000000000004</v>
      </c>
      <c r="Y53" s="78">
        <v>29.6</v>
      </c>
      <c r="Z53" s="78">
        <v>1075</v>
      </c>
      <c r="AA53" s="78">
        <f t="shared" si="24"/>
        <v>400</v>
      </c>
      <c r="AB53" s="81">
        <f t="shared" si="21"/>
        <v>0.82189116447904176</v>
      </c>
      <c r="AC53" s="81">
        <f t="shared" si="1"/>
        <v>222.22222222222217</v>
      </c>
      <c r="AD53" s="81">
        <v>1000</v>
      </c>
      <c r="AE53" s="81">
        <f t="shared" si="22"/>
        <v>930.23255813953483</v>
      </c>
      <c r="AF53" s="81">
        <f t="shared" si="19"/>
        <v>777.77777777777783</v>
      </c>
      <c r="AG53" s="83">
        <v>1</v>
      </c>
      <c r="AH53" s="83">
        <v>3.5</v>
      </c>
      <c r="AI53" s="83">
        <f t="shared" si="26"/>
        <v>0.77777777777777779</v>
      </c>
      <c r="AJ53" s="81">
        <f t="shared" si="4"/>
        <v>282.81333333333328</v>
      </c>
      <c r="AK53" s="81">
        <f t="shared" si="5"/>
        <v>219.235142118863</v>
      </c>
      <c r="AL53" s="81">
        <f t="shared" si="23"/>
        <v>60.591111111111097</v>
      </c>
      <c r="AM53" s="83">
        <v>0.16</v>
      </c>
      <c r="AN53" s="83">
        <f t="shared" si="27"/>
        <v>0.13793103448275865</v>
      </c>
      <c r="AO53" s="83">
        <f t="shared" si="28"/>
        <v>3.3730538922155696E-2</v>
      </c>
      <c r="AP53" s="83">
        <v>0.27266000000000001</v>
      </c>
      <c r="AQ53" s="83">
        <f t="shared" ref="AQ53:AQ62" si="29">AP53/(AP53+1)</f>
        <v>0.21424418147816385</v>
      </c>
      <c r="AR53" s="77" t="s">
        <v>320</v>
      </c>
    </row>
    <row r="54" spans="1:44" ht="15" customHeight="1" x14ac:dyDescent="0.25">
      <c r="A54" s="76">
        <v>53</v>
      </c>
      <c r="B54" s="76">
        <v>1986</v>
      </c>
      <c r="C54" s="77" t="s">
        <v>60</v>
      </c>
      <c r="D54" s="76">
        <v>6</v>
      </c>
      <c r="E54" s="78">
        <v>9</v>
      </c>
      <c r="F54" s="74">
        <v>2</v>
      </c>
      <c r="G54" s="75">
        <v>60</v>
      </c>
      <c r="H54" s="75">
        <v>23.3</v>
      </c>
      <c r="I54" s="78">
        <v>15</v>
      </c>
      <c r="J54" s="81">
        <v>3.9600000000000003E-2</v>
      </c>
      <c r="K54" s="77" t="s">
        <v>306</v>
      </c>
      <c r="L54" s="77" t="s">
        <v>36</v>
      </c>
      <c r="M54" s="77" t="s">
        <v>289</v>
      </c>
      <c r="N54" s="77">
        <v>100</v>
      </c>
      <c r="O54" s="77">
        <v>10</v>
      </c>
      <c r="P54" s="78"/>
      <c r="Q54" s="44">
        <v>49.540999999999997</v>
      </c>
      <c r="R54" s="82"/>
      <c r="S54" s="82">
        <v>1.6371962561200482E-3</v>
      </c>
      <c r="T54" s="82">
        <v>850000000</v>
      </c>
      <c r="U54" s="78">
        <v>2083</v>
      </c>
      <c r="V54" s="82">
        <v>5.9199999999999999E-3</v>
      </c>
      <c r="W54" s="82">
        <v>2.3040000000000001E-2</v>
      </c>
      <c r="X54" s="82">
        <v>0.54900000000000004</v>
      </c>
      <c r="Y54" s="78">
        <v>29.6</v>
      </c>
      <c r="Z54" s="78">
        <v>1075</v>
      </c>
      <c r="AA54" s="78">
        <f t="shared" si="24"/>
        <v>400</v>
      </c>
      <c r="AB54" s="81">
        <f t="shared" si="21"/>
        <v>0.82189116447904176</v>
      </c>
      <c r="AC54" s="81">
        <f t="shared" si="1"/>
        <v>314.36161016016729</v>
      </c>
      <c r="AD54" s="81">
        <v>1000</v>
      </c>
      <c r="AE54" s="81">
        <f t="shared" si="22"/>
        <v>930.23255813953483</v>
      </c>
      <c r="AF54" s="81">
        <f t="shared" si="19"/>
        <v>685.63838983983271</v>
      </c>
      <c r="AG54" s="83">
        <v>1</v>
      </c>
      <c r="AH54" s="83">
        <v>2.1810499999999999</v>
      </c>
      <c r="AI54" s="83">
        <f t="shared" si="26"/>
        <v>0.68563838983983272</v>
      </c>
      <c r="AJ54" s="81">
        <f t="shared" si="4"/>
        <v>392.66280001886173</v>
      </c>
      <c r="AK54" s="81">
        <f t="shared" si="5"/>
        <v>304.38976745648193</v>
      </c>
      <c r="AL54" s="81">
        <f t="shared" si="23"/>
        <v>78.301189858694457</v>
      </c>
      <c r="AM54" s="83">
        <v>0.16</v>
      </c>
      <c r="AN54" s="83">
        <f t="shared" si="27"/>
        <v>0.13793103448275865</v>
      </c>
      <c r="AO54" s="83">
        <f t="shared" si="28"/>
        <v>4.4076099057420645E-2</v>
      </c>
      <c r="AP54" s="83">
        <v>0.24908</v>
      </c>
      <c r="AQ54" s="83">
        <f t="shared" si="29"/>
        <v>0.19941076632401447</v>
      </c>
      <c r="AR54" s="77" t="s">
        <v>321</v>
      </c>
    </row>
    <row r="55" spans="1:44" ht="15" customHeight="1" x14ac:dyDescent="0.25">
      <c r="A55" s="76">
        <v>54</v>
      </c>
      <c r="B55" s="76">
        <v>1986</v>
      </c>
      <c r="C55" s="77" t="s">
        <v>60</v>
      </c>
      <c r="D55" s="76">
        <v>7</v>
      </c>
      <c r="E55" s="78">
        <v>9</v>
      </c>
      <c r="F55" s="74">
        <v>2</v>
      </c>
      <c r="G55" s="75">
        <v>60</v>
      </c>
      <c r="H55" s="75">
        <v>23.3</v>
      </c>
      <c r="I55" s="78">
        <v>11</v>
      </c>
      <c r="J55" s="81">
        <v>6.3E-3</v>
      </c>
      <c r="K55" s="77" t="s">
        <v>306</v>
      </c>
      <c r="L55" s="77" t="s">
        <v>36</v>
      </c>
      <c r="M55" s="77" t="s">
        <v>289</v>
      </c>
      <c r="N55" s="77">
        <v>80</v>
      </c>
      <c r="O55" s="77">
        <v>30</v>
      </c>
      <c r="P55" s="78"/>
      <c r="Q55" s="44">
        <v>67</v>
      </c>
      <c r="R55" s="82"/>
      <c r="S55" s="82">
        <v>1.6371962561200482E-3</v>
      </c>
      <c r="T55" s="82">
        <v>850000000</v>
      </c>
      <c r="U55" s="78">
        <v>2083</v>
      </c>
      <c r="V55" s="82">
        <v>5.9199999999999999E-3</v>
      </c>
      <c r="W55" s="82">
        <v>2.3040000000000001E-2</v>
      </c>
      <c r="X55" s="82">
        <v>0.54900000000000004</v>
      </c>
      <c r="Y55" s="78">
        <v>29.6</v>
      </c>
      <c r="Z55" s="78">
        <v>1075</v>
      </c>
      <c r="AA55" s="78">
        <f t="shared" si="24"/>
        <v>400</v>
      </c>
      <c r="AB55" s="81">
        <f t="shared" si="21"/>
        <v>0.82189116447904176</v>
      </c>
      <c r="AC55" s="81">
        <f t="shared" si="1"/>
        <v>309.84885572817575</v>
      </c>
      <c r="AD55" s="81">
        <v>1000</v>
      </c>
      <c r="AE55" s="81">
        <f t="shared" si="22"/>
        <v>930.23255813953483</v>
      </c>
      <c r="AF55" s="81">
        <f t="shared" si="19"/>
        <v>690.15114427182425</v>
      </c>
      <c r="AG55" s="83">
        <v>1</v>
      </c>
      <c r="AH55" s="83">
        <v>2.2273800000000001</v>
      </c>
      <c r="AI55" s="83">
        <f t="shared" si="26"/>
        <v>0.69015114427182422</v>
      </c>
      <c r="AJ55" s="81">
        <f t="shared" si="4"/>
        <v>387.24909988907405</v>
      </c>
      <c r="AK55" s="81">
        <f t="shared" si="5"/>
        <v>300.1931006892047</v>
      </c>
      <c r="AL55" s="81">
        <f t="shared" si="23"/>
        <v>77.400244160898296</v>
      </c>
      <c r="AM55" s="83">
        <v>0.16</v>
      </c>
      <c r="AN55" s="83">
        <f t="shared" si="27"/>
        <v>0.13793103448275865</v>
      </c>
      <c r="AO55" s="83">
        <f t="shared" si="28"/>
        <v>4.3436620263328458E-2</v>
      </c>
      <c r="AP55" s="83">
        <v>0.24979999999999999</v>
      </c>
      <c r="AQ55" s="83">
        <f t="shared" si="29"/>
        <v>0.19987197951672267</v>
      </c>
      <c r="AR55" s="77" t="s">
        <v>322</v>
      </c>
    </row>
    <row r="56" spans="1:44" ht="15" customHeight="1" x14ac:dyDescent="0.25">
      <c r="A56" s="76">
        <v>55</v>
      </c>
      <c r="B56" s="76">
        <v>1986</v>
      </c>
      <c r="C56" s="77" t="s">
        <v>60</v>
      </c>
      <c r="D56" s="76">
        <v>8</v>
      </c>
      <c r="E56" s="78">
        <v>10</v>
      </c>
      <c r="F56" s="74">
        <v>2</v>
      </c>
      <c r="G56" s="75">
        <v>60</v>
      </c>
      <c r="H56" s="75">
        <v>23.3</v>
      </c>
      <c r="I56" s="78">
        <v>14</v>
      </c>
      <c r="J56" s="81">
        <v>8.2000000000000007E-3</v>
      </c>
      <c r="K56" s="77" t="s">
        <v>306</v>
      </c>
      <c r="L56" s="77" t="s">
        <v>36</v>
      </c>
      <c r="M56" s="77" t="s">
        <v>289</v>
      </c>
      <c r="N56" s="77">
        <v>80</v>
      </c>
      <c r="O56" s="77">
        <v>30</v>
      </c>
      <c r="P56" s="78"/>
      <c r="Q56" s="44">
        <v>55</v>
      </c>
      <c r="R56" s="82"/>
      <c r="S56" s="82">
        <v>1.6371962561200482E-3</v>
      </c>
      <c r="T56" s="82">
        <v>850000000</v>
      </c>
      <c r="U56" s="78">
        <v>2083</v>
      </c>
      <c r="V56" s="82">
        <v>5.9199999999999999E-3</v>
      </c>
      <c r="W56" s="82">
        <v>2.3040000000000001E-2</v>
      </c>
      <c r="X56" s="82">
        <v>0.54900000000000004</v>
      </c>
      <c r="Y56" s="78">
        <v>29.6</v>
      </c>
      <c r="Z56" s="78">
        <v>1075</v>
      </c>
      <c r="AA56" s="78">
        <f t="shared" si="24"/>
        <v>400</v>
      </c>
      <c r="AB56" s="81">
        <f t="shared" si="21"/>
        <v>0.82189116447904176</v>
      </c>
      <c r="AC56" s="81">
        <f t="shared" si="1"/>
        <v>291.26920556324171</v>
      </c>
      <c r="AD56" s="81">
        <v>1000</v>
      </c>
      <c r="AE56" s="81">
        <f t="shared" si="22"/>
        <v>930.23255813953483</v>
      </c>
      <c r="AF56" s="81">
        <f t="shared" si="19"/>
        <v>708.73079443675829</v>
      </c>
      <c r="AG56" s="83">
        <v>1</v>
      </c>
      <c r="AH56" s="83">
        <v>2.4332500000000001</v>
      </c>
      <c r="AI56" s="83">
        <f t="shared" si="26"/>
        <v>0.70873079443675824</v>
      </c>
      <c r="AJ56" s="81">
        <f t="shared" si="4"/>
        <v>363.83601543726775</v>
      </c>
      <c r="AK56" s="81">
        <f t="shared" si="5"/>
        <v>282.04342281958736</v>
      </c>
      <c r="AL56" s="81">
        <f t="shared" si="23"/>
        <v>72.566809874026035</v>
      </c>
      <c r="AM56" s="83">
        <v>0.16</v>
      </c>
      <c r="AN56" s="83">
        <f t="shared" si="27"/>
        <v>0.13793103448275865</v>
      </c>
      <c r="AO56" s="83">
        <f t="shared" si="28"/>
        <v>3.921258110634554E-2</v>
      </c>
      <c r="AP56" s="83">
        <v>0.24914</v>
      </c>
      <c r="AQ56" s="83">
        <f t="shared" si="29"/>
        <v>0.1994492210640921</v>
      </c>
      <c r="AR56" s="77" t="s">
        <v>61</v>
      </c>
    </row>
    <row r="57" spans="1:44" ht="15" customHeight="1" x14ac:dyDescent="0.25">
      <c r="A57" s="76">
        <v>56</v>
      </c>
      <c r="B57" s="76">
        <v>1986</v>
      </c>
      <c r="C57" s="77" t="s">
        <v>60</v>
      </c>
      <c r="D57" s="76">
        <v>9</v>
      </c>
      <c r="E57" s="78">
        <v>12</v>
      </c>
      <c r="F57" s="74">
        <v>2</v>
      </c>
      <c r="G57" s="75">
        <v>60</v>
      </c>
      <c r="H57" s="75">
        <v>23.3</v>
      </c>
      <c r="I57" s="78">
        <v>65</v>
      </c>
      <c r="J57" s="81">
        <v>0.25890000000000002</v>
      </c>
      <c r="K57" s="77" t="s">
        <v>306</v>
      </c>
      <c r="L57" s="77" t="s">
        <v>36</v>
      </c>
      <c r="M57" s="77" t="s">
        <v>289</v>
      </c>
      <c r="N57" s="77">
        <v>80</v>
      </c>
      <c r="O57" s="77">
        <v>30</v>
      </c>
      <c r="P57" s="78"/>
      <c r="Q57" s="44">
        <v>13</v>
      </c>
      <c r="R57" s="82"/>
      <c r="S57" s="82">
        <v>1.6371962561200482E-3</v>
      </c>
      <c r="T57" s="82">
        <v>850000000</v>
      </c>
      <c r="U57" s="78">
        <v>2083</v>
      </c>
      <c r="V57" s="82">
        <v>5.9199999999999999E-3</v>
      </c>
      <c r="W57" s="82">
        <v>2.3040000000000001E-2</v>
      </c>
      <c r="X57" s="82">
        <v>0.54900000000000004</v>
      </c>
      <c r="Y57" s="78">
        <v>29.6</v>
      </c>
      <c r="Z57" s="78">
        <v>1075</v>
      </c>
      <c r="AA57" s="78">
        <f t="shared" si="24"/>
        <v>400</v>
      </c>
      <c r="AB57" s="81">
        <f t="shared" si="21"/>
        <v>0.82189116447904176</v>
      </c>
      <c r="AC57" s="81">
        <f t="shared" si="1"/>
        <v>262.09296961818291</v>
      </c>
      <c r="AD57" s="81">
        <v>1000</v>
      </c>
      <c r="AE57" s="81">
        <f t="shared" si="22"/>
        <v>930.23255813953483</v>
      </c>
      <c r="AF57" s="81">
        <f t="shared" si="19"/>
        <v>737.90703038181709</v>
      </c>
      <c r="AG57" s="83">
        <v>1</v>
      </c>
      <c r="AH57" s="83">
        <v>2.8154400000000002</v>
      </c>
      <c r="AI57" s="83">
        <f t="shared" si="26"/>
        <v>0.73790703038181704</v>
      </c>
      <c r="AJ57" s="81">
        <f t="shared" si="4"/>
        <v>328.52567462730372</v>
      </c>
      <c r="AK57" s="81">
        <f t="shared" si="5"/>
        <v>254.67106560256104</v>
      </c>
      <c r="AL57" s="81">
        <f t="shared" si="23"/>
        <v>66.432705009120809</v>
      </c>
      <c r="AM57" s="83">
        <v>0.16</v>
      </c>
      <c r="AN57" s="83">
        <f t="shared" si="27"/>
        <v>0.13793103448275865</v>
      </c>
      <c r="AO57" s="83">
        <f t="shared" si="28"/>
        <v>3.5199439640888126E-2</v>
      </c>
      <c r="AP57" s="83">
        <v>0.25346999999999997</v>
      </c>
      <c r="AQ57" s="83">
        <f t="shared" si="29"/>
        <v>0.20221465212569903</v>
      </c>
      <c r="AR57" s="77" t="s">
        <v>320</v>
      </c>
    </row>
    <row r="58" spans="1:44" ht="15" customHeight="1" x14ac:dyDescent="0.25">
      <c r="A58" s="76">
        <v>57</v>
      </c>
      <c r="B58" s="76">
        <v>1986</v>
      </c>
      <c r="C58" s="77" t="s">
        <v>60</v>
      </c>
      <c r="D58" s="76">
        <v>10</v>
      </c>
      <c r="E58" s="78">
        <v>13</v>
      </c>
      <c r="F58" s="74">
        <v>2</v>
      </c>
      <c r="G58" s="75">
        <v>60</v>
      </c>
      <c r="H58" s="75">
        <v>23.3</v>
      </c>
      <c r="I58" s="78">
        <v>83</v>
      </c>
      <c r="J58" s="81">
        <v>5.8700000000000002E-2</v>
      </c>
      <c r="K58" s="77" t="s">
        <v>306</v>
      </c>
      <c r="L58" s="77" t="s">
        <v>36</v>
      </c>
      <c r="M58" s="77" t="s">
        <v>289</v>
      </c>
      <c r="N58" s="77">
        <v>25</v>
      </c>
      <c r="O58" s="77">
        <v>60</v>
      </c>
      <c r="P58" s="78"/>
      <c r="Q58" s="44">
        <v>8</v>
      </c>
      <c r="R58" s="82"/>
      <c r="S58" s="82">
        <v>1.6371962561200482E-3</v>
      </c>
      <c r="T58" s="82">
        <v>850000000</v>
      </c>
      <c r="U58" s="78">
        <v>2083</v>
      </c>
      <c r="V58" s="82">
        <v>5.9199999999999999E-3</v>
      </c>
      <c r="W58" s="82">
        <v>2.3040000000000001E-2</v>
      </c>
      <c r="X58" s="82">
        <v>0.54900000000000004</v>
      </c>
      <c r="Y58" s="78">
        <v>29.6</v>
      </c>
      <c r="Z58" s="78">
        <v>1075</v>
      </c>
      <c r="AA58" s="78">
        <f t="shared" si="24"/>
        <v>400</v>
      </c>
      <c r="AB58" s="81">
        <f t="shared" si="21"/>
        <v>0.82189116447904176</v>
      </c>
      <c r="AC58" s="81">
        <f t="shared" si="1"/>
        <v>240.85764590554049</v>
      </c>
      <c r="AD58" s="81">
        <v>1000</v>
      </c>
      <c r="AE58" s="81">
        <f t="shared" si="22"/>
        <v>930.23255813953483</v>
      </c>
      <c r="AF58" s="81">
        <f t="shared" si="19"/>
        <v>759.14235409445951</v>
      </c>
      <c r="AG58" s="83">
        <v>1</v>
      </c>
      <c r="AH58" s="83">
        <v>3.1518299999999999</v>
      </c>
      <c r="AI58" s="83">
        <f t="shared" si="26"/>
        <v>0.75914235409445951</v>
      </c>
      <c r="AJ58" s="81">
        <f t="shared" si="4"/>
        <v>302.02344508325245</v>
      </c>
      <c r="AK58" s="81">
        <f t="shared" si="5"/>
        <v>234.12670161492437</v>
      </c>
      <c r="AL58" s="81">
        <f t="shared" si="23"/>
        <v>61.165799177711996</v>
      </c>
      <c r="AM58" s="83">
        <v>0.16</v>
      </c>
      <c r="AN58" s="83">
        <f t="shared" si="27"/>
        <v>0.13793103448275865</v>
      </c>
      <c r="AO58" s="83">
        <f t="shared" si="28"/>
        <v>3.140218528459171E-2</v>
      </c>
      <c r="AP58" s="83">
        <v>0.25395000000000001</v>
      </c>
      <c r="AQ58" s="83">
        <f t="shared" si="29"/>
        <v>0.20252003668407831</v>
      </c>
      <c r="AR58" s="77" t="s">
        <v>323</v>
      </c>
    </row>
    <row r="59" spans="1:44" ht="15" customHeight="1" x14ac:dyDescent="0.25">
      <c r="A59" s="76">
        <v>58</v>
      </c>
      <c r="B59" s="76">
        <v>1986</v>
      </c>
      <c r="C59" s="77" t="s">
        <v>60</v>
      </c>
      <c r="D59" s="76">
        <v>11</v>
      </c>
      <c r="E59" s="78">
        <v>16</v>
      </c>
      <c r="F59" s="74">
        <v>0.8</v>
      </c>
      <c r="G59" s="75">
        <v>48</v>
      </c>
      <c r="H59" s="75">
        <v>41.6</v>
      </c>
      <c r="I59" s="78">
        <v>60</v>
      </c>
      <c r="J59" s="81">
        <v>6.6199999999999995E-2</v>
      </c>
      <c r="K59" s="77" t="s">
        <v>306</v>
      </c>
      <c r="L59" s="77" t="s">
        <v>36</v>
      </c>
      <c r="M59" s="77" t="s">
        <v>289</v>
      </c>
      <c r="N59" s="77">
        <v>80</v>
      </c>
      <c r="O59" s="77">
        <v>30</v>
      </c>
      <c r="P59" s="78"/>
      <c r="Q59" s="44">
        <v>35</v>
      </c>
      <c r="R59" s="82"/>
      <c r="S59" s="82">
        <v>1.2961166551331686E-3</v>
      </c>
      <c r="T59" s="82">
        <v>850000000</v>
      </c>
      <c r="U59" s="78">
        <v>2083</v>
      </c>
      <c r="V59" s="82">
        <v>5.9199999999999999E-3</v>
      </c>
      <c r="W59" s="82">
        <v>2.3040000000000001E-2</v>
      </c>
      <c r="X59" s="82">
        <v>0.54900000000000004</v>
      </c>
      <c r="Y59" s="78">
        <v>29.6</v>
      </c>
      <c r="Z59" s="78">
        <v>1075</v>
      </c>
      <c r="AA59" s="78">
        <f t="shared" si="24"/>
        <v>400</v>
      </c>
      <c r="AB59" s="81">
        <f t="shared" si="21"/>
        <v>0.82189116447904176</v>
      </c>
      <c r="AC59" s="81">
        <f t="shared" si="1"/>
        <v>222.22222222222217</v>
      </c>
      <c r="AD59" s="81">
        <v>1000</v>
      </c>
      <c r="AE59" s="81">
        <f t="shared" si="22"/>
        <v>930.23255813953483</v>
      </c>
      <c r="AF59" s="81">
        <f t="shared" si="19"/>
        <v>777.77777777777783</v>
      </c>
      <c r="AG59" s="83">
        <v>1</v>
      </c>
      <c r="AH59" s="83">
        <v>3.5</v>
      </c>
      <c r="AI59" s="83">
        <f t="shared" si="26"/>
        <v>0.77777777777777779</v>
      </c>
      <c r="AJ59" s="81">
        <f t="shared" si="4"/>
        <v>257.29999999999995</v>
      </c>
      <c r="AK59" s="81">
        <f t="shared" si="5"/>
        <v>199.45736434108525</v>
      </c>
      <c r="AL59" s="81">
        <f t="shared" si="23"/>
        <v>35.077777777777769</v>
      </c>
      <c r="AM59" s="83">
        <f>AP59</f>
        <v>0.15784999999999999</v>
      </c>
      <c r="AN59" s="83">
        <f t="shared" si="27"/>
        <v>0.13633026730578227</v>
      </c>
      <c r="AO59" s="83">
        <f t="shared" si="28"/>
        <v>0</v>
      </c>
      <c r="AP59" s="83">
        <v>0.15784999999999999</v>
      </c>
      <c r="AQ59" s="83">
        <f t="shared" si="29"/>
        <v>0.13633026730578227</v>
      </c>
      <c r="AR59" s="77" t="s">
        <v>320</v>
      </c>
    </row>
    <row r="60" spans="1:44" ht="15" customHeight="1" x14ac:dyDescent="0.25">
      <c r="A60" s="76">
        <v>59</v>
      </c>
      <c r="B60" s="76">
        <v>1986</v>
      </c>
      <c r="C60" s="77" t="s">
        <v>60</v>
      </c>
      <c r="D60" s="76">
        <v>12</v>
      </c>
      <c r="E60" s="78">
        <v>15</v>
      </c>
      <c r="F60" s="74">
        <v>0.8</v>
      </c>
      <c r="G60" s="75">
        <v>48</v>
      </c>
      <c r="H60" s="75">
        <v>41.6</v>
      </c>
      <c r="I60" s="78">
        <v>56</v>
      </c>
      <c r="J60" s="81">
        <v>7.7799999999999994E-2</v>
      </c>
      <c r="K60" s="77" t="s">
        <v>306</v>
      </c>
      <c r="L60" s="77" t="s">
        <v>36</v>
      </c>
      <c r="M60" s="77" t="s">
        <v>289</v>
      </c>
      <c r="N60" s="77">
        <v>80</v>
      </c>
      <c r="O60" s="77">
        <v>30</v>
      </c>
      <c r="P60" s="78"/>
      <c r="Q60" s="44">
        <v>56</v>
      </c>
      <c r="R60" s="82"/>
      <c r="S60" s="82">
        <v>1.2961166551331686E-3</v>
      </c>
      <c r="T60" s="82">
        <v>850000000</v>
      </c>
      <c r="U60" s="78">
        <v>2083</v>
      </c>
      <c r="V60" s="82">
        <v>5.9199999999999999E-3</v>
      </c>
      <c r="W60" s="82">
        <v>2.3040000000000001E-2</v>
      </c>
      <c r="X60" s="82">
        <v>0.54900000000000004</v>
      </c>
      <c r="Y60" s="78">
        <v>29.6</v>
      </c>
      <c r="Z60" s="78">
        <v>1075</v>
      </c>
      <c r="AA60" s="78">
        <f t="shared" si="24"/>
        <v>400</v>
      </c>
      <c r="AB60" s="81">
        <f t="shared" si="21"/>
        <v>0.82189116447904176</v>
      </c>
      <c r="AC60" s="81">
        <f t="shared" si="1"/>
        <v>222.22222222222217</v>
      </c>
      <c r="AD60" s="81">
        <v>1000</v>
      </c>
      <c r="AE60" s="81">
        <f t="shared" si="22"/>
        <v>930.23255813953483</v>
      </c>
      <c r="AF60" s="81">
        <f t="shared" si="19"/>
        <v>777.77777777777783</v>
      </c>
      <c r="AG60" s="83">
        <v>1</v>
      </c>
      <c r="AH60" s="83">
        <v>3.5</v>
      </c>
      <c r="AI60" s="83">
        <f t="shared" si="26"/>
        <v>0.77777777777777779</v>
      </c>
      <c r="AJ60" s="81">
        <f t="shared" si="4"/>
        <v>257.32888888888886</v>
      </c>
      <c r="AK60" s="81">
        <f t="shared" si="5"/>
        <v>199.479758828596</v>
      </c>
      <c r="AL60" s="81">
        <f t="shared" si="23"/>
        <v>35.106666666666662</v>
      </c>
      <c r="AM60" s="83">
        <f>AP60</f>
        <v>0.15798000000000001</v>
      </c>
      <c r="AN60" s="83">
        <f t="shared" si="27"/>
        <v>0.13642722672239591</v>
      </c>
      <c r="AO60" s="83">
        <f t="shared" si="28"/>
        <v>0</v>
      </c>
      <c r="AP60" s="83">
        <v>0.15798000000000001</v>
      </c>
      <c r="AQ60" s="83">
        <f t="shared" si="29"/>
        <v>0.13642722672239591</v>
      </c>
      <c r="AR60" s="77" t="s">
        <v>61</v>
      </c>
    </row>
    <row r="61" spans="1:44" ht="15" customHeight="1" x14ac:dyDescent="0.25">
      <c r="A61" s="76">
        <v>60</v>
      </c>
      <c r="B61" s="76">
        <v>1986</v>
      </c>
      <c r="C61" s="77" t="s">
        <v>60</v>
      </c>
      <c r="D61" s="76">
        <v>13</v>
      </c>
      <c r="E61" s="78">
        <v>8</v>
      </c>
      <c r="F61" s="74">
        <v>2</v>
      </c>
      <c r="G61" s="75">
        <v>48</v>
      </c>
      <c r="H61" s="75">
        <v>41.6</v>
      </c>
      <c r="I61" s="78">
        <v>26</v>
      </c>
      <c r="J61" s="81">
        <v>6.88E-2</v>
      </c>
      <c r="K61" s="77" t="s">
        <v>306</v>
      </c>
      <c r="L61" s="77" t="s">
        <v>36</v>
      </c>
      <c r="M61" s="77" t="s">
        <v>289</v>
      </c>
      <c r="N61" s="77">
        <v>80</v>
      </c>
      <c r="O61" s="77">
        <v>30</v>
      </c>
      <c r="P61" s="78"/>
      <c r="Q61" s="44">
        <v>75</v>
      </c>
      <c r="R61" s="82"/>
      <c r="S61" s="82">
        <v>1.2961166551331686E-3</v>
      </c>
      <c r="T61" s="82">
        <v>850000000</v>
      </c>
      <c r="U61" s="78">
        <v>2083</v>
      </c>
      <c r="V61" s="82">
        <v>5.9199999999999999E-3</v>
      </c>
      <c r="W61" s="82">
        <v>2.3040000000000001E-2</v>
      </c>
      <c r="X61" s="82">
        <v>0.54900000000000004</v>
      </c>
      <c r="Y61" s="78">
        <v>29.6</v>
      </c>
      <c r="Z61" s="78">
        <v>1075</v>
      </c>
      <c r="AA61" s="78">
        <f t="shared" si="24"/>
        <v>400</v>
      </c>
      <c r="AB61" s="81">
        <f t="shared" si="21"/>
        <v>0.82189116447904176</v>
      </c>
      <c r="AC61" s="81">
        <f t="shared" si="1"/>
        <v>222.22222222222217</v>
      </c>
      <c r="AD61" s="81">
        <v>1000</v>
      </c>
      <c r="AE61" s="81">
        <f t="shared" si="22"/>
        <v>930.23255813953483</v>
      </c>
      <c r="AF61" s="81">
        <f t="shared" si="19"/>
        <v>777.77777777777783</v>
      </c>
      <c r="AG61" s="83">
        <v>1</v>
      </c>
      <c r="AH61" s="83">
        <v>3.5</v>
      </c>
      <c r="AI61" s="83">
        <f t="shared" si="26"/>
        <v>0.77777777777777779</v>
      </c>
      <c r="AJ61" s="81">
        <f t="shared" si="4"/>
        <v>257.54666666666662</v>
      </c>
      <c r="AK61" s="81">
        <f t="shared" si="5"/>
        <v>199.64857881136948</v>
      </c>
      <c r="AL61" s="81">
        <f t="shared" si="23"/>
        <v>35.324444444444438</v>
      </c>
      <c r="AM61" s="83">
        <f>AP61</f>
        <v>0.15895999999999999</v>
      </c>
      <c r="AN61" s="83">
        <f t="shared" si="27"/>
        <v>0.13715745150824876</v>
      </c>
      <c r="AO61" s="83">
        <f t="shared" si="28"/>
        <v>0</v>
      </c>
      <c r="AP61" s="83">
        <v>0.15895999999999999</v>
      </c>
      <c r="AQ61" s="83">
        <f t="shared" si="29"/>
        <v>0.13715745150824876</v>
      </c>
      <c r="AR61" s="77" t="s">
        <v>61</v>
      </c>
    </row>
    <row r="62" spans="1:44" ht="15" customHeight="1" x14ac:dyDescent="0.25">
      <c r="A62" s="76">
        <v>61</v>
      </c>
      <c r="B62" s="76">
        <v>1986</v>
      </c>
      <c r="C62" s="77" t="s">
        <v>60</v>
      </c>
      <c r="D62" s="76">
        <v>14</v>
      </c>
      <c r="E62" s="78">
        <v>7</v>
      </c>
      <c r="F62" s="74">
        <v>2</v>
      </c>
      <c r="G62" s="75">
        <v>48</v>
      </c>
      <c r="H62" s="75">
        <v>41.6</v>
      </c>
      <c r="I62" s="78">
        <v>21</v>
      </c>
      <c r="J62" s="81">
        <v>8.5199999999999998E-2</v>
      </c>
      <c r="K62" s="77" t="s">
        <v>306</v>
      </c>
      <c r="L62" s="77" t="s">
        <v>36</v>
      </c>
      <c r="M62" s="77" t="s">
        <v>289</v>
      </c>
      <c r="N62" s="77">
        <v>80</v>
      </c>
      <c r="O62" s="77">
        <v>30</v>
      </c>
      <c r="P62" s="78"/>
      <c r="Q62" s="81">
        <v>95</v>
      </c>
      <c r="R62" s="82"/>
      <c r="S62" s="82">
        <v>1.2961166551331686E-3</v>
      </c>
      <c r="T62" s="82">
        <v>850000000</v>
      </c>
      <c r="U62" s="78">
        <v>2083</v>
      </c>
      <c r="V62" s="82">
        <v>5.9199999999999999E-3</v>
      </c>
      <c r="W62" s="82">
        <v>2.3040000000000001E-2</v>
      </c>
      <c r="X62" s="82">
        <v>0.54900000000000004</v>
      </c>
      <c r="Y62" s="78">
        <v>29.6</v>
      </c>
      <c r="Z62" s="78">
        <v>1075</v>
      </c>
      <c r="AA62" s="78">
        <f t="shared" si="24"/>
        <v>400</v>
      </c>
      <c r="AB62" s="81">
        <f t="shared" si="21"/>
        <v>0.82189116447904176</v>
      </c>
      <c r="AC62" s="81">
        <f t="shared" si="1"/>
        <v>222.22222222222217</v>
      </c>
      <c r="AD62" s="81">
        <v>1000</v>
      </c>
      <c r="AE62" s="81">
        <f t="shared" si="22"/>
        <v>930.23255813953483</v>
      </c>
      <c r="AF62" s="81">
        <f t="shared" si="19"/>
        <v>777.77777777777783</v>
      </c>
      <c r="AG62" s="83">
        <v>1</v>
      </c>
      <c r="AH62" s="83">
        <v>3.5</v>
      </c>
      <c r="AI62" s="83">
        <f t="shared" si="26"/>
        <v>0.77777777777777779</v>
      </c>
      <c r="AJ62" s="81">
        <f t="shared" si="4"/>
        <v>257.41111111111104</v>
      </c>
      <c r="AK62" s="81">
        <f t="shared" si="5"/>
        <v>199.54349698535739</v>
      </c>
      <c r="AL62" s="81">
        <f t="shared" si="23"/>
        <v>35.188888888888876</v>
      </c>
      <c r="AM62" s="83">
        <f>AP62</f>
        <v>0.15834999999999999</v>
      </c>
      <c r="AN62" s="83">
        <f t="shared" si="27"/>
        <v>0.13670306902058962</v>
      </c>
      <c r="AO62" s="83">
        <f t="shared" si="28"/>
        <v>0</v>
      </c>
      <c r="AP62" s="83">
        <v>0.15834999999999999</v>
      </c>
      <c r="AQ62" s="83">
        <f t="shared" si="29"/>
        <v>0.13670306902058962</v>
      </c>
      <c r="AR62" s="77" t="s">
        <v>322</v>
      </c>
    </row>
    <row r="63" spans="1:44" ht="15" customHeight="1" x14ac:dyDescent="0.25">
      <c r="A63" s="3">
        <v>62</v>
      </c>
      <c r="B63" s="3">
        <v>1986</v>
      </c>
      <c r="C63" s="27" t="s">
        <v>62</v>
      </c>
      <c r="D63" s="3">
        <v>1</v>
      </c>
      <c r="E63" s="11">
        <v>17</v>
      </c>
      <c r="F63" s="79">
        <v>2.5</v>
      </c>
      <c r="G63" s="54">
        <v>50</v>
      </c>
      <c r="H63" s="54">
        <v>15</v>
      </c>
      <c r="I63" s="11">
        <v>13</v>
      </c>
      <c r="J63" s="47">
        <v>3.4000000000000002E-2</v>
      </c>
      <c r="K63" s="27" t="s">
        <v>63</v>
      </c>
      <c r="L63" s="27" t="s">
        <v>36</v>
      </c>
      <c r="M63" s="27" t="s">
        <v>289</v>
      </c>
      <c r="N63" s="27">
        <v>40</v>
      </c>
      <c r="O63" s="27">
        <v>180</v>
      </c>
      <c r="P63" s="11"/>
      <c r="Q63" s="60">
        <v>59.93</v>
      </c>
      <c r="R63" s="4"/>
      <c r="S63" s="4">
        <v>3.7692043648026506E-4</v>
      </c>
      <c r="T63" s="4">
        <v>855000000</v>
      </c>
      <c r="U63" s="11">
        <v>2497</v>
      </c>
      <c r="V63" s="4">
        <v>1.7919999999999998E-2</v>
      </c>
      <c r="W63" s="4">
        <v>2.3040000000000001E-2</v>
      </c>
      <c r="X63" s="4">
        <v>0.54900000000000004</v>
      </c>
      <c r="Y63" s="11">
        <v>29.6</v>
      </c>
      <c r="Z63" s="11">
        <v>1075</v>
      </c>
      <c r="AA63" s="11">
        <f t="shared" si="24"/>
        <v>400</v>
      </c>
      <c r="AB63" s="47">
        <f t="shared" si="21"/>
        <v>0.82189116447904176</v>
      </c>
      <c r="AC63" s="47">
        <f t="shared" si="1"/>
        <v>176.83809941484276</v>
      </c>
      <c r="AD63" s="47">
        <v>1000</v>
      </c>
      <c r="AE63" s="47">
        <f t="shared" si="22"/>
        <v>930.23255813953483</v>
      </c>
      <c r="AF63" s="47">
        <f t="shared" si="19"/>
        <v>823.16190058515724</v>
      </c>
      <c r="AG63" s="53">
        <v>1</v>
      </c>
      <c r="AH63" s="53">
        <v>4.65489</v>
      </c>
      <c r="AI63" s="53">
        <f t="shared" si="26"/>
        <v>0.82316190058515726</v>
      </c>
      <c r="AJ63" s="47">
        <f t="shared" si="4"/>
        <v>251.74494994597603</v>
      </c>
      <c r="AK63" s="47">
        <f t="shared" si="5"/>
        <v>195.15112398912871</v>
      </c>
      <c r="AL63" s="47">
        <f t="shared" si="23"/>
        <v>74.906850531133259</v>
      </c>
      <c r="AM63" s="53">
        <v>8.2000000000000003E-2</v>
      </c>
      <c r="AN63" s="53">
        <f t="shared" si="27"/>
        <v>7.5785582255083181E-2</v>
      </c>
      <c r="AO63" s="53">
        <f t="shared" si="28"/>
        <v>7.469893218511707E-2</v>
      </c>
      <c r="AP63" s="53">
        <v>0.42359000000000002</v>
      </c>
      <c r="AQ63" s="53">
        <f>AP63/(1+AP63)</f>
        <v>0.29755055879853048</v>
      </c>
      <c r="AR63" s="27" t="s">
        <v>64</v>
      </c>
    </row>
    <row r="64" spans="1:44" ht="15" customHeight="1" x14ac:dyDescent="0.25">
      <c r="A64" s="76">
        <v>63</v>
      </c>
      <c r="B64" s="76">
        <v>1986</v>
      </c>
      <c r="C64" s="77" t="s">
        <v>62</v>
      </c>
      <c r="D64" s="76">
        <v>2</v>
      </c>
      <c r="E64" s="78">
        <v>13</v>
      </c>
      <c r="F64" s="79">
        <v>2.5</v>
      </c>
      <c r="G64" s="56">
        <v>50</v>
      </c>
      <c r="H64" s="56">
        <v>15</v>
      </c>
      <c r="I64" s="78">
        <v>15</v>
      </c>
      <c r="J64" s="81">
        <v>1.38E-2</v>
      </c>
      <c r="K64" s="77" t="s">
        <v>306</v>
      </c>
      <c r="L64" s="77" t="s">
        <v>36</v>
      </c>
      <c r="M64" s="77" t="s">
        <v>289</v>
      </c>
      <c r="N64" s="77">
        <v>40</v>
      </c>
      <c r="O64" s="77">
        <v>180</v>
      </c>
      <c r="P64" s="78"/>
      <c r="Q64" s="61">
        <v>55.951999999999998</v>
      </c>
      <c r="R64" s="82"/>
      <c r="S64" s="82">
        <v>3.7692043648026506E-4</v>
      </c>
      <c r="T64" s="82">
        <v>855000000</v>
      </c>
      <c r="U64" s="78">
        <v>2497</v>
      </c>
      <c r="V64" s="82">
        <v>1.7919999999999998E-2</v>
      </c>
      <c r="W64" s="82">
        <v>2.3040000000000001E-2</v>
      </c>
      <c r="X64" s="82">
        <v>0.54900000000000004</v>
      </c>
      <c r="Y64" s="78">
        <v>29.6</v>
      </c>
      <c r="Z64" s="78">
        <v>1075</v>
      </c>
      <c r="AA64" s="78">
        <f t="shared" si="24"/>
        <v>400</v>
      </c>
      <c r="AB64" s="81">
        <f t="shared" si="21"/>
        <v>0.82189116447904176</v>
      </c>
      <c r="AC64" s="81">
        <f t="shared" si="1"/>
        <v>197.23982587668172</v>
      </c>
      <c r="AD64" s="81">
        <v>1000</v>
      </c>
      <c r="AE64" s="81">
        <f t="shared" si="22"/>
        <v>930.23255813953483</v>
      </c>
      <c r="AF64" s="81">
        <f t="shared" si="19"/>
        <v>802.76017412331828</v>
      </c>
      <c r="AG64" s="83">
        <v>1</v>
      </c>
      <c r="AH64" s="83">
        <v>4.0699699999999996</v>
      </c>
      <c r="AI64" s="83">
        <f t="shared" si="26"/>
        <v>0.80276017412331824</v>
      </c>
      <c r="AJ64" s="81">
        <f t="shared" si="4"/>
        <v>291.62105495693265</v>
      </c>
      <c r="AK64" s="81">
        <f t="shared" si="5"/>
        <v>226.06283329994778</v>
      </c>
      <c r="AL64" s="81">
        <f t="shared" si="23"/>
        <v>94.381229080250961</v>
      </c>
      <c r="AM64" s="83">
        <v>0.105</v>
      </c>
      <c r="AN64" s="83">
        <f t="shared" si="27"/>
        <v>9.5022624434389136E-2</v>
      </c>
      <c r="AO64" s="83">
        <f t="shared" si="28"/>
        <v>9.4202478202861567E-2</v>
      </c>
      <c r="AP64" s="83">
        <v>0.47850999999999999</v>
      </c>
      <c r="AQ64" s="83">
        <f>AP64/(1+AP64)</f>
        <v>0.32364339774502709</v>
      </c>
      <c r="AR64" s="77" t="s">
        <v>64</v>
      </c>
    </row>
    <row r="65" spans="1:44" ht="15" customHeight="1" x14ac:dyDescent="0.25">
      <c r="A65" s="76">
        <v>64</v>
      </c>
      <c r="B65" s="76">
        <v>1986</v>
      </c>
      <c r="C65" s="77" t="s">
        <v>62</v>
      </c>
      <c r="D65" s="76">
        <v>3</v>
      </c>
      <c r="E65" s="78">
        <v>12</v>
      </c>
      <c r="F65" s="79">
        <v>2.5</v>
      </c>
      <c r="G65" s="56">
        <v>50</v>
      </c>
      <c r="H65" s="56">
        <v>15</v>
      </c>
      <c r="I65" s="78">
        <v>14</v>
      </c>
      <c r="J65" s="81">
        <v>1.72E-2</v>
      </c>
      <c r="K65" s="77" t="s">
        <v>65</v>
      </c>
      <c r="L65" s="77" t="s">
        <v>36</v>
      </c>
      <c r="M65" s="77" t="s">
        <v>289</v>
      </c>
      <c r="N65" s="77">
        <v>40</v>
      </c>
      <c r="O65" s="77">
        <v>180</v>
      </c>
      <c r="P65" s="78"/>
      <c r="Q65" s="61">
        <v>48.96</v>
      </c>
      <c r="R65" s="82"/>
      <c r="S65" s="82">
        <v>3.7692043648026506E-4</v>
      </c>
      <c r="T65" s="82">
        <v>855000000</v>
      </c>
      <c r="U65" s="78">
        <v>2497</v>
      </c>
      <c r="V65" s="82">
        <v>1.7919999999999998E-2</v>
      </c>
      <c r="W65" s="82">
        <v>2.3040000000000001E-2</v>
      </c>
      <c r="X65" s="82">
        <v>0.54900000000000004</v>
      </c>
      <c r="Y65" s="78">
        <v>29.6</v>
      </c>
      <c r="Z65" s="78">
        <v>1075</v>
      </c>
      <c r="AA65" s="78">
        <f t="shared" si="24"/>
        <v>400</v>
      </c>
      <c r="AB65" s="81">
        <f t="shared" si="21"/>
        <v>0.82189116447904176</v>
      </c>
      <c r="AC65" s="81">
        <f t="shared" si="1"/>
        <v>202.04101836754899</v>
      </c>
      <c r="AD65" s="81">
        <v>1000</v>
      </c>
      <c r="AE65" s="81">
        <f t="shared" si="22"/>
        <v>930.23255813953483</v>
      </c>
      <c r="AF65" s="81">
        <f t="shared" si="19"/>
        <v>797.95898163245101</v>
      </c>
      <c r="AG65" s="83">
        <v>1</v>
      </c>
      <c r="AH65" s="83">
        <v>3.9494899999999999</v>
      </c>
      <c r="AI65" s="83">
        <f t="shared" si="26"/>
        <v>0.79795898163245105</v>
      </c>
      <c r="AJ65" s="81">
        <f t="shared" si="4"/>
        <v>324.08793633283432</v>
      </c>
      <c r="AK65" s="81">
        <f t="shared" si="5"/>
        <v>251.230958397546</v>
      </c>
      <c r="AL65" s="81">
        <f t="shared" si="23"/>
        <v>122.04691796528532</v>
      </c>
      <c r="AM65" s="83">
        <v>0.16</v>
      </c>
      <c r="AN65" s="83">
        <f t="shared" si="27"/>
        <v>0.13793103448275865</v>
      </c>
      <c r="AO65" s="83">
        <f t="shared" si="28"/>
        <v>0.11718463434393546</v>
      </c>
      <c r="AP65" s="83">
        <v>0.60407</v>
      </c>
      <c r="AQ65" s="83">
        <f t="shared" ref="AQ65:AQ128" si="30">AP65/(AP65+1)</f>
        <v>0.37658580984620371</v>
      </c>
      <c r="AR65" s="77" t="s">
        <v>64</v>
      </c>
    </row>
    <row r="66" spans="1:44" ht="15" customHeight="1" x14ac:dyDescent="0.25">
      <c r="A66" s="76">
        <v>65</v>
      </c>
      <c r="B66" s="76">
        <v>1986</v>
      </c>
      <c r="C66" s="77" t="s">
        <v>62</v>
      </c>
      <c r="D66" s="76">
        <v>4</v>
      </c>
      <c r="E66" s="78">
        <v>12</v>
      </c>
      <c r="F66" s="79">
        <v>2.5</v>
      </c>
      <c r="G66" s="56">
        <v>50</v>
      </c>
      <c r="H66" s="56">
        <v>15</v>
      </c>
      <c r="I66" s="78">
        <v>17</v>
      </c>
      <c r="J66" s="81">
        <v>1.7299999999999999E-2</v>
      </c>
      <c r="K66" s="77" t="s">
        <v>383</v>
      </c>
      <c r="L66" s="77" t="s">
        <v>36</v>
      </c>
      <c r="M66" s="77" t="s">
        <v>289</v>
      </c>
      <c r="N66" s="77">
        <v>40</v>
      </c>
      <c r="O66" s="77">
        <v>180</v>
      </c>
      <c r="P66" s="78"/>
      <c r="Q66" s="61">
        <v>40.774999999999999</v>
      </c>
      <c r="R66" s="82"/>
      <c r="S66" s="82">
        <v>3.7692043648026506E-4</v>
      </c>
      <c r="T66" s="82">
        <v>855000000</v>
      </c>
      <c r="U66" s="78">
        <v>2497</v>
      </c>
      <c r="V66" s="82">
        <v>1.7919999999999998E-2</v>
      </c>
      <c r="W66" s="82">
        <v>2.3040000000000001E-2</v>
      </c>
      <c r="X66" s="82">
        <v>0.54900000000000004</v>
      </c>
      <c r="Y66" s="78">
        <v>29.6</v>
      </c>
      <c r="Z66" s="78">
        <v>1075</v>
      </c>
      <c r="AA66" s="78">
        <f t="shared" si="24"/>
        <v>400</v>
      </c>
      <c r="AB66" s="81">
        <f t="shared" ref="AB66:AB74" si="31">POWER(3/(4*PI())*AE66/AA66,1/3)</f>
        <v>0.82189116447904176</v>
      </c>
      <c r="AC66" s="81">
        <f t="shared" ref="AC66:AC129" si="32">AD66-AF66</f>
        <v>191.09972156770573</v>
      </c>
      <c r="AD66" s="81">
        <v>1000</v>
      </c>
      <c r="AE66" s="81">
        <f t="shared" ref="AE66:AE97" si="33">AD66/Z66*1000</f>
        <v>930.23255813953483</v>
      </c>
      <c r="AF66" s="81">
        <f t="shared" si="19"/>
        <v>808.90027843229427</v>
      </c>
      <c r="AG66" s="83">
        <v>1</v>
      </c>
      <c r="AH66" s="83">
        <v>4.2328700000000001</v>
      </c>
      <c r="AI66" s="83">
        <f t="shared" si="26"/>
        <v>0.80890027843229428</v>
      </c>
      <c r="AJ66" s="81">
        <f t="shared" ref="AJ66:AJ129" si="34">AC66/(1-AQ66)</f>
        <v>305.64298367817281</v>
      </c>
      <c r="AK66" s="81">
        <f t="shared" ref="AK66:AK129" si="35">AJ66/1290*1000</f>
        <v>236.93254548695566</v>
      </c>
      <c r="AL66" s="81">
        <f t="shared" si="23"/>
        <v>114.54326211046711</v>
      </c>
      <c r="AM66" s="83">
        <v>0.13</v>
      </c>
      <c r="AN66" s="83">
        <f t="shared" si="27"/>
        <v>0.11504424778761063</v>
      </c>
      <c r="AO66" s="83">
        <f t="shared" si="28"/>
        <v>0.11440528215614922</v>
      </c>
      <c r="AP66" s="83">
        <v>0.59938999999999998</v>
      </c>
      <c r="AQ66" s="83">
        <f t="shared" si="30"/>
        <v>0.37476162787062567</v>
      </c>
      <c r="AR66" s="77" t="s">
        <v>64</v>
      </c>
    </row>
    <row r="67" spans="1:44" ht="15" customHeight="1" x14ac:dyDescent="0.25">
      <c r="A67" s="76">
        <v>66</v>
      </c>
      <c r="B67" s="76">
        <v>1986</v>
      </c>
      <c r="C67" s="77" t="s">
        <v>62</v>
      </c>
      <c r="D67" s="76">
        <v>5</v>
      </c>
      <c r="E67" s="78">
        <v>11</v>
      </c>
      <c r="F67" s="79">
        <v>1.5</v>
      </c>
      <c r="G67" s="56">
        <v>50</v>
      </c>
      <c r="H67" s="56">
        <v>15</v>
      </c>
      <c r="I67" s="78">
        <v>22</v>
      </c>
      <c r="J67" s="81">
        <v>2.4400000000000002E-2</v>
      </c>
      <c r="K67" s="77" t="s">
        <v>384</v>
      </c>
      <c r="L67" s="77" t="s">
        <v>36</v>
      </c>
      <c r="M67" s="77" t="s">
        <v>289</v>
      </c>
      <c r="N67" s="77">
        <v>40</v>
      </c>
      <c r="O67" s="77">
        <v>180</v>
      </c>
      <c r="P67" s="78"/>
      <c r="Q67" s="61">
        <v>35.924999999999997</v>
      </c>
      <c r="R67" s="82"/>
      <c r="S67" s="82">
        <v>3.7692043648026506E-4</v>
      </c>
      <c r="T67" s="82">
        <v>855000000</v>
      </c>
      <c r="U67" s="78">
        <v>2497</v>
      </c>
      <c r="V67" s="82">
        <v>1.7919999999999998E-2</v>
      </c>
      <c r="W67" s="82">
        <v>2.3040000000000001E-2</v>
      </c>
      <c r="X67" s="82">
        <v>0.54900000000000004</v>
      </c>
      <c r="Y67" s="78">
        <v>29.6</v>
      </c>
      <c r="Z67" s="78">
        <v>1075</v>
      </c>
      <c r="AA67" s="78">
        <f t="shared" si="24"/>
        <v>400</v>
      </c>
      <c r="AB67" s="81">
        <f t="shared" si="31"/>
        <v>0.82189116447904176</v>
      </c>
      <c r="AC67" s="81">
        <f t="shared" si="32"/>
        <v>220.5193230056783</v>
      </c>
      <c r="AD67" s="81">
        <v>1000</v>
      </c>
      <c r="AE67" s="81">
        <f t="shared" si="33"/>
        <v>930.23255813953483</v>
      </c>
      <c r="AF67" s="81">
        <f t="shared" si="19"/>
        <v>779.4806769943217</v>
      </c>
      <c r="AG67" s="83">
        <v>1</v>
      </c>
      <c r="AH67" s="83">
        <v>3.5347499999999998</v>
      </c>
      <c r="AI67" s="83">
        <f t="shared" si="26"/>
        <v>0.77948067699432166</v>
      </c>
      <c r="AJ67" s="81">
        <f t="shared" si="34"/>
        <v>309.17691162688124</v>
      </c>
      <c r="AK67" s="81">
        <f t="shared" si="35"/>
        <v>239.67202451696221</v>
      </c>
      <c r="AL67" s="81">
        <f t="shared" si="23"/>
        <v>88.657588621202919</v>
      </c>
      <c r="AM67" s="83">
        <v>0.105</v>
      </c>
      <c r="AN67" s="83">
        <f t="shared" si="27"/>
        <v>9.5022624434389136E-2</v>
      </c>
      <c r="AO67" s="83">
        <f t="shared" si="28"/>
        <v>8.6606895546322629E-2</v>
      </c>
      <c r="AP67" s="83">
        <v>0.40204000000000001</v>
      </c>
      <c r="AQ67" s="83">
        <f t="shared" si="30"/>
        <v>0.28675358762945424</v>
      </c>
      <c r="AR67" s="77" t="s">
        <v>64</v>
      </c>
    </row>
    <row r="68" spans="1:44" ht="15" hidden="1" customHeight="1" x14ac:dyDescent="0.25">
      <c r="A68" s="76">
        <v>67</v>
      </c>
      <c r="B68" s="76">
        <v>1986</v>
      </c>
      <c r="C68" s="77" t="s">
        <v>62</v>
      </c>
      <c r="D68" s="76">
        <v>6</v>
      </c>
      <c r="E68" s="78">
        <v>8</v>
      </c>
      <c r="F68" s="79">
        <v>1</v>
      </c>
      <c r="G68" s="56">
        <v>50</v>
      </c>
      <c r="H68" s="56">
        <v>15</v>
      </c>
      <c r="I68" s="78">
        <v>24</v>
      </c>
      <c r="J68" s="81">
        <v>4.9000000000000002E-2</v>
      </c>
      <c r="K68" s="77" t="s">
        <v>63</v>
      </c>
      <c r="L68" s="77" t="s">
        <v>36</v>
      </c>
      <c r="M68" s="77" t="s">
        <v>34</v>
      </c>
      <c r="N68" s="77" t="s">
        <v>34</v>
      </c>
      <c r="O68" s="77" t="s">
        <v>34</v>
      </c>
      <c r="P68" s="78"/>
      <c r="Q68" s="61">
        <v>19.541</v>
      </c>
      <c r="R68" s="82"/>
      <c r="S68" s="82">
        <v>3.7692043648026506E-4</v>
      </c>
      <c r="T68" s="82">
        <v>855000000</v>
      </c>
      <c r="U68" s="78">
        <v>2497</v>
      </c>
      <c r="V68" s="82">
        <v>1.7919999999999998E-2</v>
      </c>
      <c r="W68" s="82">
        <v>2.3040000000000001E-2</v>
      </c>
      <c r="X68" s="82">
        <v>0.54900000000000004</v>
      </c>
      <c r="Y68" s="78">
        <v>29.6</v>
      </c>
      <c r="Z68" s="78">
        <v>1075</v>
      </c>
      <c r="AA68" s="78">
        <f t="shared" si="24"/>
        <v>400</v>
      </c>
      <c r="AB68" s="81">
        <f t="shared" si="31"/>
        <v>0.82189116447904176</v>
      </c>
      <c r="AC68" s="81">
        <f t="shared" si="32"/>
        <v>179.89332325930729</v>
      </c>
      <c r="AD68" s="81">
        <v>1000</v>
      </c>
      <c r="AE68" s="81">
        <f t="shared" si="33"/>
        <v>930.23255813953483</v>
      </c>
      <c r="AF68" s="81">
        <f t="shared" si="19"/>
        <v>820.10667674069271</v>
      </c>
      <c r="AG68" s="83">
        <v>1</v>
      </c>
      <c r="AH68" s="83">
        <v>4.5588499999999996</v>
      </c>
      <c r="AI68" s="83">
        <f t="shared" si="26"/>
        <v>0.82010667674069271</v>
      </c>
      <c r="AJ68" s="81">
        <f t="shared" si="34"/>
        <v>438.53494877537628</v>
      </c>
      <c r="AK68" s="81">
        <f t="shared" si="35"/>
        <v>339.94957269409014</v>
      </c>
      <c r="AL68" s="81">
        <f t="shared" si="23"/>
        <v>258.64162551606898</v>
      </c>
      <c r="AM68" s="83">
        <v>0.20499999999999999</v>
      </c>
      <c r="AN68" s="83">
        <f t="shared" si="27"/>
        <v>0.17012448132780081</v>
      </c>
      <c r="AO68" s="83">
        <f t="shared" si="28"/>
        <v>0.28314020924009786</v>
      </c>
      <c r="AP68" s="83">
        <v>1.4377500000000001</v>
      </c>
      <c r="AQ68" s="83">
        <f t="shared" si="30"/>
        <v>0.5897856630089221</v>
      </c>
      <c r="AR68" s="77" t="s">
        <v>34</v>
      </c>
    </row>
    <row r="69" spans="1:44" ht="15" customHeight="1" x14ac:dyDescent="0.25">
      <c r="A69" s="76">
        <v>68</v>
      </c>
      <c r="B69" s="76">
        <v>1986</v>
      </c>
      <c r="C69" s="77" t="s">
        <v>62</v>
      </c>
      <c r="D69" s="76">
        <v>7</v>
      </c>
      <c r="E69" s="78">
        <v>12</v>
      </c>
      <c r="F69" s="79">
        <v>0.05</v>
      </c>
      <c r="G69" s="56">
        <v>30</v>
      </c>
      <c r="H69" s="56">
        <v>50</v>
      </c>
      <c r="I69" s="78">
        <v>116</v>
      </c>
      <c r="J69" s="81">
        <v>6.5299999999999997E-2</v>
      </c>
      <c r="K69" s="77" t="s">
        <v>63</v>
      </c>
      <c r="L69" s="77" t="s">
        <v>305</v>
      </c>
      <c r="M69" s="77" t="s">
        <v>289</v>
      </c>
      <c r="N69" s="77">
        <v>40</v>
      </c>
      <c r="O69" s="77">
        <v>180</v>
      </c>
      <c r="P69" s="78"/>
      <c r="Q69" s="61">
        <v>57</v>
      </c>
      <c r="R69" s="82"/>
      <c r="S69" s="82">
        <v>2.2639516767514669E-4</v>
      </c>
      <c r="T69" s="82">
        <v>855000000</v>
      </c>
      <c r="U69" s="78">
        <v>2497</v>
      </c>
      <c r="V69" s="82">
        <v>1.7919999999999998E-2</v>
      </c>
      <c r="W69" s="82">
        <v>2.3040000000000001E-2</v>
      </c>
      <c r="X69" s="82">
        <v>0.54900000000000004</v>
      </c>
      <c r="Y69" s="78">
        <v>29.6</v>
      </c>
      <c r="Z69" s="78">
        <v>1075</v>
      </c>
      <c r="AA69" s="78">
        <f t="shared" si="24"/>
        <v>400</v>
      </c>
      <c r="AB69" s="81">
        <f t="shared" si="31"/>
        <v>0.82189116447904176</v>
      </c>
      <c r="AC69" s="81">
        <f t="shared" si="32"/>
        <v>180.47837598338151</v>
      </c>
      <c r="AD69" s="81">
        <v>1000</v>
      </c>
      <c r="AE69" s="81">
        <f t="shared" si="33"/>
        <v>930.23255813953483</v>
      </c>
      <c r="AF69" s="81">
        <f t="shared" si="19"/>
        <v>819.52162401661849</v>
      </c>
      <c r="AG69" s="83">
        <v>1</v>
      </c>
      <c r="AH69" s="83">
        <v>4.5408299999999997</v>
      </c>
      <c r="AI69" s="83">
        <f t="shared" si="26"/>
        <v>0.81952162401661843</v>
      </c>
      <c r="AJ69" s="81">
        <f t="shared" si="34"/>
        <v>236.71363315604333</v>
      </c>
      <c r="AK69" s="81">
        <f t="shared" si="35"/>
        <v>183.49894043104135</v>
      </c>
      <c r="AL69" s="81">
        <f t="shared" si="23"/>
        <v>56.235257172661832</v>
      </c>
      <c r="AM69" s="83">
        <v>0.08</v>
      </c>
      <c r="AN69" s="83">
        <f t="shared" si="27"/>
        <v>7.407407407407407E-2</v>
      </c>
      <c r="AO69" s="83">
        <f t="shared" si="28"/>
        <v>5.1916347406200186E-2</v>
      </c>
      <c r="AP69" s="83">
        <v>0.31158999999999998</v>
      </c>
      <c r="AQ69" s="83">
        <f t="shared" si="30"/>
        <v>0.23756661761678571</v>
      </c>
      <c r="AR69" s="77" t="s">
        <v>64</v>
      </c>
    </row>
    <row r="70" spans="1:44" ht="15" customHeight="1" x14ac:dyDescent="0.25">
      <c r="A70" s="76">
        <v>69</v>
      </c>
      <c r="B70" s="76">
        <v>1986</v>
      </c>
      <c r="C70" s="77" t="s">
        <v>62</v>
      </c>
      <c r="D70" s="76">
        <v>8</v>
      </c>
      <c r="E70" s="78">
        <v>10</v>
      </c>
      <c r="F70" s="79">
        <v>0.05</v>
      </c>
      <c r="G70" s="56">
        <v>30</v>
      </c>
      <c r="H70" s="56">
        <v>50</v>
      </c>
      <c r="I70" s="78">
        <v>118</v>
      </c>
      <c r="J70" s="81">
        <v>5.2200000000000003E-2</v>
      </c>
      <c r="K70" s="77" t="s">
        <v>306</v>
      </c>
      <c r="L70" s="77" t="s">
        <v>305</v>
      </c>
      <c r="M70" s="77" t="s">
        <v>289</v>
      </c>
      <c r="N70" s="77">
        <v>40</v>
      </c>
      <c r="O70" s="77">
        <v>180</v>
      </c>
      <c r="P70" s="78"/>
      <c r="Q70" s="61">
        <v>35</v>
      </c>
      <c r="R70" s="82"/>
      <c r="S70" s="82">
        <v>2.2639516767514669E-4</v>
      </c>
      <c r="T70" s="82">
        <v>855000000</v>
      </c>
      <c r="U70" s="78">
        <v>2497</v>
      </c>
      <c r="V70" s="82">
        <v>1.7919999999999998E-2</v>
      </c>
      <c r="W70" s="82">
        <v>2.3040000000000001E-2</v>
      </c>
      <c r="X70" s="82">
        <v>0.54900000000000004</v>
      </c>
      <c r="Y70" s="78">
        <v>29.6</v>
      </c>
      <c r="Z70" s="78">
        <v>1075</v>
      </c>
      <c r="AA70" s="78">
        <f t="shared" si="24"/>
        <v>400</v>
      </c>
      <c r="AB70" s="81">
        <f t="shared" si="31"/>
        <v>0.82189116447904176</v>
      </c>
      <c r="AC70" s="81">
        <f t="shared" si="32"/>
        <v>195.80775594521299</v>
      </c>
      <c r="AD70" s="81">
        <v>1000</v>
      </c>
      <c r="AE70" s="81">
        <f t="shared" si="33"/>
        <v>930.23255813953483</v>
      </c>
      <c r="AF70" s="81">
        <f t="shared" si="19"/>
        <v>804.19224405478701</v>
      </c>
      <c r="AG70" s="83">
        <v>1</v>
      </c>
      <c r="AH70" s="83">
        <v>4.1070500000000001</v>
      </c>
      <c r="AI70" s="83">
        <f t="shared" si="26"/>
        <v>0.80419224405478706</v>
      </c>
      <c r="AJ70" s="81">
        <f t="shared" si="34"/>
        <v>321.3518567470457</v>
      </c>
      <c r="AK70" s="81">
        <f t="shared" si="35"/>
        <v>249.10996647057806</v>
      </c>
      <c r="AL70" s="81">
        <f t="shared" si="23"/>
        <v>125.54410080183273</v>
      </c>
      <c r="AM70" s="83">
        <v>0.111</v>
      </c>
      <c r="AN70" s="83">
        <f t="shared" si="27"/>
        <v>9.9909990999099918E-2</v>
      </c>
      <c r="AO70" s="83">
        <f t="shared" si="28"/>
        <v>0.13267101262496714</v>
      </c>
      <c r="AP70" s="83">
        <v>0.64115999999999995</v>
      </c>
      <c r="AQ70" s="83">
        <f t="shared" si="30"/>
        <v>0.39067488849350457</v>
      </c>
      <c r="AR70" s="77" t="s">
        <v>64</v>
      </c>
    </row>
    <row r="71" spans="1:44" ht="15" customHeight="1" x14ac:dyDescent="0.25">
      <c r="A71" s="76">
        <v>70</v>
      </c>
      <c r="B71" s="76">
        <v>1986</v>
      </c>
      <c r="C71" s="77" t="s">
        <v>62</v>
      </c>
      <c r="D71" s="76">
        <v>9</v>
      </c>
      <c r="E71" s="78">
        <v>11</v>
      </c>
      <c r="F71" s="79">
        <v>0.01</v>
      </c>
      <c r="G71" s="56">
        <v>30</v>
      </c>
      <c r="H71" s="56">
        <v>50</v>
      </c>
      <c r="I71" s="78">
        <v>313</v>
      </c>
      <c r="J71" s="81">
        <v>0.18640000000000001</v>
      </c>
      <c r="K71" s="77" t="s">
        <v>65</v>
      </c>
      <c r="L71" s="77" t="s">
        <v>305</v>
      </c>
      <c r="M71" s="77" t="s">
        <v>289</v>
      </c>
      <c r="N71" s="77">
        <v>40</v>
      </c>
      <c r="O71" s="77">
        <v>180</v>
      </c>
      <c r="P71" s="78"/>
      <c r="Q71" s="61">
        <v>42</v>
      </c>
      <c r="R71" s="82"/>
      <c r="S71" s="82">
        <v>2.2639516767514669E-4</v>
      </c>
      <c r="T71" s="82">
        <v>855000000</v>
      </c>
      <c r="U71" s="78">
        <v>2497</v>
      </c>
      <c r="V71" s="82">
        <v>1.7919999999999998E-2</v>
      </c>
      <c r="W71" s="82">
        <v>2.3040000000000001E-2</v>
      </c>
      <c r="X71" s="82">
        <v>0.54900000000000004</v>
      </c>
      <c r="Y71" s="78">
        <v>29.6</v>
      </c>
      <c r="Z71" s="78">
        <v>1075</v>
      </c>
      <c r="AA71" s="78">
        <f t="shared" si="24"/>
        <v>400</v>
      </c>
      <c r="AB71" s="81">
        <f t="shared" si="31"/>
        <v>0.82189116447904176</v>
      </c>
      <c r="AC71" s="81">
        <f t="shared" si="32"/>
        <v>195.23928526802445</v>
      </c>
      <c r="AD71" s="81">
        <v>1000</v>
      </c>
      <c r="AE71" s="81">
        <f t="shared" si="33"/>
        <v>930.23255813953483</v>
      </c>
      <c r="AF71" s="81">
        <f t="shared" si="19"/>
        <v>804.76071473197555</v>
      </c>
      <c r="AG71" s="83">
        <v>1</v>
      </c>
      <c r="AH71" s="83">
        <v>4.1219200000000003</v>
      </c>
      <c r="AI71" s="83">
        <f t="shared" si="26"/>
        <v>0.80476071473197552</v>
      </c>
      <c r="AJ71" s="81">
        <f t="shared" si="34"/>
        <v>240.36689366487565</v>
      </c>
      <c r="AK71" s="81">
        <f t="shared" si="35"/>
        <v>186.33092532160902</v>
      </c>
      <c r="AL71" s="81">
        <f t="shared" si="23"/>
        <v>45.127608396851187</v>
      </c>
      <c r="AM71" s="83">
        <v>0.151</v>
      </c>
      <c r="AN71" s="83">
        <f t="shared" si="27"/>
        <v>0.13119026933101649</v>
      </c>
      <c r="AO71" s="83">
        <f t="shared" si="28"/>
        <v>2.018172111248779E-2</v>
      </c>
      <c r="AP71" s="83">
        <v>0.23114000000000001</v>
      </c>
      <c r="AQ71" s="83">
        <f t="shared" si="30"/>
        <v>0.18774469191156168</v>
      </c>
      <c r="AR71" s="77" t="s">
        <v>64</v>
      </c>
    </row>
    <row r="72" spans="1:44" ht="15" customHeight="1" x14ac:dyDescent="0.25">
      <c r="A72" s="76">
        <v>71</v>
      </c>
      <c r="B72" s="76">
        <v>1986</v>
      </c>
      <c r="C72" s="77" t="s">
        <v>62</v>
      </c>
      <c r="D72" s="76">
        <v>10</v>
      </c>
      <c r="E72" s="78">
        <v>13</v>
      </c>
      <c r="F72" s="79">
        <v>0.05</v>
      </c>
      <c r="G72" s="56">
        <v>30</v>
      </c>
      <c r="H72" s="56">
        <v>50</v>
      </c>
      <c r="I72" s="78">
        <v>143</v>
      </c>
      <c r="J72" s="81">
        <v>4.1700000000000001E-2</v>
      </c>
      <c r="K72" s="77" t="s">
        <v>383</v>
      </c>
      <c r="L72" s="77" t="s">
        <v>305</v>
      </c>
      <c r="M72" s="77" t="s">
        <v>289</v>
      </c>
      <c r="N72" s="77">
        <v>40</v>
      </c>
      <c r="O72" s="77">
        <v>180</v>
      </c>
      <c r="P72" s="78"/>
      <c r="Q72" s="61">
        <v>31</v>
      </c>
      <c r="R72" s="82"/>
      <c r="S72" s="82">
        <v>2.2639516767514669E-4</v>
      </c>
      <c r="T72" s="82">
        <v>855000000</v>
      </c>
      <c r="U72" s="78">
        <v>2497</v>
      </c>
      <c r="V72" s="82">
        <v>1.7919999999999998E-2</v>
      </c>
      <c r="W72" s="82">
        <v>2.3040000000000001E-2</v>
      </c>
      <c r="X72" s="82">
        <v>0.54900000000000004</v>
      </c>
      <c r="Y72" s="78">
        <v>29.6</v>
      </c>
      <c r="Z72" s="78">
        <v>1075</v>
      </c>
      <c r="AA72" s="78">
        <f t="shared" si="24"/>
        <v>400</v>
      </c>
      <c r="AB72" s="81">
        <f t="shared" si="31"/>
        <v>0.82189116447904176</v>
      </c>
      <c r="AC72" s="81">
        <f t="shared" si="32"/>
        <v>199.31594766760475</v>
      </c>
      <c r="AD72" s="81">
        <v>1000</v>
      </c>
      <c r="AE72" s="81">
        <f t="shared" si="33"/>
        <v>930.23255813953483</v>
      </c>
      <c r="AF72" s="81">
        <f t="shared" si="19"/>
        <v>800.68405233239525</v>
      </c>
      <c r="AG72" s="83">
        <v>1</v>
      </c>
      <c r="AH72" s="83">
        <v>4.0171599999999996</v>
      </c>
      <c r="AI72" s="83">
        <f t="shared" si="26"/>
        <v>0.80068405233239526</v>
      </c>
      <c r="AJ72" s="81">
        <f t="shared" si="34"/>
        <v>317.03194636009215</v>
      </c>
      <c r="AK72" s="81">
        <f t="shared" si="35"/>
        <v>245.76119872875361</v>
      </c>
      <c r="AL72" s="81">
        <f t="shared" si="23"/>
        <v>117.71599869248737</v>
      </c>
      <c r="AM72" s="83">
        <v>0.151</v>
      </c>
      <c r="AN72" s="83">
        <f t="shared" si="27"/>
        <v>0.13119026933101649</v>
      </c>
      <c r="AO72" s="83">
        <f t="shared" si="28"/>
        <v>0.11370455438988557</v>
      </c>
      <c r="AP72" s="83">
        <v>0.59060000000000001</v>
      </c>
      <c r="AQ72" s="83">
        <f t="shared" si="30"/>
        <v>0.37130642524833396</v>
      </c>
      <c r="AR72" s="77" t="s">
        <v>64</v>
      </c>
    </row>
    <row r="73" spans="1:44" ht="15" customHeight="1" x14ac:dyDescent="0.25">
      <c r="A73" s="76">
        <v>72</v>
      </c>
      <c r="B73" s="76">
        <v>1986</v>
      </c>
      <c r="C73" s="77" t="s">
        <v>62</v>
      </c>
      <c r="D73" s="76">
        <v>11</v>
      </c>
      <c r="E73" s="78">
        <v>12</v>
      </c>
      <c r="F73" s="79">
        <v>0.01</v>
      </c>
      <c r="G73" s="56">
        <v>30</v>
      </c>
      <c r="H73" s="56">
        <v>50</v>
      </c>
      <c r="I73" s="78">
        <v>227</v>
      </c>
      <c r="J73" s="81">
        <v>8.9499999999999996E-2</v>
      </c>
      <c r="K73" s="77" t="s">
        <v>384</v>
      </c>
      <c r="L73" s="77" t="s">
        <v>305</v>
      </c>
      <c r="M73" s="77" t="s">
        <v>289</v>
      </c>
      <c r="N73" s="77">
        <v>40</v>
      </c>
      <c r="O73" s="77">
        <v>180</v>
      </c>
      <c r="P73" s="78"/>
      <c r="Q73" s="44">
        <v>27</v>
      </c>
      <c r="R73" s="82"/>
      <c r="S73" s="82">
        <v>2.2639516767514669E-4</v>
      </c>
      <c r="T73" s="82">
        <v>855000000</v>
      </c>
      <c r="U73" s="78">
        <v>2497</v>
      </c>
      <c r="V73" s="82">
        <v>1.7919999999999998E-2</v>
      </c>
      <c r="W73" s="82">
        <v>2.3040000000000001E-2</v>
      </c>
      <c r="X73" s="82">
        <v>0.54900000000000004</v>
      </c>
      <c r="Y73" s="78">
        <v>29.6</v>
      </c>
      <c r="Z73" s="78">
        <v>1075</v>
      </c>
      <c r="AA73" s="78">
        <f t="shared" si="24"/>
        <v>400</v>
      </c>
      <c r="AB73" s="81">
        <f t="shared" si="31"/>
        <v>0.82189116447904176</v>
      </c>
      <c r="AC73" s="81">
        <f t="shared" si="32"/>
        <v>223.5161322768472</v>
      </c>
      <c r="AD73" s="81">
        <v>1000</v>
      </c>
      <c r="AE73" s="81">
        <f t="shared" si="33"/>
        <v>930.23255813953483</v>
      </c>
      <c r="AF73" s="81">
        <f t="shared" si="19"/>
        <v>776.4838677231528</v>
      </c>
      <c r="AG73" s="83">
        <v>1</v>
      </c>
      <c r="AH73" s="83">
        <v>3.4739499999999999</v>
      </c>
      <c r="AI73" s="83">
        <f t="shared" si="26"/>
        <v>0.77648386772315281</v>
      </c>
      <c r="AJ73" s="81">
        <f t="shared" si="34"/>
        <v>297.97829658355607</v>
      </c>
      <c r="AK73" s="81">
        <f t="shared" si="35"/>
        <v>230.99092758415199</v>
      </c>
      <c r="AL73" s="81">
        <f t="shared" si="23"/>
        <v>74.462164306708871</v>
      </c>
      <c r="AM73" s="83">
        <v>0.115</v>
      </c>
      <c r="AN73" s="83">
        <f t="shared" si="27"/>
        <v>0.1031390134529148</v>
      </c>
      <c r="AO73" s="83">
        <f t="shared" si="28"/>
        <v>6.4942913708152847E-2</v>
      </c>
      <c r="AP73" s="83">
        <v>0.33313999999999999</v>
      </c>
      <c r="AQ73" s="83">
        <f t="shared" si="30"/>
        <v>0.2498912342289632</v>
      </c>
      <c r="AR73" s="77" t="s">
        <v>64</v>
      </c>
    </row>
    <row r="74" spans="1:44" ht="15" hidden="1" customHeight="1" x14ac:dyDescent="0.25">
      <c r="A74" s="1">
        <v>73</v>
      </c>
      <c r="B74" s="1">
        <v>1986</v>
      </c>
      <c r="C74" s="28" t="s">
        <v>62</v>
      </c>
      <c r="D74" s="1">
        <v>12</v>
      </c>
      <c r="E74" s="8">
        <v>8</v>
      </c>
      <c r="F74" s="79">
        <v>0.01</v>
      </c>
      <c r="G74" s="57">
        <v>30</v>
      </c>
      <c r="H74" s="57">
        <v>50</v>
      </c>
      <c r="I74" s="8">
        <v>341</v>
      </c>
      <c r="J74" s="51">
        <v>0.18190000000000001</v>
      </c>
      <c r="K74" s="28" t="s">
        <v>65</v>
      </c>
      <c r="L74" s="28" t="s">
        <v>305</v>
      </c>
      <c r="M74" s="28" t="s">
        <v>34</v>
      </c>
      <c r="N74" s="28" t="s">
        <v>34</v>
      </c>
      <c r="O74" s="28" t="s">
        <v>34</v>
      </c>
      <c r="P74" s="8"/>
      <c r="Q74" s="51">
        <v>7</v>
      </c>
      <c r="R74" s="9"/>
      <c r="S74" s="9">
        <v>2.2639516767514669E-4</v>
      </c>
      <c r="T74" s="9">
        <v>855000000</v>
      </c>
      <c r="U74" s="8">
        <v>2497</v>
      </c>
      <c r="V74" s="9">
        <v>1.7919999999999998E-2</v>
      </c>
      <c r="W74" s="9">
        <v>2.3040000000000001E-2</v>
      </c>
      <c r="X74" s="9">
        <v>0.54900000000000004</v>
      </c>
      <c r="Y74" s="8">
        <v>29.6</v>
      </c>
      <c r="Z74" s="8">
        <v>1075</v>
      </c>
      <c r="AA74" s="8">
        <f t="shared" si="24"/>
        <v>400</v>
      </c>
      <c r="AB74" s="51">
        <f t="shared" si="31"/>
        <v>0.82189116447904176</v>
      </c>
      <c r="AC74" s="51">
        <f t="shared" si="32"/>
        <v>195.41898808139592</v>
      </c>
      <c r="AD74" s="51">
        <v>1000</v>
      </c>
      <c r="AE74" s="51">
        <f t="shared" si="33"/>
        <v>930.23255813953483</v>
      </c>
      <c r="AF74" s="51">
        <f t="shared" si="19"/>
        <v>804.58101191860408</v>
      </c>
      <c r="AG74" s="52">
        <v>1</v>
      </c>
      <c r="AH74" s="52">
        <v>4.11721</v>
      </c>
      <c r="AI74" s="52">
        <f t="shared" si="26"/>
        <v>0.80458101191860409</v>
      </c>
      <c r="AJ74" s="51">
        <f t="shared" si="34"/>
        <v>506.01597354808587</v>
      </c>
      <c r="AK74" s="51">
        <f t="shared" si="35"/>
        <v>392.26044461091931</v>
      </c>
      <c r="AL74" s="51">
        <f t="shared" si="23"/>
        <v>310.59698546668994</v>
      </c>
      <c r="AM74" s="52">
        <v>0.22500000000000001</v>
      </c>
      <c r="AN74" s="52">
        <f t="shared" si="27"/>
        <v>0.18367346938775508</v>
      </c>
      <c r="AO74" s="52">
        <f t="shared" si="28"/>
        <v>0.35054377847032919</v>
      </c>
      <c r="AP74" s="52">
        <v>1.5893900000000001</v>
      </c>
      <c r="AQ74" s="52">
        <f t="shared" si="30"/>
        <v>0.61380865763751313</v>
      </c>
      <c r="AR74" s="28" t="s">
        <v>34</v>
      </c>
    </row>
    <row r="75" spans="1:44" ht="15" hidden="1" customHeight="1" x14ac:dyDescent="0.25">
      <c r="A75" s="3">
        <v>74</v>
      </c>
      <c r="B75" s="3">
        <v>1991</v>
      </c>
      <c r="C75" s="27" t="s">
        <v>66</v>
      </c>
      <c r="D75" s="3">
        <v>1</v>
      </c>
      <c r="E75" s="11">
        <v>19</v>
      </c>
      <c r="F75" s="30">
        <v>0.1</v>
      </c>
      <c r="G75" s="54">
        <v>34</v>
      </c>
      <c r="H75" s="54">
        <v>50</v>
      </c>
      <c r="I75" s="11">
        <v>227</v>
      </c>
      <c r="J75" s="47">
        <v>0.16900000000000001</v>
      </c>
      <c r="K75" s="27" t="s">
        <v>306</v>
      </c>
      <c r="L75" s="27" t="s">
        <v>36</v>
      </c>
      <c r="M75" s="27" t="s">
        <v>34</v>
      </c>
      <c r="N75" s="27" t="s">
        <v>34</v>
      </c>
      <c r="O75" s="27" t="s">
        <v>34</v>
      </c>
      <c r="P75" s="11"/>
      <c r="Q75" s="47">
        <v>7.13</v>
      </c>
      <c r="R75" s="4"/>
      <c r="S75" s="4">
        <v>2.0979129765131795E-4</v>
      </c>
      <c r="T75" s="4">
        <v>680000000</v>
      </c>
      <c r="U75" s="11">
        <v>2483</v>
      </c>
      <c r="V75" s="4">
        <v>1.7919999999999998E-2</v>
      </c>
      <c r="W75" s="4">
        <v>2.3040000000000001E-2</v>
      </c>
      <c r="X75" s="4">
        <v>0.54900000000000004</v>
      </c>
      <c r="Y75" s="11">
        <v>29.6</v>
      </c>
      <c r="Z75" s="11">
        <v>1075</v>
      </c>
      <c r="AA75" s="11">
        <f>INT(AD75/2.5*1000)</f>
        <v>3628</v>
      </c>
      <c r="AB75" s="47">
        <f>POWER(3/(4*PI())*AE75*1000/AA75,1/3)</f>
        <v>0.82195157100318106</v>
      </c>
      <c r="AC75" s="47">
        <f t="shared" si="32"/>
        <v>1.3608000000000002</v>
      </c>
      <c r="AD75" s="47">
        <f>20*0.4536</f>
        <v>9.0719999999999992</v>
      </c>
      <c r="AE75" s="47">
        <f t="shared" si="33"/>
        <v>8.4390697674418611</v>
      </c>
      <c r="AF75" s="47">
        <f t="shared" si="19"/>
        <v>7.7111999999999989</v>
      </c>
      <c r="AG75" s="53">
        <v>1</v>
      </c>
      <c r="AH75" s="53">
        <f t="shared" ref="AH75:AH80" si="36">17/3</f>
        <v>5.666666666666667</v>
      </c>
      <c r="AI75" s="53">
        <f t="shared" si="26"/>
        <v>0.85</v>
      </c>
      <c r="AJ75" s="47">
        <f t="shared" si="34"/>
        <v>3.5824738319999998</v>
      </c>
      <c r="AK75" s="47">
        <f t="shared" si="35"/>
        <v>2.7771114976744182</v>
      </c>
      <c r="AL75" s="47">
        <f t="shared" si="23"/>
        <v>2.2216738319999996</v>
      </c>
      <c r="AM75" s="53">
        <f>9/41</f>
        <v>0.21951219512195122</v>
      </c>
      <c r="AN75" s="53">
        <f t="shared" si="27"/>
        <v>0.18</v>
      </c>
      <c r="AO75" s="53">
        <f t="shared" si="28"/>
        <v>0.25942189552238792</v>
      </c>
      <c r="AP75" s="53">
        <f>0.28811*AF75/AC75</f>
        <v>1.6326233333333326</v>
      </c>
      <c r="AQ75" s="53">
        <f t="shared" si="30"/>
        <v>0.62015074950587934</v>
      </c>
      <c r="AR75" s="27" t="s">
        <v>34</v>
      </c>
    </row>
    <row r="76" spans="1:44" ht="15" hidden="1" customHeight="1" x14ac:dyDescent="0.25">
      <c r="A76" s="1">
        <v>75</v>
      </c>
      <c r="B76" s="1">
        <v>1991</v>
      </c>
      <c r="C76" s="28" t="s">
        <v>66</v>
      </c>
      <c r="D76" s="1">
        <v>2</v>
      </c>
      <c r="E76" s="8">
        <v>20</v>
      </c>
      <c r="F76" s="31">
        <v>0.1</v>
      </c>
      <c r="G76" s="57">
        <v>31.5</v>
      </c>
      <c r="H76" s="57">
        <v>50</v>
      </c>
      <c r="I76" s="8">
        <v>250</v>
      </c>
      <c r="J76" s="51">
        <v>0.89759999999999995</v>
      </c>
      <c r="K76" s="28" t="s">
        <v>306</v>
      </c>
      <c r="L76" s="28" t="s">
        <v>36</v>
      </c>
      <c r="M76" s="28" t="s">
        <v>34</v>
      </c>
      <c r="N76" s="28" t="s">
        <v>34</v>
      </c>
      <c r="O76" s="28" t="s">
        <v>34</v>
      </c>
      <c r="P76" s="8"/>
      <c r="Q76" s="51">
        <v>12.952</v>
      </c>
      <c r="R76" s="9"/>
      <c r="S76" s="9">
        <v>1.9632651143211164E-4</v>
      </c>
      <c r="T76" s="9">
        <v>680000000</v>
      </c>
      <c r="U76" s="8">
        <v>2483</v>
      </c>
      <c r="V76" s="9">
        <v>1.7919999999999998E-2</v>
      </c>
      <c r="W76" s="9">
        <v>2.3040000000000001E-2</v>
      </c>
      <c r="X76" s="9">
        <v>0.54900000000000004</v>
      </c>
      <c r="Y76" s="8">
        <v>29.6</v>
      </c>
      <c r="Z76" s="8">
        <v>1075</v>
      </c>
      <c r="AA76" s="8">
        <f>INT(AD76/2.5*1000)</f>
        <v>3628</v>
      </c>
      <c r="AB76" s="51">
        <f>POWER(3/(4*PI())*AE76*1000/AA76,1/3)</f>
        <v>0.82195157100318106</v>
      </c>
      <c r="AC76" s="51">
        <f t="shared" si="32"/>
        <v>1.3608000000000002</v>
      </c>
      <c r="AD76" s="51">
        <f>20*0.4536</f>
        <v>9.0719999999999992</v>
      </c>
      <c r="AE76" s="51">
        <f t="shared" si="33"/>
        <v>8.4390697674418611</v>
      </c>
      <c r="AF76" s="51">
        <f t="shared" si="19"/>
        <v>7.7111999999999989</v>
      </c>
      <c r="AG76" s="52">
        <v>1</v>
      </c>
      <c r="AH76" s="52">
        <f t="shared" si="36"/>
        <v>5.666666666666667</v>
      </c>
      <c r="AI76" s="52">
        <f t="shared" si="26"/>
        <v>0.85</v>
      </c>
      <c r="AJ76" s="51">
        <f t="shared" si="34"/>
        <v>3.1140184319999999</v>
      </c>
      <c r="AK76" s="51">
        <f t="shared" si="35"/>
        <v>2.4139677767441858</v>
      </c>
      <c r="AL76" s="51">
        <f t="shared" si="23"/>
        <v>1.7532184319999997</v>
      </c>
      <c r="AM76" s="52">
        <f>9/41</f>
        <v>0.21951219512195122</v>
      </c>
      <c r="AN76" s="52">
        <f t="shared" si="27"/>
        <v>0.18</v>
      </c>
      <c r="AO76" s="52">
        <f t="shared" si="28"/>
        <v>0.19622376119402979</v>
      </c>
      <c r="AP76" s="52">
        <f>0.22736*AF76/AC76</f>
        <v>1.2883733333333329</v>
      </c>
      <c r="AQ76" s="52">
        <f t="shared" si="30"/>
        <v>0.56300836693313439</v>
      </c>
      <c r="AR76" s="28" t="s">
        <v>34</v>
      </c>
    </row>
    <row r="77" spans="1:44" ht="15" customHeight="1" x14ac:dyDescent="0.25">
      <c r="A77" s="23">
        <v>76</v>
      </c>
      <c r="B77" s="23">
        <v>1992</v>
      </c>
      <c r="C77" s="29" t="s">
        <v>67</v>
      </c>
      <c r="D77" s="23">
        <v>1</v>
      </c>
      <c r="E77" s="24">
        <v>71</v>
      </c>
      <c r="F77" s="36">
        <v>0.5</v>
      </c>
      <c r="G77" s="62">
        <v>70</v>
      </c>
      <c r="H77" s="62">
        <v>20</v>
      </c>
      <c r="I77" s="24">
        <v>215</v>
      </c>
      <c r="J77" s="63">
        <v>0.54869999999999997</v>
      </c>
      <c r="K77" s="29" t="s">
        <v>5</v>
      </c>
      <c r="L77" s="29" t="s">
        <v>36</v>
      </c>
      <c r="M77" s="29" t="s">
        <v>289</v>
      </c>
      <c r="N77" s="29">
        <v>100</v>
      </c>
      <c r="O77" s="29">
        <v>10</v>
      </c>
      <c r="P77" s="24"/>
      <c r="Q77" s="63">
        <v>2.13</v>
      </c>
      <c r="R77" s="25"/>
      <c r="S77" s="25">
        <v>7.5538198766251163E-6</v>
      </c>
      <c r="T77" s="25">
        <v>620000000</v>
      </c>
      <c r="U77" s="24">
        <v>3883</v>
      </c>
      <c r="V77" s="25">
        <v>3.5920000000000001E-2</v>
      </c>
      <c r="W77" s="25">
        <v>2.3040000000000001E-2</v>
      </c>
      <c r="X77" s="25">
        <v>0.54900000000000004</v>
      </c>
      <c r="Y77" s="24">
        <v>29.6</v>
      </c>
      <c r="Z77" s="24">
        <v>1075</v>
      </c>
      <c r="AA77" s="24">
        <f t="shared" ref="AA77:AA98" si="37">AD77/2.5</f>
        <v>24</v>
      </c>
      <c r="AB77" s="63">
        <f t="shared" ref="AB77:AB108" si="38">POWER(3/(4*PI())*AE77/AA77,1/3)</f>
        <v>0.82189116447904176</v>
      </c>
      <c r="AC77" s="63">
        <f t="shared" si="32"/>
        <v>9</v>
      </c>
      <c r="AD77" s="63">
        <v>60</v>
      </c>
      <c r="AE77" s="63">
        <f t="shared" si="33"/>
        <v>55.813953488372093</v>
      </c>
      <c r="AF77" s="63">
        <f t="shared" si="19"/>
        <v>51</v>
      </c>
      <c r="AG77" s="64">
        <v>1</v>
      </c>
      <c r="AH77" s="64">
        <f t="shared" si="36"/>
        <v>5.666666666666667</v>
      </c>
      <c r="AI77" s="64">
        <f t="shared" si="26"/>
        <v>0.85</v>
      </c>
      <c r="AJ77" s="63">
        <f t="shared" si="34"/>
        <v>10.45740609975285</v>
      </c>
      <c r="AK77" s="63">
        <f t="shared" si="35"/>
        <v>8.1065163563975577</v>
      </c>
      <c r="AL77" s="63">
        <f t="shared" si="23"/>
        <v>1.45740609975285</v>
      </c>
      <c r="AM77" s="64">
        <v>0.15</v>
      </c>
      <c r="AN77" s="64">
        <f t="shared" si="27"/>
        <v>0.13043478260869565</v>
      </c>
      <c r="AO77" s="64">
        <v>2.1632648489999999E-3</v>
      </c>
      <c r="AP77" s="64">
        <f>AO77*(AH77-AM77)+AM77</f>
        <v>0.16193401108364999</v>
      </c>
      <c r="AQ77" s="64">
        <f t="shared" si="30"/>
        <v>0.13936592744421528</v>
      </c>
      <c r="AR77" s="29" t="s">
        <v>68</v>
      </c>
    </row>
    <row r="78" spans="1:44" ht="15" customHeight="1" x14ac:dyDescent="0.25">
      <c r="A78" s="3">
        <v>77</v>
      </c>
      <c r="B78" s="3">
        <v>1993</v>
      </c>
      <c r="C78" s="27" t="s">
        <v>69</v>
      </c>
      <c r="D78" s="3">
        <v>1</v>
      </c>
      <c r="E78" s="11">
        <v>14</v>
      </c>
      <c r="F78" s="30">
        <v>1</v>
      </c>
      <c r="G78" s="45">
        <v>25</v>
      </c>
      <c r="H78" s="45">
        <v>65</v>
      </c>
      <c r="I78" s="11">
        <v>104</v>
      </c>
      <c r="J78" s="47">
        <v>0.74360000000000004</v>
      </c>
      <c r="K78" s="27" t="s">
        <v>5</v>
      </c>
      <c r="L78" s="27" t="s">
        <v>36</v>
      </c>
      <c r="M78" s="27" t="s">
        <v>289</v>
      </c>
      <c r="N78" s="27">
        <v>100</v>
      </c>
      <c r="O78" s="27">
        <v>30</v>
      </c>
      <c r="P78" s="11"/>
      <c r="Q78" s="47">
        <v>76.930000000000007</v>
      </c>
      <c r="R78" s="4"/>
      <c r="S78" s="4">
        <v>4.3492179983643705E-4</v>
      </c>
      <c r="T78" s="4">
        <v>920000000</v>
      </c>
      <c r="U78" s="11">
        <v>2283</v>
      </c>
      <c r="V78" s="4">
        <v>2.0920000000000001E-2</v>
      </c>
      <c r="W78" s="4">
        <v>9.3039999999999998E-2</v>
      </c>
      <c r="X78" s="4">
        <v>0.54900000000000004</v>
      </c>
      <c r="Y78" s="11">
        <v>29.6</v>
      </c>
      <c r="Z78" s="11">
        <v>1075</v>
      </c>
      <c r="AA78" s="11">
        <f t="shared" si="37"/>
        <v>37.808</v>
      </c>
      <c r="AB78" s="47">
        <f t="shared" si="38"/>
        <v>0.82189116447904176</v>
      </c>
      <c r="AC78" s="47">
        <f t="shared" si="32"/>
        <v>14.177999999999997</v>
      </c>
      <c r="AD78" s="47">
        <v>94.52</v>
      </c>
      <c r="AE78" s="47">
        <f t="shared" si="33"/>
        <v>87.925581395348843</v>
      </c>
      <c r="AF78" s="47">
        <f t="shared" si="19"/>
        <v>80.341999999999999</v>
      </c>
      <c r="AG78" s="53">
        <v>1</v>
      </c>
      <c r="AH78" s="53">
        <f t="shared" si="36"/>
        <v>5.666666666666667</v>
      </c>
      <c r="AI78" s="53">
        <f t="shared" si="26"/>
        <v>0.85</v>
      </c>
      <c r="AJ78" s="47">
        <f t="shared" si="34"/>
        <v>22.287999999999997</v>
      </c>
      <c r="AK78" s="47">
        <f t="shared" si="35"/>
        <v>17.277519379844961</v>
      </c>
      <c r="AL78" s="47">
        <f t="shared" si="23"/>
        <v>8.1100000000000012</v>
      </c>
      <c r="AM78" s="53">
        <f>9/41</f>
        <v>0.21951219512195122</v>
      </c>
      <c r="AN78" s="53">
        <f t="shared" si="27"/>
        <v>0.18</v>
      </c>
      <c r="AO78" s="53">
        <v>0</v>
      </c>
      <c r="AP78" s="53">
        <f>(22.288-AC78)/AC78</f>
        <v>0.57201297785301208</v>
      </c>
      <c r="AQ78" s="53">
        <f t="shared" si="30"/>
        <v>0.36387293610911714</v>
      </c>
      <c r="AR78" s="27" t="s">
        <v>324</v>
      </c>
    </row>
    <row r="79" spans="1:44" ht="15" customHeight="1" x14ac:dyDescent="0.25">
      <c r="A79" s="76">
        <v>78</v>
      </c>
      <c r="B79" s="76">
        <v>1993</v>
      </c>
      <c r="C79" s="77" t="s">
        <v>69</v>
      </c>
      <c r="D79" s="76">
        <v>2</v>
      </c>
      <c r="E79" s="78">
        <v>10</v>
      </c>
      <c r="F79" s="79">
        <v>2</v>
      </c>
      <c r="G79" s="80">
        <v>25</v>
      </c>
      <c r="H79" s="80">
        <v>65</v>
      </c>
      <c r="I79" s="78">
        <v>72</v>
      </c>
      <c r="J79" s="81">
        <v>0.31709999999999999</v>
      </c>
      <c r="K79" s="77" t="s">
        <v>5</v>
      </c>
      <c r="L79" s="77" t="s">
        <v>36</v>
      </c>
      <c r="M79" s="77" t="s">
        <v>289</v>
      </c>
      <c r="N79" s="77">
        <v>100</v>
      </c>
      <c r="O79" s="77">
        <v>30</v>
      </c>
      <c r="P79" s="78"/>
      <c r="Q79" s="81">
        <v>125</v>
      </c>
      <c r="R79" s="82"/>
      <c r="S79" s="82">
        <v>4.3492179983643705E-4</v>
      </c>
      <c r="T79" s="82">
        <v>920000000</v>
      </c>
      <c r="U79" s="78">
        <v>2283</v>
      </c>
      <c r="V79" s="82">
        <v>2.0920000000000001E-2</v>
      </c>
      <c r="W79" s="82">
        <v>9.3039999999999998E-2</v>
      </c>
      <c r="X79" s="82">
        <v>0.54900000000000004</v>
      </c>
      <c r="Y79" s="78">
        <v>29.6</v>
      </c>
      <c r="Z79" s="78">
        <v>1075</v>
      </c>
      <c r="AA79" s="78">
        <f t="shared" si="37"/>
        <v>32.892800000000001</v>
      </c>
      <c r="AB79" s="81">
        <f t="shared" si="38"/>
        <v>0.82189116447904176</v>
      </c>
      <c r="AC79" s="81">
        <f t="shared" si="32"/>
        <v>12.334800000000001</v>
      </c>
      <c r="AD79" s="81">
        <v>82.231999999999999</v>
      </c>
      <c r="AE79" s="81">
        <f t="shared" si="33"/>
        <v>76.494883720930233</v>
      </c>
      <c r="AF79" s="81">
        <f t="shared" si="19"/>
        <v>69.897199999999998</v>
      </c>
      <c r="AG79" s="83">
        <v>1</v>
      </c>
      <c r="AH79" s="83">
        <f t="shared" si="36"/>
        <v>5.666666666666667</v>
      </c>
      <c r="AI79" s="83">
        <f t="shared" si="26"/>
        <v>0.85</v>
      </c>
      <c r="AJ79" s="81">
        <f t="shared" si="34"/>
        <v>18.251000000000001</v>
      </c>
      <c r="AK79" s="81">
        <f t="shared" si="35"/>
        <v>14.148062015503877</v>
      </c>
      <c r="AL79" s="81">
        <f t="shared" si="23"/>
        <v>5.9162000000000008</v>
      </c>
      <c r="AM79" s="83">
        <f>9/41</f>
        <v>0.21951219512195122</v>
      </c>
      <c r="AN79" s="83">
        <f t="shared" si="27"/>
        <v>0.18</v>
      </c>
      <c r="AO79" s="83">
        <v>0</v>
      </c>
      <c r="AP79" s="83">
        <f>(18.251-AC79)/AC79</f>
        <v>0.47963485423355057</v>
      </c>
      <c r="AQ79" s="83">
        <f t="shared" si="30"/>
        <v>0.32415758040655307</v>
      </c>
      <c r="AR79" s="77" t="s">
        <v>324</v>
      </c>
    </row>
    <row r="80" spans="1:44" ht="15" customHeight="1" x14ac:dyDescent="0.25">
      <c r="A80" s="76">
        <v>79</v>
      </c>
      <c r="B80" s="76">
        <v>1993</v>
      </c>
      <c r="C80" s="77" t="s">
        <v>69</v>
      </c>
      <c r="D80" s="76">
        <v>3</v>
      </c>
      <c r="E80" s="78">
        <v>10</v>
      </c>
      <c r="F80" s="79">
        <v>2</v>
      </c>
      <c r="G80" s="80">
        <v>25</v>
      </c>
      <c r="H80" s="80">
        <v>65</v>
      </c>
      <c r="I80" s="78">
        <v>72</v>
      </c>
      <c r="J80" s="81">
        <v>0.70189999999999997</v>
      </c>
      <c r="K80" s="77" t="s">
        <v>5</v>
      </c>
      <c r="L80" s="77" t="s">
        <v>36</v>
      </c>
      <c r="M80" s="77" t="s">
        <v>289</v>
      </c>
      <c r="N80" s="77">
        <v>100</v>
      </c>
      <c r="O80" s="77">
        <v>30</v>
      </c>
      <c r="P80" s="78"/>
      <c r="Q80" s="81">
        <v>164</v>
      </c>
      <c r="R80" s="82"/>
      <c r="S80" s="82">
        <v>4.3492179983643705E-4</v>
      </c>
      <c r="T80" s="82">
        <v>920000000</v>
      </c>
      <c r="U80" s="78">
        <v>2283</v>
      </c>
      <c r="V80" s="82">
        <v>2.0920000000000001E-2</v>
      </c>
      <c r="W80" s="82">
        <v>9.3039999999999998E-2</v>
      </c>
      <c r="X80" s="82">
        <v>0.54900000000000004</v>
      </c>
      <c r="Y80" s="78">
        <v>29.6</v>
      </c>
      <c r="Z80" s="78">
        <v>1075</v>
      </c>
      <c r="AA80" s="78">
        <f t="shared" si="37"/>
        <v>29.704799999999999</v>
      </c>
      <c r="AB80" s="81">
        <f t="shared" si="38"/>
        <v>0.82189116447904176</v>
      </c>
      <c r="AC80" s="81">
        <f t="shared" si="32"/>
        <v>11.139299999999999</v>
      </c>
      <c r="AD80" s="81">
        <v>74.262</v>
      </c>
      <c r="AE80" s="81">
        <f t="shared" si="33"/>
        <v>69.080930232558131</v>
      </c>
      <c r="AF80" s="81">
        <f t="shared" si="19"/>
        <v>63.122700000000002</v>
      </c>
      <c r="AG80" s="83">
        <v>1</v>
      </c>
      <c r="AH80" s="83">
        <f t="shared" si="36"/>
        <v>5.666666666666667</v>
      </c>
      <c r="AI80" s="83">
        <f t="shared" si="26"/>
        <v>0.85</v>
      </c>
      <c r="AJ80" s="81">
        <f t="shared" si="34"/>
        <v>15.429000000000002</v>
      </c>
      <c r="AK80" s="81">
        <f t="shared" si="35"/>
        <v>11.960465116279071</v>
      </c>
      <c r="AL80" s="81">
        <f t="shared" si="23"/>
        <v>4.2897000000000025</v>
      </c>
      <c r="AM80" s="83">
        <f>9/41</f>
        <v>0.21951219512195122</v>
      </c>
      <c r="AN80" s="83">
        <f t="shared" si="27"/>
        <v>0.18</v>
      </c>
      <c r="AO80" s="83">
        <v>0</v>
      </c>
      <c r="AP80" s="83">
        <f>(15.429-AC80)/AC80</f>
        <v>0.3850960114190301</v>
      </c>
      <c r="AQ80" s="83">
        <f t="shared" si="30"/>
        <v>0.27802838810033065</v>
      </c>
      <c r="AR80" s="77" t="s">
        <v>324</v>
      </c>
    </row>
    <row r="81" spans="1:44" ht="15" customHeight="1" x14ac:dyDescent="0.25">
      <c r="A81" s="3">
        <v>80</v>
      </c>
      <c r="B81" s="3">
        <v>1993</v>
      </c>
      <c r="C81" s="27" t="s">
        <v>70</v>
      </c>
      <c r="D81" s="3">
        <v>1</v>
      </c>
      <c r="E81" s="11">
        <v>87</v>
      </c>
      <c r="F81" s="30">
        <v>2</v>
      </c>
      <c r="G81" s="58">
        <v>30</v>
      </c>
      <c r="H81" s="58">
        <v>50</v>
      </c>
      <c r="I81" s="11">
        <v>43</v>
      </c>
      <c r="J81" s="47">
        <v>7.2099999999999997E-2</v>
      </c>
      <c r="K81" s="27" t="s">
        <v>306</v>
      </c>
      <c r="L81" s="27" t="s">
        <v>71</v>
      </c>
      <c r="M81" s="27" t="s">
        <v>289</v>
      </c>
      <c r="N81" s="27">
        <v>25</v>
      </c>
      <c r="O81" s="27">
        <v>180</v>
      </c>
      <c r="P81" s="11"/>
      <c r="Q81" s="47">
        <v>286.93</v>
      </c>
      <c r="R81" s="4"/>
      <c r="S81" s="4">
        <v>4.8061348091783145E-4</v>
      </c>
      <c r="T81" s="4">
        <v>920000000</v>
      </c>
      <c r="U81" s="11">
        <v>2291</v>
      </c>
      <c r="V81" s="4">
        <v>5.092E-2</v>
      </c>
      <c r="W81" s="4">
        <v>2.3040000000000001E-2</v>
      </c>
      <c r="X81" s="4">
        <v>0.54900000000000004</v>
      </c>
      <c r="Y81" s="11">
        <v>29.6</v>
      </c>
      <c r="Z81" s="11">
        <v>1075</v>
      </c>
      <c r="AA81" s="11">
        <f t="shared" si="37"/>
        <v>20</v>
      </c>
      <c r="AB81" s="47">
        <f t="shared" si="38"/>
        <v>0.82189116447904176</v>
      </c>
      <c r="AC81" s="47">
        <f t="shared" si="32"/>
        <v>9.4505452964636092</v>
      </c>
      <c r="AD81" s="47">
        <v>50</v>
      </c>
      <c r="AE81" s="47">
        <f t="shared" si="33"/>
        <v>46.511627906976742</v>
      </c>
      <c r="AF81" s="47">
        <f t="shared" si="19"/>
        <v>40.549454703536391</v>
      </c>
      <c r="AG81" s="53">
        <v>1</v>
      </c>
      <c r="AH81" s="53">
        <v>4.2907000000000002</v>
      </c>
      <c r="AI81" s="53">
        <f t="shared" si="26"/>
        <v>0.81098909407072783</v>
      </c>
      <c r="AJ81" s="47">
        <f t="shared" si="34"/>
        <v>10.923885308182285</v>
      </c>
      <c r="AK81" s="47">
        <f t="shared" si="35"/>
        <v>8.4681281458777402</v>
      </c>
      <c r="AL81" s="47">
        <f t="shared" si="23"/>
        <v>1.4733400117186768</v>
      </c>
      <c r="AM81" s="53">
        <f>AP81</f>
        <v>0.15590000000000001</v>
      </c>
      <c r="AN81" s="53">
        <f t="shared" si="27"/>
        <v>0.13487325893243363</v>
      </c>
      <c r="AO81" s="53">
        <v>0</v>
      </c>
      <c r="AP81" s="53">
        <v>0.15590000000000001</v>
      </c>
      <c r="AQ81" s="53">
        <f t="shared" si="30"/>
        <v>0.13487325893243363</v>
      </c>
      <c r="AR81" s="27" t="s">
        <v>325</v>
      </c>
    </row>
    <row r="82" spans="1:44" ht="15" customHeight="1" x14ac:dyDescent="0.25">
      <c r="A82" s="76">
        <v>81</v>
      </c>
      <c r="B82" s="76">
        <v>1993</v>
      </c>
      <c r="C82" s="77" t="s">
        <v>70</v>
      </c>
      <c r="D82" s="76">
        <v>2</v>
      </c>
      <c r="E82" s="78">
        <v>19</v>
      </c>
      <c r="F82" s="79">
        <v>2</v>
      </c>
      <c r="G82" s="75">
        <v>50</v>
      </c>
      <c r="H82" s="75">
        <v>50</v>
      </c>
      <c r="I82" s="78">
        <v>9</v>
      </c>
      <c r="J82" s="81">
        <v>5.1000000000000004E-3</v>
      </c>
      <c r="K82" s="77" t="s">
        <v>306</v>
      </c>
      <c r="L82" s="77" t="s">
        <v>71</v>
      </c>
      <c r="M82" s="77" t="s">
        <v>289</v>
      </c>
      <c r="N82" s="77">
        <v>25</v>
      </c>
      <c r="O82" s="77">
        <v>180</v>
      </c>
      <c r="P82" s="78"/>
      <c r="Q82" s="81">
        <v>195</v>
      </c>
      <c r="R82" s="82"/>
      <c r="S82" s="82">
        <v>7.6721068677054326E-4</v>
      </c>
      <c r="T82" s="82">
        <v>920000000</v>
      </c>
      <c r="U82" s="78">
        <v>2291</v>
      </c>
      <c r="V82" s="82">
        <v>5.092E-2</v>
      </c>
      <c r="W82" s="82">
        <v>2.3040000000000001E-2</v>
      </c>
      <c r="X82" s="82">
        <v>0.54900000000000004</v>
      </c>
      <c r="Y82" s="78">
        <v>29.6</v>
      </c>
      <c r="Z82" s="78">
        <v>1075</v>
      </c>
      <c r="AA82" s="78">
        <f t="shared" si="37"/>
        <v>20</v>
      </c>
      <c r="AB82" s="81">
        <f t="shared" si="38"/>
        <v>0.82189116447904176</v>
      </c>
      <c r="AC82" s="81">
        <f t="shared" si="32"/>
        <v>9.7013911794951397</v>
      </c>
      <c r="AD82" s="81">
        <v>50</v>
      </c>
      <c r="AE82" s="81">
        <f t="shared" si="33"/>
        <v>46.511627906976742</v>
      </c>
      <c r="AF82" s="81">
        <f t="shared" si="19"/>
        <v>40.29860882050486</v>
      </c>
      <c r="AG82" s="83">
        <v>1</v>
      </c>
      <c r="AH82" s="83">
        <v>4.1539000000000001</v>
      </c>
      <c r="AI82" s="83">
        <f t="shared" si="26"/>
        <v>0.80597217641009722</v>
      </c>
      <c r="AJ82" s="81">
        <f t="shared" si="34"/>
        <v>11.152719299947613</v>
      </c>
      <c r="AK82" s="81">
        <f t="shared" si="35"/>
        <v>8.6455188371686909</v>
      </c>
      <c r="AL82" s="81">
        <f t="shared" si="23"/>
        <v>1.4513281204524731</v>
      </c>
      <c r="AM82" s="83">
        <f>AP82</f>
        <v>0.14960000000000001</v>
      </c>
      <c r="AN82" s="83">
        <f t="shared" si="27"/>
        <v>0.13013221990257481</v>
      </c>
      <c r="AO82" s="83">
        <v>0</v>
      </c>
      <c r="AP82" s="83">
        <v>0.14960000000000001</v>
      </c>
      <c r="AQ82" s="83">
        <f t="shared" si="30"/>
        <v>0.13013221990257481</v>
      </c>
      <c r="AR82" s="77" t="s">
        <v>325</v>
      </c>
    </row>
    <row r="83" spans="1:44" ht="15" customHeight="1" x14ac:dyDescent="0.25">
      <c r="A83" s="76">
        <v>82</v>
      </c>
      <c r="B83" s="76">
        <v>1993</v>
      </c>
      <c r="C83" s="77" t="s">
        <v>70</v>
      </c>
      <c r="D83" s="76">
        <v>3</v>
      </c>
      <c r="E83" s="78">
        <v>15</v>
      </c>
      <c r="F83" s="79">
        <v>2</v>
      </c>
      <c r="G83" s="75">
        <v>55</v>
      </c>
      <c r="H83" s="75">
        <v>50</v>
      </c>
      <c r="I83" s="78">
        <v>7</v>
      </c>
      <c r="J83" s="81">
        <v>3.8999999999999998E-3</v>
      </c>
      <c r="K83" s="77" t="s">
        <v>306</v>
      </c>
      <c r="L83" s="77" t="s">
        <v>71</v>
      </c>
      <c r="M83" s="77" t="s">
        <v>289</v>
      </c>
      <c r="N83" s="77">
        <v>25</v>
      </c>
      <c r="O83" s="77">
        <v>180</v>
      </c>
      <c r="P83" s="78"/>
      <c r="Q83" s="81">
        <v>194</v>
      </c>
      <c r="R83" s="82"/>
      <c r="S83" s="82">
        <v>8.5472381069345122E-4</v>
      </c>
      <c r="T83" s="82">
        <v>920000000</v>
      </c>
      <c r="U83" s="78">
        <v>2291</v>
      </c>
      <c r="V83" s="82">
        <v>5.092E-2</v>
      </c>
      <c r="W83" s="82">
        <v>2.3040000000000001E-2</v>
      </c>
      <c r="X83" s="82">
        <v>0.54900000000000004</v>
      </c>
      <c r="Y83" s="78">
        <v>29.6</v>
      </c>
      <c r="Z83" s="78">
        <v>1075</v>
      </c>
      <c r="AA83" s="78">
        <f t="shared" si="37"/>
        <v>20</v>
      </c>
      <c r="AB83" s="81">
        <f t="shared" si="38"/>
        <v>0.82189116447904176</v>
      </c>
      <c r="AC83" s="81">
        <f t="shared" si="32"/>
        <v>10.402363416968328</v>
      </c>
      <c r="AD83" s="81">
        <v>50</v>
      </c>
      <c r="AE83" s="81">
        <f t="shared" si="33"/>
        <v>46.511627906976742</v>
      </c>
      <c r="AF83" s="81">
        <f t="shared" si="19"/>
        <v>39.597636583031672</v>
      </c>
      <c r="AG83" s="83">
        <v>1</v>
      </c>
      <c r="AH83" s="83">
        <v>3.8066</v>
      </c>
      <c r="AI83" s="83">
        <f t="shared" si="26"/>
        <v>0.7919527316606334</v>
      </c>
      <c r="AJ83" s="81">
        <f t="shared" si="34"/>
        <v>12.214455124204211</v>
      </c>
      <c r="AK83" s="81">
        <f t="shared" si="35"/>
        <v>9.4685698637241948</v>
      </c>
      <c r="AL83" s="81">
        <f t="shared" si="23"/>
        <v>1.8120917072358829</v>
      </c>
      <c r="AM83" s="83">
        <f>AP83</f>
        <v>0.17419999999999999</v>
      </c>
      <c r="AN83" s="83">
        <f t="shared" si="27"/>
        <v>0.14835632771248511</v>
      </c>
      <c r="AO83" s="83">
        <v>0</v>
      </c>
      <c r="AP83" s="83">
        <v>0.17419999999999999</v>
      </c>
      <c r="AQ83" s="83">
        <f t="shared" si="30"/>
        <v>0.14835632771248511</v>
      </c>
      <c r="AR83" s="77" t="s">
        <v>325</v>
      </c>
    </row>
    <row r="84" spans="1:44" ht="15" customHeight="1" x14ac:dyDescent="0.25">
      <c r="A84" s="76">
        <v>83</v>
      </c>
      <c r="B84" s="76">
        <v>1993</v>
      </c>
      <c r="C84" s="77" t="s">
        <v>70</v>
      </c>
      <c r="D84" s="76">
        <v>4</v>
      </c>
      <c r="E84" s="78">
        <v>64</v>
      </c>
      <c r="F84" s="79">
        <v>2</v>
      </c>
      <c r="G84" s="75">
        <v>45</v>
      </c>
      <c r="H84" s="75">
        <v>50</v>
      </c>
      <c r="I84" s="78">
        <v>32</v>
      </c>
      <c r="J84" s="81">
        <v>3.0099999999999998E-2</v>
      </c>
      <c r="K84" s="77" t="s">
        <v>306</v>
      </c>
      <c r="L84" s="77" t="s">
        <v>36</v>
      </c>
      <c r="M84" s="77" t="s">
        <v>289</v>
      </c>
      <c r="N84" s="77">
        <v>25</v>
      </c>
      <c r="O84" s="77">
        <v>180</v>
      </c>
      <c r="P84" s="78"/>
      <c r="Q84" s="81">
        <v>59</v>
      </c>
      <c r="R84" s="82"/>
      <c r="S84" s="82">
        <v>6.8632375811940359E-4</v>
      </c>
      <c r="T84" s="82">
        <v>920000000</v>
      </c>
      <c r="U84" s="78">
        <v>2291</v>
      </c>
      <c r="V84" s="82">
        <v>5.092E-2</v>
      </c>
      <c r="W84" s="82">
        <v>2.3040000000000001E-2</v>
      </c>
      <c r="X84" s="82">
        <v>0.54900000000000004</v>
      </c>
      <c r="Y84" s="78">
        <v>29.6</v>
      </c>
      <c r="Z84" s="78">
        <v>1075</v>
      </c>
      <c r="AA84" s="78">
        <f t="shared" si="37"/>
        <v>20</v>
      </c>
      <c r="AB84" s="81">
        <f t="shared" si="38"/>
        <v>0.82189116447904176</v>
      </c>
      <c r="AC84" s="81">
        <f t="shared" si="32"/>
        <v>9.3928464081755294</v>
      </c>
      <c r="AD84" s="81">
        <v>50</v>
      </c>
      <c r="AE84" s="81">
        <f t="shared" si="33"/>
        <v>46.511627906976742</v>
      </c>
      <c r="AF84" s="81">
        <f t="shared" si="19"/>
        <v>40.607153591824471</v>
      </c>
      <c r="AG84" s="83">
        <v>1</v>
      </c>
      <c r="AH84" s="83">
        <v>4.3231999999999999</v>
      </c>
      <c r="AI84" s="83">
        <f t="shared" si="26"/>
        <v>0.81214307183648937</v>
      </c>
      <c r="AJ84" s="81">
        <f t="shared" si="34"/>
        <v>10.767959122332426</v>
      </c>
      <c r="AK84" s="81">
        <f t="shared" si="35"/>
        <v>8.3472551335910286</v>
      </c>
      <c r="AL84" s="81">
        <f t="shared" si="23"/>
        <v>1.3751127141568973</v>
      </c>
      <c r="AM84" s="83">
        <f>AP84</f>
        <v>0.1464</v>
      </c>
      <c r="AN84" s="83">
        <f t="shared" si="27"/>
        <v>0.12770411723656663</v>
      </c>
      <c r="AO84" s="83">
        <v>0</v>
      </c>
      <c r="AP84" s="83">
        <v>0.1464</v>
      </c>
      <c r="AQ84" s="83">
        <f t="shared" si="30"/>
        <v>0.12770411723656663</v>
      </c>
      <c r="AR84" s="77" t="s">
        <v>325</v>
      </c>
    </row>
    <row r="85" spans="1:44" ht="15" hidden="1" customHeight="1" x14ac:dyDescent="0.25">
      <c r="A85" s="76">
        <v>84</v>
      </c>
      <c r="B85" s="76">
        <v>1993</v>
      </c>
      <c r="C85" s="77" t="s">
        <v>70</v>
      </c>
      <c r="D85" s="76">
        <v>5</v>
      </c>
      <c r="E85" s="78">
        <v>39</v>
      </c>
      <c r="F85" s="79">
        <v>2</v>
      </c>
      <c r="G85" s="75">
        <v>45</v>
      </c>
      <c r="H85" s="75">
        <v>50</v>
      </c>
      <c r="I85" s="78">
        <v>19</v>
      </c>
      <c r="J85" s="81">
        <v>9.1499999999999998E-2</v>
      </c>
      <c r="K85" s="77" t="s">
        <v>306</v>
      </c>
      <c r="L85" s="77" t="s">
        <v>71</v>
      </c>
      <c r="M85" s="77" t="s">
        <v>34</v>
      </c>
      <c r="N85" s="77" t="s">
        <v>34</v>
      </c>
      <c r="O85" s="77" t="s">
        <v>34</v>
      </c>
      <c r="P85" s="78"/>
      <c r="Q85" s="81">
        <v>105</v>
      </c>
      <c r="R85" s="82"/>
      <c r="S85" s="82">
        <v>6.8632375811940359E-4</v>
      </c>
      <c r="T85" s="82">
        <v>920000000</v>
      </c>
      <c r="U85" s="78">
        <v>2291</v>
      </c>
      <c r="V85" s="82">
        <v>5.092E-2</v>
      </c>
      <c r="W85" s="82">
        <v>2.3040000000000001E-2</v>
      </c>
      <c r="X85" s="82">
        <v>0.54900000000000004</v>
      </c>
      <c r="Y85" s="78">
        <v>29.6</v>
      </c>
      <c r="Z85" s="78">
        <v>1075</v>
      </c>
      <c r="AA85" s="78">
        <f t="shared" si="37"/>
        <v>20</v>
      </c>
      <c r="AB85" s="81">
        <f t="shared" si="38"/>
        <v>0.82189116447904176</v>
      </c>
      <c r="AC85" s="81">
        <f t="shared" si="32"/>
        <v>9.288500835965074</v>
      </c>
      <c r="AD85" s="81">
        <v>50</v>
      </c>
      <c r="AE85" s="81">
        <f t="shared" si="33"/>
        <v>46.511627906976742</v>
      </c>
      <c r="AF85" s="81">
        <f t="shared" si="19"/>
        <v>40.711499164034926</v>
      </c>
      <c r="AG85" s="83">
        <v>1</v>
      </c>
      <c r="AH85" s="83">
        <v>4.383</v>
      </c>
      <c r="AI85" s="83">
        <f t="shared" si="26"/>
        <v>0.81422998328069851</v>
      </c>
      <c r="AJ85" s="81">
        <f t="shared" si="34"/>
        <v>10.776518669886679</v>
      </c>
      <c r="AK85" s="81">
        <f t="shared" si="35"/>
        <v>8.3538904417726201</v>
      </c>
      <c r="AL85" s="81">
        <f t="shared" si="23"/>
        <v>1.4880178339216048</v>
      </c>
      <c r="AM85" s="83">
        <f>AP85</f>
        <v>0.16020000000000001</v>
      </c>
      <c r="AN85" s="83">
        <f t="shared" si="27"/>
        <v>0.13807964144113083</v>
      </c>
      <c r="AO85" s="83">
        <v>0</v>
      </c>
      <c r="AP85" s="83">
        <v>0.16020000000000001</v>
      </c>
      <c r="AQ85" s="83">
        <f t="shared" si="30"/>
        <v>0.13807964144113083</v>
      </c>
      <c r="AR85" s="77" t="s">
        <v>34</v>
      </c>
    </row>
    <row r="86" spans="1:44" ht="15" customHeight="1" x14ac:dyDescent="0.25">
      <c r="A86" s="1">
        <v>85</v>
      </c>
      <c r="B86" s="1">
        <v>1993</v>
      </c>
      <c r="C86" s="28" t="s">
        <v>70</v>
      </c>
      <c r="D86" s="1">
        <v>6</v>
      </c>
      <c r="E86" s="8">
        <v>27</v>
      </c>
      <c r="F86" s="31">
        <v>2</v>
      </c>
      <c r="G86" s="59">
        <v>45</v>
      </c>
      <c r="H86" s="59">
        <v>50</v>
      </c>
      <c r="I86" s="8">
        <v>13</v>
      </c>
      <c r="J86" s="51">
        <v>1.49E-2</v>
      </c>
      <c r="K86" s="28" t="s">
        <v>306</v>
      </c>
      <c r="L86" s="28" t="s">
        <v>71</v>
      </c>
      <c r="M86" s="28" t="s">
        <v>289</v>
      </c>
      <c r="N86" s="28">
        <v>25</v>
      </c>
      <c r="O86" s="28">
        <v>180</v>
      </c>
      <c r="P86" s="8"/>
      <c r="Q86" s="51">
        <v>160</v>
      </c>
      <c r="R86" s="9"/>
      <c r="S86" s="9">
        <v>6.8632375811940359E-4</v>
      </c>
      <c r="T86" s="9">
        <v>920000000</v>
      </c>
      <c r="U86" s="8">
        <v>2291</v>
      </c>
      <c r="V86" s="9">
        <v>5.092E-2</v>
      </c>
      <c r="W86" s="9">
        <v>2.3040000000000001E-2</v>
      </c>
      <c r="X86" s="9">
        <v>0.54900000000000004</v>
      </c>
      <c r="Y86" s="8">
        <v>29.6</v>
      </c>
      <c r="Z86" s="8">
        <v>1075</v>
      </c>
      <c r="AA86" s="8">
        <f t="shared" si="37"/>
        <v>20</v>
      </c>
      <c r="AB86" s="51">
        <f t="shared" si="38"/>
        <v>0.82189116447904176</v>
      </c>
      <c r="AC86" s="51">
        <f t="shared" si="32"/>
        <v>9.226113591910547</v>
      </c>
      <c r="AD86" s="51">
        <v>50</v>
      </c>
      <c r="AE86" s="51">
        <f t="shared" si="33"/>
        <v>46.511627906976742</v>
      </c>
      <c r="AF86" s="51">
        <f t="shared" si="19"/>
        <v>40.773886408089453</v>
      </c>
      <c r="AG86" s="52">
        <v>1</v>
      </c>
      <c r="AH86" s="52">
        <v>4.4194000000000004</v>
      </c>
      <c r="AI86" s="52">
        <f t="shared" si="26"/>
        <v>0.81547772816178909</v>
      </c>
      <c r="AJ86" s="51">
        <f t="shared" si="34"/>
        <v>10.988301287965461</v>
      </c>
      <c r="AK86" s="51">
        <f t="shared" si="35"/>
        <v>8.5180630139267137</v>
      </c>
      <c r="AL86" s="51">
        <f t="shared" si="23"/>
        <v>1.7621876960549143</v>
      </c>
      <c r="AM86" s="52">
        <f>AN86/(1-AN86)</f>
        <v>0.17647058823529413</v>
      </c>
      <c r="AN86" s="52">
        <v>0.15</v>
      </c>
      <c r="AO86" s="52">
        <f>(AP86-AM86)/(AH86-AM86)</f>
        <v>3.4243821555029938E-3</v>
      </c>
      <c r="AP86" s="52">
        <v>0.191</v>
      </c>
      <c r="AQ86" s="52">
        <f t="shared" si="30"/>
        <v>0.16036943744752308</v>
      </c>
      <c r="AR86" s="28" t="s">
        <v>325</v>
      </c>
    </row>
    <row r="87" spans="1:44" ht="15" hidden="1" customHeight="1" x14ac:dyDescent="0.25">
      <c r="A87" s="3">
        <v>86</v>
      </c>
      <c r="B87" s="3">
        <v>1994</v>
      </c>
      <c r="C87" s="27" t="s">
        <v>72</v>
      </c>
      <c r="D87" s="3">
        <v>1</v>
      </c>
      <c r="E87" s="11">
        <v>10</v>
      </c>
      <c r="F87" s="30">
        <v>2.75</v>
      </c>
      <c r="G87" s="54">
        <v>45</v>
      </c>
      <c r="H87" s="54">
        <v>30</v>
      </c>
      <c r="I87" s="11">
        <v>18</v>
      </c>
      <c r="J87" s="47">
        <v>8.1299999999999997E-2</v>
      </c>
      <c r="K87" s="27" t="s">
        <v>306</v>
      </c>
      <c r="L87" s="27" t="s">
        <v>36</v>
      </c>
      <c r="M87" s="27" t="s">
        <v>34</v>
      </c>
      <c r="N87" s="27" t="s">
        <v>34</v>
      </c>
      <c r="O87" s="27" t="s">
        <v>34</v>
      </c>
      <c r="P87" s="11"/>
      <c r="Q87" s="47">
        <v>66.930000000000007</v>
      </c>
      <c r="R87" s="4"/>
      <c r="S87" s="4">
        <v>2.2053770824248605E-3</v>
      </c>
      <c r="T87" s="4">
        <v>820000000</v>
      </c>
      <c r="U87" s="11">
        <v>1883</v>
      </c>
      <c r="V87" s="4">
        <v>1.7919999999999998E-2</v>
      </c>
      <c r="W87" s="4">
        <v>2.3040000000000001E-2</v>
      </c>
      <c r="X87" s="4">
        <v>0.54900000000000004</v>
      </c>
      <c r="Y87" s="11">
        <v>29.6</v>
      </c>
      <c r="Z87" s="11">
        <v>1075</v>
      </c>
      <c r="AA87" s="11">
        <f t="shared" si="37"/>
        <v>400</v>
      </c>
      <c r="AB87" s="47">
        <f t="shared" si="38"/>
        <v>0.82189116447904176</v>
      </c>
      <c r="AC87" s="47">
        <f t="shared" si="32"/>
        <v>190.0140040320972</v>
      </c>
      <c r="AD87" s="47">
        <v>1000</v>
      </c>
      <c r="AE87" s="47">
        <f t="shared" si="33"/>
        <v>930.23255813953483</v>
      </c>
      <c r="AF87" s="47">
        <f t="shared" si="19"/>
        <v>809.9859959679028</v>
      </c>
      <c r="AG87" s="53">
        <v>1</v>
      </c>
      <c r="AH87" s="53">
        <v>4.2627699999999997</v>
      </c>
      <c r="AI87" s="53">
        <f t="shared" ref="AI87:AI118" si="39">AH87/(AH87+1)</f>
        <v>0.80998599596790277</v>
      </c>
      <c r="AJ87" s="47">
        <f t="shared" si="34"/>
        <v>215.38087357038216</v>
      </c>
      <c r="AK87" s="47">
        <f t="shared" si="35"/>
        <v>166.96191749642028</v>
      </c>
      <c r="AL87" s="47">
        <f t="shared" si="23"/>
        <v>25.366869538284977</v>
      </c>
      <c r="AM87" s="53">
        <f>AP87</f>
        <v>0.13350000000000001</v>
      </c>
      <c r="AN87" s="53">
        <f>AM87/(AM87+1)</f>
        <v>0.11777679752977505</v>
      </c>
      <c r="AO87" s="53">
        <v>0</v>
      </c>
      <c r="AP87" s="53">
        <v>0.13350000000000001</v>
      </c>
      <c r="AQ87" s="53">
        <f t="shared" si="30"/>
        <v>0.11777679752977505</v>
      </c>
      <c r="AR87" s="27" t="s">
        <v>34</v>
      </c>
    </row>
    <row r="88" spans="1:44" ht="15" customHeight="1" x14ac:dyDescent="0.25">
      <c r="A88" s="76">
        <v>87</v>
      </c>
      <c r="B88" s="76">
        <v>1994</v>
      </c>
      <c r="C88" s="77" t="s">
        <v>72</v>
      </c>
      <c r="D88" s="76">
        <v>2</v>
      </c>
      <c r="E88" s="78">
        <v>10</v>
      </c>
      <c r="F88" s="79">
        <v>2.75</v>
      </c>
      <c r="G88" s="56">
        <v>45</v>
      </c>
      <c r="H88" s="56">
        <v>30</v>
      </c>
      <c r="I88" s="78">
        <v>18</v>
      </c>
      <c r="J88" s="81">
        <v>9.3299999999999994E-2</v>
      </c>
      <c r="K88" s="77" t="s">
        <v>306</v>
      </c>
      <c r="L88" s="77" t="s">
        <v>36</v>
      </c>
      <c r="M88" s="77" t="s">
        <v>289</v>
      </c>
      <c r="N88" s="77">
        <v>25</v>
      </c>
      <c r="O88" s="77">
        <v>180</v>
      </c>
      <c r="P88" s="78"/>
      <c r="Q88" s="81">
        <v>65</v>
      </c>
      <c r="R88" s="82"/>
      <c r="S88" s="82">
        <v>2.2053770824248605E-3</v>
      </c>
      <c r="T88" s="82">
        <v>820000000</v>
      </c>
      <c r="U88" s="78">
        <v>1883</v>
      </c>
      <c r="V88" s="82">
        <v>1.7919999999999998E-2</v>
      </c>
      <c r="W88" s="82">
        <v>2.3040000000000001E-2</v>
      </c>
      <c r="X88" s="82">
        <v>0.54900000000000004</v>
      </c>
      <c r="Y88" s="78">
        <v>29.6</v>
      </c>
      <c r="Z88" s="78">
        <v>1075</v>
      </c>
      <c r="AA88" s="78">
        <f t="shared" si="37"/>
        <v>400</v>
      </c>
      <c r="AB88" s="81">
        <f t="shared" si="38"/>
        <v>0.82189116447904176</v>
      </c>
      <c r="AC88" s="81">
        <f t="shared" si="32"/>
        <v>190.0140040320972</v>
      </c>
      <c r="AD88" s="81">
        <v>1000</v>
      </c>
      <c r="AE88" s="81">
        <f t="shared" si="33"/>
        <v>930.23255813953483</v>
      </c>
      <c r="AF88" s="81">
        <f t="shared" si="19"/>
        <v>809.9859959679028</v>
      </c>
      <c r="AG88" s="83">
        <v>1</v>
      </c>
      <c r="AH88" s="83">
        <v>4.2627699999999997</v>
      </c>
      <c r="AI88" s="83">
        <f t="shared" si="39"/>
        <v>0.80998599596790277</v>
      </c>
      <c r="AJ88" s="81">
        <f t="shared" si="34"/>
        <v>215.38087357038216</v>
      </c>
      <c r="AK88" s="81">
        <f t="shared" si="35"/>
        <v>166.96191749642028</v>
      </c>
      <c r="AL88" s="81">
        <f t="shared" si="23"/>
        <v>25.366869538284977</v>
      </c>
      <c r="AM88" s="83">
        <f>AP88</f>
        <v>0.13350000000000001</v>
      </c>
      <c r="AN88" s="83">
        <f>AM88/(AM88+1)</f>
        <v>0.11777679752977505</v>
      </c>
      <c r="AO88" s="83">
        <v>0</v>
      </c>
      <c r="AP88" s="83">
        <v>0.13350000000000001</v>
      </c>
      <c r="AQ88" s="83">
        <f t="shared" si="30"/>
        <v>0.11777679752977505</v>
      </c>
      <c r="AR88" s="77" t="s">
        <v>326</v>
      </c>
    </row>
    <row r="89" spans="1:44" ht="15" hidden="1" customHeight="1" x14ac:dyDescent="0.25">
      <c r="A89" s="76">
        <v>88</v>
      </c>
      <c r="B89" s="76">
        <v>1994</v>
      </c>
      <c r="C89" s="77" t="s">
        <v>72</v>
      </c>
      <c r="D89" s="76">
        <v>3</v>
      </c>
      <c r="E89" s="78">
        <v>7</v>
      </c>
      <c r="F89" s="79">
        <v>2.75</v>
      </c>
      <c r="G89" s="56">
        <v>45</v>
      </c>
      <c r="H89" s="56">
        <v>30</v>
      </c>
      <c r="I89" s="78">
        <v>12</v>
      </c>
      <c r="J89" s="81">
        <v>4.3700000000000003E-2</v>
      </c>
      <c r="K89" s="77" t="s">
        <v>306</v>
      </c>
      <c r="L89" s="77" t="s">
        <v>73</v>
      </c>
      <c r="M89" s="77" t="s">
        <v>34</v>
      </c>
      <c r="N89" s="77" t="s">
        <v>34</v>
      </c>
      <c r="O89" s="77" t="s">
        <v>34</v>
      </c>
      <c r="P89" s="78"/>
      <c r="Q89" s="81">
        <v>94</v>
      </c>
      <c r="R89" s="82"/>
      <c r="S89" s="82">
        <v>2.2053770824248605E-3</v>
      </c>
      <c r="T89" s="82">
        <v>820000000</v>
      </c>
      <c r="U89" s="78">
        <v>1883</v>
      </c>
      <c r="V89" s="82">
        <v>1.7919999999999998E-2</v>
      </c>
      <c r="W89" s="82">
        <v>2.3040000000000001E-2</v>
      </c>
      <c r="X89" s="82">
        <v>0.54900000000000004</v>
      </c>
      <c r="Y89" s="78">
        <v>29.6</v>
      </c>
      <c r="Z89" s="78">
        <v>1075</v>
      </c>
      <c r="AA89" s="78">
        <f t="shared" si="37"/>
        <v>400</v>
      </c>
      <c r="AB89" s="81">
        <f t="shared" si="38"/>
        <v>0.82189116447904176</v>
      </c>
      <c r="AC89" s="81">
        <f t="shared" si="32"/>
        <v>190.0140040320972</v>
      </c>
      <c r="AD89" s="81">
        <v>1000</v>
      </c>
      <c r="AE89" s="81">
        <f t="shared" si="33"/>
        <v>930.23255813953483</v>
      </c>
      <c r="AF89" s="81">
        <f t="shared" si="19"/>
        <v>809.9859959679028</v>
      </c>
      <c r="AG89" s="83">
        <v>1</v>
      </c>
      <c r="AH89" s="83">
        <v>4.2627699999999997</v>
      </c>
      <c r="AI89" s="83">
        <f t="shared" si="39"/>
        <v>0.80998599596790277</v>
      </c>
      <c r="AJ89" s="81">
        <f t="shared" si="34"/>
        <v>216.3157424702201</v>
      </c>
      <c r="AK89" s="81">
        <f t="shared" si="35"/>
        <v>167.68662206993807</v>
      </c>
      <c r="AL89" s="81">
        <f t="shared" si="23"/>
        <v>26.301738438122893</v>
      </c>
      <c r="AM89" s="83">
        <f>AN89/(1-AN89)</f>
        <v>0.13636363636363635</v>
      </c>
      <c r="AN89" s="83">
        <v>0.12</v>
      </c>
      <c r="AO89" s="83">
        <f>(AP89-AM89)/(AH89-AM89)</f>
        <v>4.9834249347935756E-4</v>
      </c>
      <c r="AP89" s="83">
        <v>0.13841999999999999</v>
      </c>
      <c r="AQ89" s="83">
        <f t="shared" si="30"/>
        <v>0.12158957151139298</v>
      </c>
      <c r="AR89" s="77" t="s">
        <v>74</v>
      </c>
    </row>
    <row r="90" spans="1:44" ht="15" customHeight="1" x14ac:dyDescent="0.25">
      <c r="A90" s="76">
        <v>89</v>
      </c>
      <c r="B90" s="76">
        <v>1994</v>
      </c>
      <c r="C90" s="77" t="s">
        <v>72</v>
      </c>
      <c r="D90" s="76">
        <v>4</v>
      </c>
      <c r="E90" s="78">
        <v>6</v>
      </c>
      <c r="F90" s="79">
        <v>2.75</v>
      </c>
      <c r="G90" s="56">
        <v>45</v>
      </c>
      <c r="H90" s="56">
        <v>30</v>
      </c>
      <c r="I90" s="78">
        <v>9</v>
      </c>
      <c r="J90" s="81">
        <v>7.7200000000000005E-2</v>
      </c>
      <c r="K90" s="77" t="s">
        <v>306</v>
      </c>
      <c r="L90" s="77" t="s">
        <v>36</v>
      </c>
      <c r="M90" s="77" t="s">
        <v>289</v>
      </c>
      <c r="N90" s="77">
        <v>25</v>
      </c>
      <c r="O90" s="77">
        <v>180</v>
      </c>
      <c r="P90" s="78"/>
      <c r="Q90" s="81">
        <v>169</v>
      </c>
      <c r="R90" s="82"/>
      <c r="S90" s="82">
        <v>2.2053770824248605E-3</v>
      </c>
      <c r="T90" s="82">
        <v>820000000</v>
      </c>
      <c r="U90" s="78">
        <v>1883</v>
      </c>
      <c r="V90" s="82">
        <v>1.7919999999999998E-2</v>
      </c>
      <c r="W90" s="82">
        <v>2.3040000000000001E-2</v>
      </c>
      <c r="X90" s="82">
        <v>0.54900000000000004</v>
      </c>
      <c r="Y90" s="78">
        <v>29.6</v>
      </c>
      <c r="Z90" s="78">
        <v>1075</v>
      </c>
      <c r="AA90" s="78">
        <f t="shared" si="37"/>
        <v>400</v>
      </c>
      <c r="AB90" s="81">
        <f t="shared" si="38"/>
        <v>0.82189116447904176</v>
      </c>
      <c r="AC90" s="81">
        <f t="shared" si="32"/>
        <v>190.0140040320972</v>
      </c>
      <c r="AD90" s="81">
        <v>1000</v>
      </c>
      <c r="AE90" s="81">
        <f t="shared" si="33"/>
        <v>930.23255813953483</v>
      </c>
      <c r="AF90" s="81">
        <f t="shared" si="19"/>
        <v>809.9859959679028</v>
      </c>
      <c r="AG90" s="83">
        <v>1</v>
      </c>
      <c r="AH90" s="83">
        <v>4.2627699999999997</v>
      </c>
      <c r="AI90" s="83">
        <f t="shared" si="39"/>
        <v>0.80998599596790277</v>
      </c>
      <c r="AJ90" s="81">
        <f t="shared" si="34"/>
        <v>215.38087357038216</v>
      </c>
      <c r="AK90" s="81">
        <f t="shared" si="35"/>
        <v>166.96191749642028</v>
      </c>
      <c r="AL90" s="81">
        <f t="shared" si="23"/>
        <v>25.366869538284977</v>
      </c>
      <c r="AM90" s="83">
        <f>AP90</f>
        <v>0.13350000000000001</v>
      </c>
      <c r="AN90" s="83">
        <f>AM90/(AM90+1)</f>
        <v>0.11777679752977505</v>
      </c>
      <c r="AO90" s="83">
        <v>0</v>
      </c>
      <c r="AP90" s="83">
        <v>0.13350000000000001</v>
      </c>
      <c r="AQ90" s="83">
        <f t="shared" si="30"/>
        <v>0.11777679752977505</v>
      </c>
      <c r="AR90" s="77" t="s">
        <v>325</v>
      </c>
    </row>
    <row r="91" spans="1:44" ht="15" customHeight="1" x14ac:dyDescent="0.25">
      <c r="A91" s="76">
        <v>90</v>
      </c>
      <c r="B91" s="76">
        <v>1994</v>
      </c>
      <c r="C91" s="77" t="s">
        <v>72</v>
      </c>
      <c r="D91" s="76">
        <v>5</v>
      </c>
      <c r="E91" s="78">
        <v>4</v>
      </c>
      <c r="F91" s="79">
        <v>2.75</v>
      </c>
      <c r="G91" s="56">
        <v>45</v>
      </c>
      <c r="H91" s="56">
        <v>30</v>
      </c>
      <c r="I91" s="78">
        <v>6</v>
      </c>
      <c r="J91" s="81">
        <v>7.6999999999999999E-2</v>
      </c>
      <c r="K91" s="77" t="s">
        <v>306</v>
      </c>
      <c r="L91" s="77" t="s">
        <v>73</v>
      </c>
      <c r="M91" s="77" t="s">
        <v>289</v>
      </c>
      <c r="N91" s="77">
        <v>25</v>
      </c>
      <c r="O91" s="77">
        <v>180</v>
      </c>
      <c r="P91" s="78"/>
      <c r="Q91" s="81">
        <v>235</v>
      </c>
      <c r="R91" s="82"/>
      <c r="S91" s="82">
        <v>2.2053770824248605E-3</v>
      </c>
      <c r="T91" s="82">
        <v>820000000</v>
      </c>
      <c r="U91" s="78">
        <v>1883</v>
      </c>
      <c r="V91" s="82">
        <v>1.7919999999999998E-2</v>
      </c>
      <c r="W91" s="82">
        <v>2.3040000000000001E-2</v>
      </c>
      <c r="X91" s="82">
        <v>0.54900000000000004</v>
      </c>
      <c r="Y91" s="78">
        <v>29.6</v>
      </c>
      <c r="Z91" s="78">
        <v>1075</v>
      </c>
      <c r="AA91" s="78">
        <f t="shared" si="37"/>
        <v>400</v>
      </c>
      <c r="AB91" s="81">
        <f t="shared" si="38"/>
        <v>0.82189116447904176</v>
      </c>
      <c r="AC91" s="81">
        <f t="shared" si="32"/>
        <v>190.0140040320972</v>
      </c>
      <c r="AD91" s="81">
        <v>1000</v>
      </c>
      <c r="AE91" s="81">
        <f t="shared" si="33"/>
        <v>930.23255813953483</v>
      </c>
      <c r="AF91" s="81">
        <f t="shared" si="19"/>
        <v>809.9859959679028</v>
      </c>
      <c r="AG91" s="83">
        <v>1</v>
      </c>
      <c r="AH91" s="83">
        <v>4.2627699999999997</v>
      </c>
      <c r="AI91" s="83">
        <f t="shared" si="39"/>
        <v>0.80998599596790277</v>
      </c>
      <c r="AJ91" s="81">
        <f t="shared" si="34"/>
        <v>215.83880732009953</v>
      </c>
      <c r="AK91" s="81">
        <f t="shared" si="35"/>
        <v>167.31690489930196</v>
      </c>
      <c r="AL91" s="81">
        <f t="shared" si="23"/>
        <v>25.824803288002332</v>
      </c>
      <c r="AM91" s="83">
        <f>AP91</f>
        <v>0.13591</v>
      </c>
      <c r="AN91" s="83">
        <f>AM91/(1+AM91)</f>
        <v>0.1196485637066317</v>
      </c>
      <c r="AO91" s="83">
        <v>0</v>
      </c>
      <c r="AP91" s="83">
        <v>0.13591</v>
      </c>
      <c r="AQ91" s="83">
        <f t="shared" si="30"/>
        <v>0.1196485637066317</v>
      </c>
      <c r="AR91" s="77" t="s">
        <v>327</v>
      </c>
    </row>
    <row r="92" spans="1:44" ht="15" customHeight="1" x14ac:dyDescent="0.25">
      <c r="A92" s="76">
        <v>91</v>
      </c>
      <c r="B92" s="76">
        <v>1994</v>
      </c>
      <c r="C92" s="77" t="s">
        <v>72</v>
      </c>
      <c r="D92" s="76">
        <v>6</v>
      </c>
      <c r="E92" s="78">
        <v>4</v>
      </c>
      <c r="F92" s="79">
        <v>2.75</v>
      </c>
      <c r="G92" s="56">
        <v>45</v>
      </c>
      <c r="H92" s="56">
        <v>30</v>
      </c>
      <c r="I92" s="78">
        <v>6</v>
      </c>
      <c r="J92" s="81">
        <v>0.11940000000000001</v>
      </c>
      <c r="K92" s="77" t="s">
        <v>306</v>
      </c>
      <c r="L92" s="77" t="s">
        <v>73</v>
      </c>
      <c r="M92" s="77" t="s">
        <v>289</v>
      </c>
      <c r="N92" s="77">
        <v>25</v>
      </c>
      <c r="O92" s="77">
        <v>180</v>
      </c>
      <c r="P92" s="78"/>
      <c r="Q92" s="81">
        <v>220</v>
      </c>
      <c r="R92" s="82"/>
      <c r="S92" s="82">
        <v>2.2053770824248605E-3</v>
      </c>
      <c r="T92" s="82">
        <v>820000000</v>
      </c>
      <c r="U92" s="78">
        <v>1883</v>
      </c>
      <c r="V92" s="82">
        <v>1.7919999999999998E-2</v>
      </c>
      <c r="W92" s="82">
        <v>2.3040000000000001E-2</v>
      </c>
      <c r="X92" s="82">
        <v>0.54900000000000004</v>
      </c>
      <c r="Y92" s="78">
        <v>29.6</v>
      </c>
      <c r="Z92" s="78">
        <v>1075</v>
      </c>
      <c r="AA92" s="78">
        <f t="shared" si="37"/>
        <v>400</v>
      </c>
      <c r="AB92" s="81">
        <f t="shared" si="38"/>
        <v>0.82189116447904176</v>
      </c>
      <c r="AC92" s="81">
        <f t="shared" si="32"/>
        <v>190.0140040320972</v>
      </c>
      <c r="AD92" s="81">
        <v>1000</v>
      </c>
      <c r="AE92" s="81">
        <f t="shared" si="33"/>
        <v>930.23255813953483</v>
      </c>
      <c r="AF92" s="81">
        <f t="shared" si="19"/>
        <v>809.9859959679028</v>
      </c>
      <c r="AG92" s="83">
        <v>1</v>
      </c>
      <c r="AH92" s="83">
        <v>4.2627699999999997</v>
      </c>
      <c r="AI92" s="83">
        <f t="shared" si="39"/>
        <v>0.80998599596790277</v>
      </c>
      <c r="AJ92" s="81">
        <f t="shared" si="34"/>
        <v>215.84260760018017</v>
      </c>
      <c r="AK92" s="81">
        <f t="shared" si="35"/>
        <v>167.31985085285282</v>
      </c>
      <c r="AL92" s="81">
        <f t="shared" si="23"/>
        <v>25.828603568082968</v>
      </c>
      <c r="AM92" s="83">
        <f>AP92</f>
        <v>0.13593</v>
      </c>
      <c r="AN92" s="83">
        <f>AM92/(AM92+1)</f>
        <v>0.11966406380674864</v>
      </c>
      <c r="AO92" s="83">
        <v>0</v>
      </c>
      <c r="AP92" s="83">
        <v>0.13593</v>
      </c>
      <c r="AQ92" s="83">
        <f t="shared" si="30"/>
        <v>0.11966406380674864</v>
      </c>
      <c r="AR92" s="77" t="s">
        <v>328</v>
      </c>
    </row>
    <row r="93" spans="1:44" ht="15" hidden="1" customHeight="1" x14ac:dyDescent="0.25">
      <c r="A93" s="76">
        <v>92</v>
      </c>
      <c r="B93" s="76">
        <v>1994</v>
      </c>
      <c r="C93" s="77" t="s">
        <v>72</v>
      </c>
      <c r="D93" s="76">
        <v>7</v>
      </c>
      <c r="E93" s="78">
        <v>10</v>
      </c>
      <c r="F93" s="79">
        <v>2.75</v>
      </c>
      <c r="G93" s="56">
        <v>60</v>
      </c>
      <c r="H93" s="56">
        <v>15</v>
      </c>
      <c r="I93" s="78">
        <v>17</v>
      </c>
      <c r="J93" s="81">
        <v>2.4199999999999999E-2</v>
      </c>
      <c r="K93" s="77" t="s">
        <v>306</v>
      </c>
      <c r="L93" s="77" t="s">
        <v>36</v>
      </c>
      <c r="M93" s="77" t="s">
        <v>34</v>
      </c>
      <c r="N93" s="77" t="s">
        <v>34</v>
      </c>
      <c r="O93" s="77" t="s">
        <v>34</v>
      </c>
      <c r="P93" s="78"/>
      <c r="Q93" s="81">
        <v>25</v>
      </c>
      <c r="R93" s="82"/>
      <c r="S93" s="82">
        <v>2.8787763689561443E-3</v>
      </c>
      <c r="T93" s="82">
        <v>820000000</v>
      </c>
      <c r="U93" s="78">
        <v>1883</v>
      </c>
      <c r="V93" s="82">
        <v>1.7919999999999998E-2</v>
      </c>
      <c r="W93" s="82">
        <v>2.3040000000000001E-2</v>
      </c>
      <c r="X93" s="82">
        <v>0.54900000000000004</v>
      </c>
      <c r="Y93" s="78">
        <v>29.6</v>
      </c>
      <c r="Z93" s="78">
        <v>1075</v>
      </c>
      <c r="AA93" s="78">
        <f t="shared" si="37"/>
        <v>400</v>
      </c>
      <c r="AB93" s="81">
        <f t="shared" si="38"/>
        <v>0.82189116447904176</v>
      </c>
      <c r="AC93" s="81">
        <f t="shared" si="32"/>
        <v>190.04253151855391</v>
      </c>
      <c r="AD93" s="81">
        <v>1000</v>
      </c>
      <c r="AE93" s="81">
        <f t="shared" si="33"/>
        <v>930.23255813953483</v>
      </c>
      <c r="AF93" s="81">
        <f t="shared" si="19"/>
        <v>809.95746848144609</v>
      </c>
      <c r="AG93" s="83">
        <v>1</v>
      </c>
      <c r="AH93" s="83">
        <v>4.2619800000000003</v>
      </c>
      <c r="AI93" s="83">
        <f t="shared" si="39"/>
        <v>0.80995746848144612</v>
      </c>
      <c r="AJ93" s="81">
        <f t="shared" si="34"/>
        <v>215.48542563825794</v>
      </c>
      <c r="AK93" s="81">
        <f t="shared" si="35"/>
        <v>167.04296561105267</v>
      </c>
      <c r="AL93" s="81">
        <f t="shared" si="23"/>
        <v>25.442894119704</v>
      </c>
      <c r="AM93" s="83">
        <f>AP93</f>
        <v>0.13388</v>
      </c>
      <c r="AN93" s="83">
        <f>AM93/(AM93+1)</f>
        <v>0.11807245916675486</v>
      </c>
      <c r="AO93" s="83">
        <v>0</v>
      </c>
      <c r="AP93" s="83">
        <v>0.13388</v>
      </c>
      <c r="AQ93" s="83">
        <f t="shared" si="30"/>
        <v>0.11807245916675486</v>
      </c>
      <c r="AR93" s="77" t="s">
        <v>34</v>
      </c>
    </row>
    <row r="94" spans="1:44" ht="15" customHeight="1" x14ac:dyDescent="0.25">
      <c r="A94" s="76">
        <v>93</v>
      </c>
      <c r="B94" s="76">
        <v>1994</v>
      </c>
      <c r="C94" s="77" t="s">
        <v>72</v>
      </c>
      <c r="D94" s="76">
        <v>8</v>
      </c>
      <c r="E94" s="78">
        <v>9</v>
      </c>
      <c r="F94" s="79">
        <v>2.75</v>
      </c>
      <c r="G94" s="56">
        <v>60</v>
      </c>
      <c r="H94" s="56">
        <v>15</v>
      </c>
      <c r="I94" s="78">
        <v>16</v>
      </c>
      <c r="J94" s="81">
        <v>4.0800000000000003E-2</v>
      </c>
      <c r="K94" s="77" t="s">
        <v>306</v>
      </c>
      <c r="L94" s="77" t="s">
        <v>36</v>
      </c>
      <c r="M94" s="77" t="s">
        <v>289</v>
      </c>
      <c r="N94" s="77">
        <v>25</v>
      </c>
      <c r="O94" s="77">
        <v>180</v>
      </c>
      <c r="P94" s="78"/>
      <c r="Q94" s="81">
        <v>28</v>
      </c>
      <c r="R94" s="82"/>
      <c r="S94" s="82">
        <v>2.8787763689561443E-3</v>
      </c>
      <c r="T94" s="82">
        <v>820000000</v>
      </c>
      <c r="U94" s="78">
        <v>1883</v>
      </c>
      <c r="V94" s="82">
        <v>1.7919999999999998E-2</v>
      </c>
      <c r="W94" s="82">
        <v>2.3040000000000001E-2</v>
      </c>
      <c r="X94" s="82">
        <v>0.54900000000000004</v>
      </c>
      <c r="Y94" s="78">
        <v>29.6</v>
      </c>
      <c r="Z94" s="78">
        <v>1075</v>
      </c>
      <c r="AA94" s="78">
        <f t="shared" si="37"/>
        <v>400</v>
      </c>
      <c r="AB94" s="81">
        <f t="shared" si="38"/>
        <v>0.82189116447904176</v>
      </c>
      <c r="AC94" s="81">
        <f t="shared" si="32"/>
        <v>190.04253151855391</v>
      </c>
      <c r="AD94" s="81">
        <v>1000</v>
      </c>
      <c r="AE94" s="81">
        <f t="shared" si="33"/>
        <v>930.23255813953483</v>
      </c>
      <c r="AF94" s="81">
        <f t="shared" ref="AF94:AF157" si="40">AD94*AI94</f>
        <v>809.95746848144609</v>
      </c>
      <c r="AG94" s="83">
        <v>1</v>
      </c>
      <c r="AH94" s="83">
        <v>4.2619800000000003</v>
      </c>
      <c r="AI94" s="83">
        <f t="shared" si="39"/>
        <v>0.80995746848144612</v>
      </c>
      <c r="AJ94" s="81">
        <f t="shared" si="34"/>
        <v>216.89934207275596</v>
      </c>
      <c r="AK94" s="81">
        <f t="shared" si="35"/>
        <v>168.1390248626015</v>
      </c>
      <c r="AL94" s="81">
        <f t="shared" si="23"/>
        <v>26.856810554202042</v>
      </c>
      <c r="AM94" s="83">
        <f>AN94/(1-AN94)</f>
        <v>0.13636363636363635</v>
      </c>
      <c r="AN94" s="83">
        <v>0.12</v>
      </c>
      <c r="AO94" s="83">
        <f>(AP94-AM94)/(AH94-AM94)</f>
        <v>1.2013631902494817E-3</v>
      </c>
      <c r="AP94" s="83">
        <v>0.14132</v>
      </c>
      <c r="AQ94" s="83">
        <f t="shared" si="30"/>
        <v>0.12382153997126136</v>
      </c>
      <c r="AR94" s="77" t="s">
        <v>326</v>
      </c>
    </row>
    <row r="95" spans="1:44" ht="15" hidden="1" customHeight="1" x14ac:dyDescent="0.25">
      <c r="A95" s="76">
        <v>94</v>
      </c>
      <c r="B95" s="76">
        <v>1994</v>
      </c>
      <c r="C95" s="77" t="s">
        <v>72</v>
      </c>
      <c r="D95" s="76">
        <v>9</v>
      </c>
      <c r="E95" s="78">
        <v>7</v>
      </c>
      <c r="F95" s="79">
        <v>2.75</v>
      </c>
      <c r="G95" s="56">
        <v>60</v>
      </c>
      <c r="H95" s="56">
        <v>15</v>
      </c>
      <c r="I95" s="78">
        <v>12</v>
      </c>
      <c r="J95" s="81">
        <v>1.38E-2</v>
      </c>
      <c r="K95" s="77" t="s">
        <v>306</v>
      </c>
      <c r="L95" s="77" t="s">
        <v>73</v>
      </c>
      <c r="M95" s="77" t="s">
        <v>34</v>
      </c>
      <c r="N95" s="77" t="s">
        <v>34</v>
      </c>
      <c r="O95" s="77" t="s">
        <v>34</v>
      </c>
      <c r="P95" s="78"/>
      <c r="Q95" s="81">
        <v>46</v>
      </c>
      <c r="R95" s="82"/>
      <c r="S95" s="82">
        <v>2.8787763689561443E-3</v>
      </c>
      <c r="T95" s="82">
        <v>820000000</v>
      </c>
      <c r="U95" s="78">
        <v>1883</v>
      </c>
      <c r="V95" s="82">
        <v>1.7919999999999998E-2</v>
      </c>
      <c r="W95" s="82">
        <v>2.3040000000000001E-2</v>
      </c>
      <c r="X95" s="82">
        <v>0.54900000000000004</v>
      </c>
      <c r="Y95" s="78">
        <v>29.6</v>
      </c>
      <c r="Z95" s="78">
        <v>1075</v>
      </c>
      <c r="AA95" s="78">
        <f t="shared" si="37"/>
        <v>400</v>
      </c>
      <c r="AB95" s="81">
        <f t="shared" si="38"/>
        <v>0.82189116447904176</v>
      </c>
      <c r="AC95" s="81">
        <f t="shared" si="32"/>
        <v>190.04253151855391</v>
      </c>
      <c r="AD95" s="81">
        <v>1000</v>
      </c>
      <c r="AE95" s="81">
        <f t="shared" si="33"/>
        <v>930.23255813953483</v>
      </c>
      <c r="AF95" s="81">
        <f t="shared" si="40"/>
        <v>809.95746848144609</v>
      </c>
      <c r="AG95" s="83">
        <v>1</v>
      </c>
      <c r="AH95" s="83">
        <v>4.2619800000000003</v>
      </c>
      <c r="AI95" s="83">
        <f t="shared" si="39"/>
        <v>0.80995746848144612</v>
      </c>
      <c r="AJ95" s="81">
        <f t="shared" si="34"/>
        <v>215.48542563825794</v>
      </c>
      <c r="AK95" s="81">
        <f t="shared" si="35"/>
        <v>167.04296561105267</v>
      </c>
      <c r="AL95" s="81">
        <f t="shared" si="23"/>
        <v>25.442894119704</v>
      </c>
      <c r="AM95" s="83">
        <f>AP95</f>
        <v>0.13388</v>
      </c>
      <c r="AN95" s="83">
        <f>AM95/(AM95+1)</f>
        <v>0.11807245916675486</v>
      </c>
      <c r="AO95" s="83">
        <v>0</v>
      </c>
      <c r="AP95" s="83">
        <v>0.13388</v>
      </c>
      <c r="AQ95" s="83">
        <f t="shared" si="30"/>
        <v>0.11807245916675486</v>
      </c>
      <c r="AR95" s="77" t="s">
        <v>74</v>
      </c>
    </row>
    <row r="96" spans="1:44" ht="15" customHeight="1" x14ac:dyDescent="0.25">
      <c r="A96" s="76">
        <v>95</v>
      </c>
      <c r="B96" s="76">
        <v>1994</v>
      </c>
      <c r="C96" s="77" t="s">
        <v>72</v>
      </c>
      <c r="D96" s="76">
        <v>10</v>
      </c>
      <c r="E96" s="78">
        <v>6</v>
      </c>
      <c r="F96" s="79">
        <v>2.75</v>
      </c>
      <c r="G96" s="56">
        <v>60</v>
      </c>
      <c r="H96" s="56">
        <v>15</v>
      </c>
      <c r="I96" s="78">
        <v>9</v>
      </c>
      <c r="J96" s="81">
        <v>5.4300000000000001E-2</v>
      </c>
      <c r="K96" s="77" t="s">
        <v>306</v>
      </c>
      <c r="L96" s="77" t="s">
        <v>36</v>
      </c>
      <c r="M96" s="77" t="s">
        <v>289</v>
      </c>
      <c r="N96" s="77">
        <v>25</v>
      </c>
      <c r="O96" s="77">
        <v>180</v>
      </c>
      <c r="P96" s="78"/>
      <c r="Q96" s="81">
        <v>64</v>
      </c>
      <c r="R96" s="82"/>
      <c r="S96" s="82">
        <v>2.8787763689561443E-3</v>
      </c>
      <c r="T96" s="82">
        <v>820000000</v>
      </c>
      <c r="U96" s="78">
        <v>1883</v>
      </c>
      <c r="V96" s="82">
        <v>1.7919999999999998E-2</v>
      </c>
      <c r="W96" s="82">
        <v>2.3040000000000001E-2</v>
      </c>
      <c r="X96" s="82">
        <v>0.54900000000000004</v>
      </c>
      <c r="Y96" s="78">
        <v>29.6</v>
      </c>
      <c r="Z96" s="78">
        <v>1075</v>
      </c>
      <c r="AA96" s="78">
        <f t="shared" si="37"/>
        <v>400</v>
      </c>
      <c r="AB96" s="81">
        <f t="shared" si="38"/>
        <v>0.82189116447904176</v>
      </c>
      <c r="AC96" s="81">
        <f t="shared" si="32"/>
        <v>190.04253151855391</v>
      </c>
      <c r="AD96" s="81">
        <v>1000</v>
      </c>
      <c r="AE96" s="81">
        <f t="shared" si="33"/>
        <v>930.23255813953483</v>
      </c>
      <c r="AF96" s="81">
        <f t="shared" si="40"/>
        <v>809.95746848144609</v>
      </c>
      <c r="AG96" s="83">
        <v>1</v>
      </c>
      <c r="AH96" s="83">
        <v>4.2619800000000003</v>
      </c>
      <c r="AI96" s="83">
        <f t="shared" si="39"/>
        <v>0.80995746848144612</v>
      </c>
      <c r="AJ96" s="81">
        <f t="shared" si="34"/>
        <v>215.48542563825794</v>
      </c>
      <c r="AK96" s="81">
        <f t="shared" si="35"/>
        <v>167.04296561105267</v>
      </c>
      <c r="AL96" s="81">
        <f t="shared" si="23"/>
        <v>25.442894119704</v>
      </c>
      <c r="AM96" s="83">
        <f>AP96</f>
        <v>0.13388</v>
      </c>
      <c r="AN96" s="83">
        <f>AM96/(AM96+1)</f>
        <v>0.11807245916675486</v>
      </c>
      <c r="AO96" s="83">
        <v>0</v>
      </c>
      <c r="AP96" s="83">
        <v>0.13388</v>
      </c>
      <c r="AQ96" s="83">
        <f t="shared" si="30"/>
        <v>0.11807245916675486</v>
      </c>
      <c r="AR96" s="77" t="s">
        <v>325</v>
      </c>
    </row>
    <row r="97" spans="1:44" ht="15" customHeight="1" x14ac:dyDescent="0.25">
      <c r="A97" s="76">
        <v>96</v>
      </c>
      <c r="B97" s="76">
        <v>1994</v>
      </c>
      <c r="C97" s="77" t="s">
        <v>72</v>
      </c>
      <c r="D97" s="76">
        <v>11</v>
      </c>
      <c r="E97" s="78">
        <v>5</v>
      </c>
      <c r="F97" s="79">
        <v>2.75</v>
      </c>
      <c r="G97" s="56">
        <v>60</v>
      </c>
      <c r="H97" s="56">
        <v>15</v>
      </c>
      <c r="I97" s="78">
        <v>8</v>
      </c>
      <c r="J97" s="81">
        <v>8.4199999999999997E-2</v>
      </c>
      <c r="K97" s="77" t="s">
        <v>306</v>
      </c>
      <c r="L97" s="77" t="s">
        <v>73</v>
      </c>
      <c r="M97" s="77" t="s">
        <v>289</v>
      </c>
      <c r="N97" s="77">
        <v>25</v>
      </c>
      <c r="O97" s="77">
        <v>180</v>
      </c>
      <c r="P97" s="78"/>
      <c r="Q97" s="81">
        <v>90</v>
      </c>
      <c r="R97" s="82"/>
      <c r="S97" s="82">
        <v>2.8787763689561443E-3</v>
      </c>
      <c r="T97" s="82">
        <v>820000000</v>
      </c>
      <c r="U97" s="78">
        <v>1883</v>
      </c>
      <c r="V97" s="82">
        <v>1.7919999999999998E-2</v>
      </c>
      <c r="W97" s="82">
        <v>2.3040000000000001E-2</v>
      </c>
      <c r="X97" s="82">
        <v>0.54900000000000004</v>
      </c>
      <c r="Y97" s="78">
        <v>29.6</v>
      </c>
      <c r="Z97" s="78">
        <v>1075</v>
      </c>
      <c r="AA97" s="78">
        <f t="shared" si="37"/>
        <v>400</v>
      </c>
      <c r="AB97" s="81">
        <f t="shared" si="38"/>
        <v>0.82189116447904176</v>
      </c>
      <c r="AC97" s="81">
        <f t="shared" si="32"/>
        <v>190.04253151855391</v>
      </c>
      <c r="AD97" s="81">
        <v>1000</v>
      </c>
      <c r="AE97" s="81">
        <f t="shared" si="33"/>
        <v>930.23255813953483</v>
      </c>
      <c r="AF97" s="81">
        <f t="shared" si="40"/>
        <v>809.95746848144609</v>
      </c>
      <c r="AG97" s="83">
        <v>1</v>
      </c>
      <c r="AH97" s="83">
        <v>4.2619800000000003</v>
      </c>
      <c r="AI97" s="83">
        <f t="shared" si="39"/>
        <v>0.80995746848144612</v>
      </c>
      <c r="AJ97" s="81">
        <f t="shared" si="34"/>
        <v>216.89934207275596</v>
      </c>
      <c r="AK97" s="81">
        <f t="shared" si="35"/>
        <v>168.1390248626015</v>
      </c>
      <c r="AL97" s="81">
        <f t="shared" si="23"/>
        <v>26.856810554202042</v>
      </c>
      <c r="AM97" s="83">
        <f>AN97/(1-AN97)</f>
        <v>0.13636363636363635</v>
      </c>
      <c r="AN97" s="83">
        <v>0.12</v>
      </c>
      <c r="AO97" s="83">
        <f t="shared" ref="AO97:AO110" si="41">(AP97-AM97)/(AH97-AM97)</f>
        <v>1.2013631902494817E-3</v>
      </c>
      <c r="AP97" s="83">
        <v>0.14132</v>
      </c>
      <c r="AQ97" s="83">
        <f t="shared" si="30"/>
        <v>0.12382153997126136</v>
      </c>
      <c r="AR97" s="77" t="s">
        <v>327</v>
      </c>
    </row>
    <row r="98" spans="1:44" ht="15" customHeight="1" x14ac:dyDescent="0.25">
      <c r="A98" s="1">
        <v>97</v>
      </c>
      <c r="B98" s="1">
        <v>1994</v>
      </c>
      <c r="C98" s="28" t="s">
        <v>72</v>
      </c>
      <c r="D98" s="1">
        <v>12</v>
      </c>
      <c r="E98" s="8">
        <v>5</v>
      </c>
      <c r="F98" s="31">
        <v>2.75</v>
      </c>
      <c r="G98" s="57">
        <v>60</v>
      </c>
      <c r="H98" s="57">
        <v>15</v>
      </c>
      <c r="I98" s="8">
        <v>8</v>
      </c>
      <c r="J98" s="51">
        <v>8.4199999999999997E-2</v>
      </c>
      <c r="K98" s="28" t="s">
        <v>306</v>
      </c>
      <c r="L98" s="28" t="s">
        <v>73</v>
      </c>
      <c r="M98" s="28" t="s">
        <v>289</v>
      </c>
      <c r="N98" s="28">
        <v>25</v>
      </c>
      <c r="O98" s="28">
        <v>180</v>
      </c>
      <c r="P98" s="8"/>
      <c r="Q98" s="51">
        <v>90</v>
      </c>
      <c r="R98" s="9"/>
      <c r="S98" s="9">
        <v>2.8787763689561443E-3</v>
      </c>
      <c r="T98" s="9">
        <v>820000000</v>
      </c>
      <c r="U98" s="8">
        <v>1883</v>
      </c>
      <c r="V98" s="9">
        <v>1.7919999999999998E-2</v>
      </c>
      <c r="W98" s="9">
        <v>2.3040000000000001E-2</v>
      </c>
      <c r="X98" s="9">
        <v>0.54900000000000004</v>
      </c>
      <c r="Y98" s="8">
        <v>29.6</v>
      </c>
      <c r="Z98" s="8">
        <v>1075</v>
      </c>
      <c r="AA98" s="8">
        <f t="shared" si="37"/>
        <v>400</v>
      </c>
      <c r="AB98" s="51">
        <f t="shared" si="38"/>
        <v>0.82189116447904176</v>
      </c>
      <c r="AC98" s="51">
        <f t="shared" si="32"/>
        <v>190.04253151855391</v>
      </c>
      <c r="AD98" s="51">
        <v>1000</v>
      </c>
      <c r="AE98" s="51">
        <f t="shared" ref="AE98:AE113" si="42">AD98/Z98*1000</f>
        <v>930.23255813953483</v>
      </c>
      <c r="AF98" s="51">
        <f t="shared" si="40"/>
        <v>809.95746848144609</v>
      </c>
      <c r="AG98" s="52">
        <v>1</v>
      </c>
      <c r="AH98" s="52">
        <v>4.2619800000000003</v>
      </c>
      <c r="AI98" s="52">
        <f t="shared" si="39"/>
        <v>0.80995746848144612</v>
      </c>
      <c r="AJ98" s="51">
        <f t="shared" si="34"/>
        <v>216.89934207275596</v>
      </c>
      <c r="AK98" s="51">
        <f t="shared" si="35"/>
        <v>168.1390248626015</v>
      </c>
      <c r="AL98" s="51">
        <f t="shared" si="23"/>
        <v>26.856810554202042</v>
      </c>
      <c r="AM98" s="52">
        <f>AN98/(1-AN98)</f>
        <v>0.13636363636363635</v>
      </c>
      <c r="AN98" s="52">
        <v>0.12</v>
      </c>
      <c r="AO98" s="52">
        <f t="shared" si="41"/>
        <v>1.2013631902494817E-3</v>
      </c>
      <c r="AP98" s="52">
        <v>0.14132</v>
      </c>
      <c r="AQ98" s="52">
        <f t="shared" si="30"/>
        <v>0.12382153997126136</v>
      </c>
      <c r="AR98" s="28" t="s">
        <v>328</v>
      </c>
    </row>
    <row r="99" spans="1:44" ht="15" customHeight="1" x14ac:dyDescent="0.25">
      <c r="A99" s="3">
        <v>98</v>
      </c>
      <c r="B99" s="3">
        <v>1994</v>
      </c>
      <c r="C99" s="27" t="s">
        <v>75</v>
      </c>
      <c r="D99" s="3">
        <v>1</v>
      </c>
      <c r="E99" s="11">
        <v>41</v>
      </c>
      <c r="F99" s="32">
        <v>0.02</v>
      </c>
      <c r="G99" s="45">
        <v>40</v>
      </c>
      <c r="H99" s="45">
        <v>30</v>
      </c>
      <c r="I99" s="11">
        <v>264</v>
      </c>
      <c r="J99" s="47">
        <v>3.2090000000000001</v>
      </c>
      <c r="K99" s="27" t="s">
        <v>306</v>
      </c>
      <c r="L99" s="27" t="s">
        <v>305</v>
      </c>
      <c r="M99" s="27" t="s">
        <v>289</v>
      </c>
      <c r="N99" s="27">
        <v>25</v>
      </c>
      <c r="O99" s="27">
        <v>30</v>
      </c>
      <c r="P99" s="11"/>
      <c r="Q99" s="47">
        <v>10.93</v>
      </c>
      <c r="R99" s="4"/>
      <c r="S99" s="4">
        <v>9.2385713580018348E-5</v>
      </c>
      <c r="T99" s="4">
        <v>920000000</v>
      </c>
      <c r="U99" s="11">
        <v>2883</v>
      </c>
      <c r="V99" s="4">
        <v>1.7919999999999998E-2</v>
      </c>
      <c r="W99" s="4">
        <v>2.3040000000000001E-2</v>
      </c>
      <c r="X99" s="4">
        <v>0.54900000000000004</v>
      </c>
      <c r="Y99" s="11">
        <v>29.6</v>
      </c>
      <c r="Z99" s="11">
        <v>1075</v>
      </c>
      <c r="AA99" s="11">
        <f>INT(AD99/2.5)</f>
        <v>169</v>
      </c>
      <c r="AB99" s="47">
        <f t="shared" si="38"/>
        <v>0.8230566935722976</v>
      </c>
      <c r="AC99" s="47">
        <f t="shared" si="32"/>
        <v>93.664459161147875</v>
      </c>
      <c r="AD99" s="47">
        <v>424.3</v>
      </c>
      <c r="AE99" s="47">
        <f t="shared" si="42"/>
        <v>394.69767441860466</v>
      </c>
      <c r="AF99" s="47">
        <f t="shared" si="40"/>
        <v>330.63554083885214</v>
      </c>
      <c r="AG99" s="53">
        <v>1</v>
      </c>
      <c r="AH99" s="53">
        <v>3.53</v>
      </c>
      <c r="AI99" s="53">
        <f t="shared" si="39"/>
        <v>0.7792494481236204</v>
      </c>
      <c r="AJ99" s="47">
        <f t="shared" si="34"/>
        <v>119.88172200000001</v>
      </c>
      <c r="AK99" s="47">
        <f t="shared" si="35"/>
        <v>92.931567441860466</v>
      </c>
      <c r="AL99" s="47">
        <f t="shared" si="23"/>
        <v>26.217262838852136</v>
      </c>
      <c r="AM99" s="53">
        <f t="shared" ref="AM99:AM110" si="43">3/17</f>
        <v>0.17647058823529413</v>
      </c>
      <c r="AN99" s="53">
        <f t="shared" ref="AN99:AN110" si="44">AM99/(AM99+1)</f>
        <v>0.15</v>
      </c>
      <c r="AO99" s="53">
        <f t="shared" si="41"/>
        <v>3.0843806349763345E-2</v>
      </c>
      <c r="AP99" s="53">
        <f>(0.28254*AD99-AC99)/AC99</f>
        <v>0.27990620000000049</v>
      </c>
      <c r="AQ99" s="53">
        <f t="shared" si="30"/>
        <v>0.2186927448277072</v>
      </c>
      <c r="AR99" s="27" t="s">
        <v>76</v>
      </c>
    </row>
    <row r="100" spans="1:44" ht="15" customHeight="1" x14ac:dyDescent="0.25">
      <c r="A100" s="1">
        <v>99</v>
      </c>
      <c r="B100" s="1">
        <v>1994</v>
      </c>
      <c r="C100" s="28" t="s">
        <v>75</v>
      </c>
      <c r="D100" s="1">
        <v>2</v>
      </c>
      <c r="E100" s="8">
        <v>29</v>
      </c>
      <c r="F100" s="33">
        <v>2.7</v>
      </c>
      <c r="G100" s="49">
        <v>40</v>
      </c>
      <c r="H100" s="49">
        <v>30</v>
      </c>
      <c r="I100" s="8">
        <v>120</v>
      </c>
      <c r="J100" s="51">
        <v>0.27629999999999999</v>
      </c>
      <c r="K100" s="28" t="s">
        <v>306</v>
      </c>
      <c r="L100" s="28" t="s">
        <v>36</v>
      </c>
      <c r="M100" s="28" t="s">
        <v>289</v>
      </c>
      <c r="N100" s="28">
        <v>25</v>
      </c>
      <c r="O100" s="28">
        <v>30</v>
      </c>
      <c r="P100" s="8"/>
      <c r="Q100" s="51">
        <v>18</v>
      </c>
      <c r="R100" s="9"/>
      <c r="S100" s="9">
        <v>9.2385713580018348E-5</v>
      </c>
      <c r="T100" s="9">
        <v>920000000</v>
      </c>
      <c r="U100" s="8">
        <v>2883</v>
      </c>
      <c r="V100" s="9">
        <v>1.7919999999999998E-2</v>
      </c>
      <c r="W100" s="9">
        <v>2.3040000000000001E-2</v>
      </c>
      <c r="X100" s="9">
        <v>0.54900000000000004</v>
      </c>
      <c r="Y100" s="8">
        <v>29.6</v>
      </c>
      <c r="Z100" s="8">
        <v>1075</v>
      </c>
      <c r="AA100" s="8">
        <f>INT(AD100/2.5)</f>
        <v>273</v>
      </c>
      <c r="AB100" s="51">
        <f t="shared" si="38"/>
        <v>0.82233248072167331</v>
      </c>
      <c r="AC100" s="51">
        <f t="shared" si="32"/>
        <v>150.90507726269311</v>
      </c>
      <c r="AD100" s="51">
        <v>683.6</v>
      </c>
      <c r="AE100" s="51">
        <f t="shared" si="42"/>
        <v>635.90697674418607</v>
      </c>
      <c r="AF100" s="51">
        <f t="shared" si="40"/>
        <v>532.69492273730691</v>
      </c>
      <c r="AG100" s="52">
        <v>1</v>
      </c>
      <c r="AH100" s="52">
        <v>3.53</v>
      </c>
      <c r="AI100" s="52">
        <f t="shared" si="39"/>
        <v>0.7792494481236204</v>
      </c>
      <c r="AJ100" s="51">
        <f t="shared" si="34"/>
        <v>178.28287999999998</v>
      </c>
      <c r="AK100" s="51">
        <f t="shared" si="35"/>
        <v>138.20378294573641</v>
      </c>
      <c r="AL100" s="51">
        <f t="shared" si="23"/>
        <v>27.377802737306862</v>
      </c>
      <c r="AM100" s="52">
        <f t="shared" si="43"/>
        <v>0.17647058823529413</v>
      </c>
      <c r="AN100" s="52">
        <f t="shared" si="44"/>
        <v>0.15</v>
      </c>
      <c r="AO100" s="52">
        <f t="shared" si="41"/>
        <v>1.477074197509264E-3</v>
      </c>
      <c r="AP100" s="52">
        <f>(0.2608*AD100-AC100)/AC100</f>
        <v>0.1814240000000002</v>
      </c>
      <c r="AQ100" s="52">
        <f t="shared" si="30"/>
        <v>0.1535638348298326</v>
      </c>
      <c r="AR100" s="28" t="s">
        <v>76</v>
      </c>
    </row>
    <row r="101" spans="1:44" ht="15" hidden="1" customHeight="1" x14ac:dyDescent="0.25">
      <c r="A101" s="3">
        <v>100</v>
      </c>
      <c r="B101" s="3">
        <v>1995</v>
      </c>
      <c r="C101" s="27" t="s">
        <v>77</v>
      </c>
      <c r="D101" s="3">
        <v>1</v>
      </c>
      <c r="E101" s="11">
        <v>12</v>
      </c>
      <c r="F101" s="79">
        <v>0.01</v>
      </c>
      <c r="G101" s="45">
        <v>22</v>
      </c>
      <c r="H101" s="45">
        <v>0</v>
      </c>
      <c r="I101" s="11">
        <v>290</v>
      </c>
      <c r="J101" s="47">
        <v>1.5736000000000001</v>
      </c>
      <c r="K101" s="27" t="s">
        <v>306</v>
      </c>
      <c r="L101" s="27" t="s">
        <v>305</v>
      </c>
      <c r="M101" s="27" t="s">
        <v>34</v>
      </c>
      <c r="N101" s="27" t="s">
        <v>34</v>
      </c>
      <c r="O101" s="27" t="s">
        <v>34</v>
      </c>
      <c r="P101" s="11"/>
      <c r="Q101" s="47">
        <v>21</v>
      </c>
      <c r="R101" s="4"/>
      <c r="S101" s="4">
        <v>1.4319647043356619E-5</v>
      </c>
      <c r="T101" s="4">
        <v>250000000</v>
      </c>
      <c r="U101" s="11">
        <v>2883</v>
      </c>
      <c r="V101" s="4">
        <v>1.7919999999999998E-2</v>
      </c>
      <c r="W101" s="4">
        <v>2.3040000000000001E-2</v>
      </c>
      <c r="X101" s="4">
        <v>0.54900000000000004</v>
      </c>
      <c r="Y101" s="11">
        <v>29.6</v>
      </c>
      <c r="Z101" s="11">
        <v>1075</v>
      </c>
      <c r="AA101" s="11">
        <f t="shared" ref="AA101:AA121" si="45">AD101/2.5</f>
        <v>40</v>
      </c>
      <c r="AB101" s="47">
        <f t="shared" si="38"/>
        <v>0.82189116447904176</v>
      </c>
      <c r="AC101" s="47">
        <f t="shared" si="32"/>
        <v>25</v>
      </c>
      <c r="AD101" s="47">
        <v>100</v>
      </c>
      <c r="AE101" s="47">
        <f t="shared" si="42"/>
        <v>93.023255813953483</v>
      </c>
      <c r="AF101" s="47">
        <f t="shared" si="40"/>
        <v>75</v>
      </c>
      <c r="AG101" s="53">
        <v>1</v>
      </c>
      <c r="AH101" s="53">
        <v>3</v>
      </c>
      <c r="AI101" s="53">
        <f t="shared" si="39"/>
        <v>0.75</v>
      </c>
      <c r="AJ101" s="47">
        <f t="shared" si="34"/>
        <v>30.000000000000004</v>
      </c>
      <c r="AK101" s="47">
        <f t="shared" si="35"/>
        <v>23.255813953488374</v>
      </c>
      <c r="AL101" s="47">
        <f t="shared" si="23"/>
        <v>5.0000000000000009</v>
      </c>
      <c r="AM101" s="53">
        <f t="shared" si="43"/>
        <v>0.17647058823529413</v>
      </c>
      <c r="AN101" s="53">
        <f t="shared" si="44"/>
        <v>0.15</v>
      </c>
      <c r="AO101" s="53">
        <f t="shared" si="41"/>
        <v>8.3333333333333332E-3</v>
      </c>
      <c r="AP101" s="53">
        <v>0.2</v>
      </c>
      <c r="AQ101" s="53">
        <f t="shared" si="30"/>
        <v>0.16666666666666669</v>
      </c>
      <c r="AR101" s="27" t="s">
        <v>34</v>
      </c>
    </row>
    <row r="102" spans="1:44" ht="15" hidden="1" customHeight="1" x14ac:dyDescent="0.25">
      <c r="A102" s="76">
        <v>101</v>
      </c>
      <c r="B102" s="76">
        <v>1995</v>
      </c>
      <c r="C102" s="77" t="s">
        <v>77</v>
      </c>
      <c r="D102" s="76">
        <v>2</v>
      </c>
      <c r="E102" s="78">
        <v>9</v>
      </c>
      <c r="F102" s="79">
        <v>0.01</v>
      </c>
      <c r="G102" s="80">
        <v>22</v>
      </c>
      <c r="H102" s="80">
        <v>0</v>
      </c>
      <c r="I102" s="78">
        <v>210</v>
      </c>
      <c r="J102" s="81">
        <v>0.36969999999999997</v>
      </c>
      <c r="K102" s="77" t="s">
        <v>306</v>
      </c>
      <c r="L102" s="77" t="s">
        <v>305</v>
      </c>
      <c r="M102" s="77" t="s">
        <v>294</v>
      </c>
      <c r="N102" s="77">
        <v>25</v>
      </c>
      <c r="O102" s="77">
        <v>60</v>
      </c>
      <c r="P102" s="78"/>
      <c r="Q102" s="81">
        <v>22</v>
      </c>
      <c r="R102" s="82"/>
      <c r="S102" s="82">
        <v>1.4319647043356619E-5</v>
      </c>
      <c r="T102" s="82">
        <v>250000000</v>
      </c>
      <c r="U102" s="78">
        <v>2883</v>
      </c>
      <c r="V102" s="82">
        <v>1.7919999999999998E-2</v>
      </c>
      <c r="W102" s="82">
        <v>2.3040000000000001E-2</v>
      </c>
      <c r="X102" s="82">
        <v>0.54900000000000004</v>
      </c>
      <c r="Y102" s="78">
        <v>29.6</v>
      </c>
      <c r="Z102" s="78">
        <v>1075</v>
      </c>
      <c r="AA102" s="78">
        <f t="shared" si="45"/>
        <v>40</v>
      </c>
      <c r="AB102" s="81">
        <f t="shared" si="38"/>
        <v>0.82189116447904176</v>
      </c>
      <c r="AC102" s="81">
        <f t="shared" si="32"/>
        <v>25</v>
      </c>
      <c r="AD102" s="81">
        <v>100</v>
      </c>
      <c r="AE102" s="81">
        <f t="shared" si="42"/>
        <v>93.023255813953483</v>
      </c>
      <c r="AF102" s="81">
        <f t="shared" si="40"/>
        <v>75</v>
      </c>
      <c r="AG102" s="83">
        <v>1</v>
      </c>
      <c r="AH102" s="83">
        <v>3</v>
      </c>
      <c r="AI102" s="83">
        <f t="shared" si="39"/>
        <v>0.75</v>
      </c>
      <c r="AJ102" s="81">
        <f t="shared" si="34"/>
        <v>49.64164705882353</v>
      </c>
      <c r="AK102" s="81">
        <f t="shared" si="35"/>
        <v>38.481896944824442</v>
      </c>
      <c r="AL102" s="81">
        <f t="shared" si="23"/>
        <v>24.64164705882353</v>
      </c>
      <c r="AM102" s="83">
        <f t="shared" si="43"/>
        <v>0.17647058823529413</v>
      </c>
      <c r="AN102" s="83">
        <f t="shared" si="44"/>
        <v>0.15</v>
      </c>
      <c r="AO102" s="83">
        <f t="shared" si="41"/>
        <v>0.28659000000000001</v>
      </c>
      <c r="AP102" s="83">
        <f>(AH102-AM102)*0.28659+AM102</f>
        <v>0.98566588235294128</v>
      </c>
      <c r="AQ102" s="83">
        <f t="shared" si="30"/>
        <v>0.49639060181915562</v>
      </c>
      <c r="AR102" s="77" t="s">
        <v>78</v>
      </c>
    </row>
    <row r="103" spans="1:44" ht="15" hidden="1" customHeight="1" x14ac:dyDescent="0.25">
      <c r="A103" s="76">
        <v>102</v>
      </c>
      <c r="B103" s="76">
        <v>1995</v>
      </c>
      <c r="C103" s="77" t="s">
        <v>77</v>
      </c>
      <c r="D103" s="76">
        <v>3</v>
      </c>
      <c r="E103" s="78">
        <v>9</v>
      </c>
      <c r="F103" s="79">
        <v>0.05</v>
      </c>
      <c r="G103" s="80">
        <v>22</v>
      </c>
      <c r="H103" s="80">
        <v>0</v>
      </c>
      <c r="I103" s="78">
        <v>165</v>
      </c>
      <c r="J103" s="81">
        <v>0.95660000000000001</v>
      </c>
      <c r="K103" s="77" t="s">
        <v>306</v>
      </c>
      <c r="L103" s="77" t="s">
        <v>305</v>
      </c>
      <c r="M103" s="77" t="s">
        <v>294</v>
      </c>
      <c r="N103" s="77">
        <v>25</v>
      </c>
      <c r="O103" s="77">
        <v>60</v>
      </c>
      <c r="P103" s="78"/>
      <c r="Q103" s="81">
        <v>50</v>
      </c>
      <c r="R103" s="82"/>
      <c r="S103" s="82">
        <v>1.4319647043356619E-5</v>
      </c>
      <c r="T103" s="82">
        <v>250000000</v>
      </c>
      <c r="U103" s="78">
        <v>2883</v>
      </c>
      <c r="V103" s="82">
        <v>1.7919999999999998E-2</v>
      </c>
      <c r="W103" s="82">
        <v>2.3040000000000001E-2</v>
      </c>
      <c r="X103" s="82">
        <v>0.54900000000000004</v>
      </c>
      <c r="Y103" s="78">
        <v>29.6</v>
      </c>
      <c r="Z103" s="78">
        <v>1075</v>
      </c>
      <c r="AA103" s="78">
        <f t="shared" si="45"/>
        <v>40</v>
      </c>
      <c r="AB103" s="81">
        <f t="shared" si="38"/>
        <v>0.82189116447904176</v>
      </c>
      <c r="AC103" s="81">
        <f t="shared" si="32"/>
        <v>25</v>
      </c>
      <c r="AD103" s="81">
        <v>100</v>
      </c>
      <c r="AE103" s="81">
        <f t="shared" si="42"/>
        <v>93.023255813953483</v>
      </c>
      <c r="AF103" s="81">
        <f t="shared" si="40"/>
        <v>75</v>
      </c>
      <c r="AG103" s="83">
        <v>1</v>
      </c>
      <c r="AH103" s="83">
        <v>3</v>
      </c>
      <c r="AI103" s="83">
        <f t="shared" si="39"/>
        <v>0.75</v>
      </c>
      <c r="AJ103" s="81">
        <f t="shared" si="34"/>
        <v>49.808941176470597</v>
      </c>
      <c r="AK103" s="81">
        <f t="shared" si="35"/>
        <v>38.61158230734155</v>
      </c>
      <c r="AL103" s="81">
        <f t="shared" ref="AL103:AL166" si="46">AJ103*AQ103</f>
        <v>24.808941176470594</v>
      </c>
      <c r="AM103" s="83">
        <f t="shared" si="43"/>
        <v>0.17647058823529413</v>
      </c>
      <c r="AN103" s="83">
        <f t="shared" si="44"/>
        <v>0.15</v>
      </c>
      <c r="AO103" s="83">
        <f t="shared" si="41"/>
        <v>0.28895999999999999</v>
      </c>
      <c r="AP103" s="83">
        <f>0.28896*(AH103-AM103)+AM103</f>
        <v>0.99235764705882357</v>
      </c>
      <c r="AQ103" s="83">
        <f t="shared" si="30"/>
        <v>0.49808208306564378</v>
      </c>
      <c r="AR103" s="77" t="s">
        <v>79</v>
      </c>
    </row>
    <row r="104" spans="1:44" ht="15" hidden="1" customHeight="1" x14ac:dyDescent="0.25">
      <c r="A104" s="76">
        <v>103</v>
      </c>
      <c r="B104" s="76">
        <v>1995</v>
      </c>
      <c r="C104" s="77" t="s">
        <v>77</v>
      </c>
      <c r="D104" s="76">
        <v>4</v>
      </c>
      <c r="E104" s="78">
        <v>9</v>
      </c>
      <c r="F104" s="79">
        <v>0.05</v>
      </c>
      <c r="G104" s="80">
        <v>22</v>
      </c>
      <c r="H104" s="80">
        <v>0</v>
      </c>
      <c r="I104" s="78">
        <v>165</v>
      </c>
      <c r="J104" s="81">
        <v>1.3206</v>
      </c>
      <c r="K104" s="77" t="s">
        <v>306</v>
      </c>
      <c r="L104" s="77" t="s">
        <v>305</v>
      </c>
      <c r="M104" s="77" t="s">
        <v>294</v>
      </c>
      <c r="N104" s="77">
        <v>25</v>
      </c>
      <c r="O104" s="77">
        <v>120</v>
      </c>
      <c r="P104" s="78"/>
      <c r="Q104" s="81">
        <v>54</v>
      </c>
      <c r="R104" s="82"/>
      <c r="S104" s="82">
        <v>1.4319647043356619E-5</v>
      </c>
      <c r="T104" s="82">
        <v>250000000</v>
      </c>
      <c r="U104" s="78">
        <v>2883</v>
      </c>
      <c r="V104" s="82">
        <v>1.7919999999999998E-2</v>
      </c>
      <c r="W104" s="82">
        <v>2.3040000000000001E-2</v>
      </c>
      <c r="X104" s="82">
        <v>0.54900000000000004</v>
      </c>
      <c r="Y104" s="78">
        <v>29.6</v>
      </c>
      <c r="Z104" s="78">
        <v>1075</v>
      </c>
      <c r="AA104" s="78">
        <f t="shared" si="45"/>
        <v>40</v>
      </c>
      <c r="AB104" s="81">
        <f t="shared" si="38"/>
        <v>0.82189116447904176</v>
      </c>
      <c r="AC104" s="81">
        <f t="shared" si="32"/>
        <v>25</v>
      </c>
      <c r="AD104" s="81">
        <v>100</v>
      </c>
      <c r="AE104" s="81">
        <f t="shared" si="42"/>
        <v>93.023255813953483</v>
      </c>
      <c r="AF104" s="81">
        <f t="shared" si="40"/>
        <v>75</v>
      </c>
      <c r="AG104" s="83">
        <v>1</v>
      </c>
      <c r="AH104" s="83">
        <v>3</v>
      </c>
      <c r="AI104" s="83">
        <f t="shared" si="39"/>
        <v>0.75</v>
      </c>
      <c r="AJ104" s="81">
        <f t="shared" si="34"/>
        <v>49.896470588235303</v>
      </c>
      <c r="AK104" s="81">
        <f t="shared" si="35"/>
        <v>38.67943456452349</v>
      </c>
      <c r="AL104" s="81">
        <f t="shared" si="46"/>
        <v>24.896470588235303</v>
      </c>
      <c r="AM104" s="83">
        <f t="shared" si="43"/>
        <v>0.17647058823529413</v>
      </c>
      <c r="AN104" s="83">
        <f t="shared" si="44"/>
        <v>0.15</v>
      </c>
      <c r="AO104" s="83">
        <f t="shared" si="41"/>
        <v>0.29020000000000001</v>
      </c>
      <c r="AP104" s="83">
        <f>0.2902*(AH104-AM104)+AM104</f>
        <v>0.99585882352941191</v>
      </c>
      <c r="AQ104" s="83">
        <f t="shared" si="30"/>
        <v>0.49896255776666987</v>
      </c>
      <c r="AR104" s="77" t="s">
        <v>80</v>
      </c>
    </row>
    <row r="105" spans="1:44" ht="15" hidden="1" customHeight="1" x14ac:dyDescent="0.25">
      <c r="A105" s="76">
        <v>104</v>
      </c>
      <c r="B105" s="76">
        <v>1995</v>
      </c>
      <c r="C105" s="77" t="s">
        <v>77</v>
      </c>
      <c r="D105" s="76">
        <v>5</v>
      </c>
      <c r="E105" s="78">
        <v>9</v>
      </c>
      <c r="F105" s="79">
        <v>0.05</v>
      </c>
      <c r="G105" s="80">
        <v>22</v>
      </c>
      <c r="H105" s="80">
        <v>0</v>
      </c>
      <c r="I105" s="78">
        <v>165</v>
      </c>
      <c r="J105" s="81">
        <v>0.46129999999999999</v>
      </c>
      <c r="K105" s="77" t="s">
        <v>306</v>
      </c>
      <c r="L105" s="77" t="s">
        <v>305</v>
      </c>
      <c r="M105" s="77" t="s">
        <v>294</v>
      </c>
      <c r="N105" s="77">
        <v>25</v>
      </c>
      <c r="O105" s="77">
        <v>120</v>
      </c>
      <c r="P105" s="78"/>
      <c r="Q105" s="81">
        <v>45</v>
      </c>
      <c r="R105" s="82"/>
      <c r="S105" s="82">
        <v>1.4319647043356619E-5</v>
      </c>
      <c r="T105" s="82">
        <v>250000000</v>
      </c>
      <c r="U105" s="78">
        <v>2883</v>
      </c>
      <c r="V105" s="82">
        <v>1.7919999999999998E-2</v>
      </c>
      <c r="W105" s="82">
        <v>2.3040000000000001E-2</v>
      </c>
      <c r="X105" s="82">
        <v>0.54900000000000004</v>
      </c>
      <c r="Y105" s="78">
        <v>29.6</v>
      </c>
      <c r="Z105" s="78">
        <v>1075</v>
      </c>
      <c r="AA105" s="78">
        <f t="shared" si="45"/>
        <v>40</v>
      </c>
      <c r="AB105" s="81">
        <f t="shared" si="38"/>
        <v>0.82189116447904176</v>
      </c>
      <c r="AC105" s="81">
        <f t="shared" si="32"/>
        <v>25</v>
      </c>
      <c r="AD105" s="81">
        <v>100</v>
      </c>
      <c r="AE105" s="81">
        <f t="shared" si="42"/>
        <v>93.023255813953483</v>
      </c>
      <c r="AF105" s="81">
        <f t="shared" si="40"/>
        <v>75</v>
      </c>
      <c r="AG105" s="83">
        <v>1</v>
      </c>
      <c r="AH105" s="83">
        <v>3</v>
      </c>
      <c r="AI105" s="83">
        <f t="shared" si="39"/>
        <v>0.75</v>
      </c>
      <c r="AJ105" s="81">
        <f t="shared" si="34"/>
        <v>50.682823529411763</v>
      </c>
      <c r="AK105" s="81">
        <f t="shared" si="35"/>
        <v>39.289010487916094</v>
      </c>
      <c r="AL105" s="81">
        <f t="shared" si="46"/>
        <v>25.682823529411763</v>
      </c>
      <c r="AM105" s="83">
        <f t="shared" si="43"/>
        <v>0.17647058823529413</v>
      </c>
      <c r="AN105" s="83">
        <f t="shared" si="44"/>
        <v>0.15</v>
      </c>
      <c r="AO105" s="83">
        <f t="shared" si="41"/>
        <v>0.30133999999999994</v>
      </c>
      <c r="AP105" s="83">
        <f>0.30134*(AH105-AM105)+AM105</f>
        <v>1.0273129411764705</v>
      </c>
      <c r="AQ105" s="83">
        <f t="shared" si="30"/>
        <v>0.50673624200332401</v>
      </c>
      <c r="AR105" s="77" t="s">
        <v>81</v>
      </c>
    </row>
    <row r="106" spans="1:44" ht="15" hidden="1" customHeight="1" x14ac:dyDescent="0.25">
      <c r="A106" s="76">
        <v>105</v>
      </c>
      <c r="B106" s="76">
        <v>1995</v>
      </c>
      <c r="C106" s="77" t="s">
        <v>77</v>
      </c>
      <c r="D106" s="76">
        <v>6</v>
      </c>
      <c r="E106" s="78">
        <v>9</v>
      </c>
      <c r="F106" s="79">
        <v>0.05</v>
      </c>
      <c r="G106" s="80">
        <v>22</v>
      </c>
      <c r="H106" s="80">
        <v>0</v>
      </c>
      <c r="I106" s="78">
        <v>169</v>
      </c>
      <c r="J106" s="81">
        <v>1.5900000000000001E-2</v>
      </c>
      <c r="K106" s="77" t="s">
        <v>306</v>
      </c>
      <c r="L106" s="77" t="s">
        <v>305</v>
      </c>
      <c r="M106" s="77" t="s">
        <v>82</v>
      </c>
      <c r="N106" s="77" t="s">
        <v>329</v>
      </c>
      <c r="O106" s="77" t="s">
        <v>329</v>
      </c>
      <c r="P106" s="78"/>
      <c r="Q106" s="81">
        <v>13</v>
      </c>
      <c r="R106" s="82"/>
      <c r="S106" s="82">
        <v>1.4319647043356619E-5</v>
      </c>
      <c r="T106" s="82">
        <v>250000000</v>
      </c>
      <c r="U106" s="78">
        <v>2883</v>
      </c>
      <c r="V106" s="82">
        <v>1.7919999999999998E-2</v>
      </c>
      <c r="W106" s="82">
        <v>2.3040000000000001E-2</v>
      </c>
      <c r="X106" s="82">
        <v>0.54900000000000004</v>
      </c>
      <c r="Y106" s="78">
        <v>29.6</v>
      </c>
      <c r="Z106" s="78">
        <v>1075</v>
      </c>
      <c r="AA106" s="78">
        <f t="shared" si="45"/>
        <v>40</v>
      </c>
      <c r="AB106" s="81">
        <f t="shared" si="38"/>
        <v>0.82189116447904176</v>
      </c>
      <c r="AC106" s="81">
        <f t="shared" si="32"/>
        <v>25</v>
      </c>
      <c r="AD106" s="81">
        <v>100</v>
      </c>
      <c r="AE106" s="81">
        <f t="shared" si="42"/>
        <v>93.023255813953483</v>
      </c>
      <c r="AF106" s="81">
        <f t="shared" si="40"/>
        <v>75</v>
      </c>
      <c r="AG106" s="83">
        <v>1</v>
      </c>
      <c r="AH106" s="83">
        <v>3</v>
      </c>
      <c r="AI106" s="83">
        <f t="shared" si="39"/>
        <v>0.75</v>
      </c>
      <c r="AJ106" s="81">
        <f t="shared" si="34"/>
        <v>69.321647058823515</v>
      </c>
      <c r="AK106" s="81">
        <f t="shared" si="35"/>
        <v>53.737710898312798</v>
      </c>
      <c r="AL106" s="81">
        <f t="shared" si="46"/>
        <v>44.321647058823515</v>
      </c>
      <c r="AM106" s="83">
        <f t="shared" si="43"/>
        <v>0.17647058823529413</v>
      </c>
      <c r="AN106" s="83">
        <f t="shared" si="44"/>
        <v>0.15</v>
      </c>
      <c r="AO106" s="83">
        <f t="shared" si="41"/>
        <v>0.56538999999999995</v>
      </c>
      <c r="AP106" s="83">
        <f>0.56539*(AH106-AM106)+AM106</f>
        <v>1.7728658823529411</v>
      </c>
      <c r="AQ106" s="83">
        <f t="shared" si="30"/>
        <v>0.63936229070284467</v>
      </c>
      <c r="AR106" s="77" t="s">
        <v>83</v>
      </c>
    </row>
    <row r="107" spans="1:44" ht="15" hidden="1" customHeight="1" x14ac:dyDescent="0.25">
      <c r="A107" s="76">
        <v>106</v>
      </c>
      <c r="B107" s="76">
        <v>1995</v>
      </c>
      <c r="C107" s="77" t="s">
        <v>77</v>
      </c>
      <c r="D107" s="76">
        <v>7</v>
      </c>
      <c r="E107" s="78">
        <v>8</v>
      </c>
      <c r="F107" s="79">
        <v>0.05</v>
      </c>
      <c r="G107" s="80">
        <v>22</v>
      </c>
      <c r="H107" s="80">
        <v>0</v>
      </c>
      <c r="I107" s="78">
        <v>141</v>
      </c>
      <c r="J107" s="81">
        <v>0.1045</v>
      </c>
      <c r="K107" s="77" t="s">
        <v>306</v>
      </c>
      <c r="L107" s="77" t="s">
        <v>305</v>
      </c>
      <c r="M107" s="77" t="s">
        <v>294</v>
      </c>
      <c r="N107" s="77">
        <v>25</v>
      </c>
      <c r="O107" s="77">
        <v>60</v>
      </c>
      <c r="P107" s="78"/>
      <c r="Q107" s="81">
        <v>33</v>
      </c>
      <c r="R107" s="82"/>
      <c r="S107" s="82">
        <v>1.4319647043356619E-5</v>
      </c>
      <c r="T107" s="82">
        <v>250000000</v>
      </c>
      <c r="U107" s="78">
        <v>2883</v>
      </c>
      <c r="V107" s="82">
        <v>1.7919999999999998E-2</v>
      </c>
      <c r="W107" s="82">
        <v>2.3040000000000001E-2</v>
      </c>
      <c r="X107" s="82">
        <v>0.54900000000000004</v>
      </c>
      <c r="Y107" s="78">
        <v>29.6</v>
      </c>
      <c r="Z107" s="78">
        <v>1075</v>
      </c>
      <c r="AA107" s="78">
        <f t="shared" si="45"/>
        <v>40</v>
      </c>
      <c r="AB107" s="81">
        <f t="shared" si="38"/>
        <v>0.82189116447904176</v>
      </c>
      <c r="AC107" s="81">
        <f t="shared" si="32"/>
        <v>25</v>
      </c>
      <c r="AD107" s="81">
        <v>100</v>
      </c>
      <c r="AE107" s="81">
        <f t="shared" si="42"/>
        <v>93.023255813953483</v>
      </c>
      <c r="AF107" s="81">
        <f t="shared" si="40"/>
        <v>75</v>
      </c>
      <c r="AG107" s="83">
        <v>1</v>
      </c>
      <c r="AH107" s="83">
        <v>3</v>
      </c>
      <c r="AI107" s="83">
        <f t="shared" si="39"/>
        <v>0.75</v>
      </c>
      <c r="AJ107" s="81">
        <f t="shared" si="34"/>
        <v>55.847058823529423</v>
      </c>
      <c r="AK107" s="81">
        <f t="shared" si="35"/>
        <v>43.292293661650717</v>
      </c>
      <c r="AL107" s="81">
        <f t="shared" si="46"/>
        <v>30.847058823529423</v>
      </c>
      <c r="AM107" s="83">
        <f t="shared" si="43"/>
        <v>0.17647058823529413</v>
      </c>
      <c r="AN107" s="83">
        <f t="shared" si="44"/>
        <v>0.15</v>
      </c>
      <c r="AO107" s="83">
        <f t="shared" si="41"/>
        <v>0.3745</v>
      </c>
      <c r="AP107" s="83">
        <f>0.3745*(AH107-AM107)+AM107</f>
        <v>1.2338823529411767</v>
      </c>
      <c r="AQ107" s="83">
        <f t="shared" si="30"/>
        <v>0.55234885190646732</v>
      </c>
      <c r="AR107" s="77" t="s">
        <v>84</v>
      </c>
    </row>
    <row r="108" spans="1:44" ht="15" hidden="1" customHeight="1" x14ac:dyDescent="0.25">
      <c r="A108" s="76">
        <v>107</v>
      </c>
      <c r="B108" s="76">
        <v>1995</v>
      </c>
      <c r="C108" s="77" t="s">
        <v>77</v>
      </c>
      <c r="D108" s="76">
        <v>8</v>
      </c>
      <c r="E108" s="78">
        <v>9</v>
      </c>
      <c r="F108" s="79">
        <v>0.05</v>
      </c>
      <c r="G108" s="80">
        <v>22</v>
      </c>
      <c r="H108" s="80">
        <v>0</v>
      </c>
      <c r="I108" s="78">
        <v>170</v>
      </c>
      <c r="J108" s="81">
        <v>0.22259999999999999</v>
      </c>
      <c r="K108" s="77" t="s">
        <v>306</v>
      </c>
      <c r="L108" s="77" t="s">
        <v>305</v>
      </c>
      <c r="M108" s="77" t="s">
        <v>294</v>
      </c>
      <c r="N108" s="77">
        <v>25</v>
      </c>
      <c r="O108" s="77">
        <v>60</v>
      </c>
      <c r="P108" s="78"/>
      <c r="Q108" s="81">
        <v>39</v>
      </c>
      <c r="R108" s="82"/>
      <c r="S108" s="82">
        <v>1.4319647043356619E-5</v>
      </c>
      <c r="T108" s="82">
        <v>250000000</v>
      </c>
      <c r="U108" s="78">
        <v>2883</v>
      </c>
      <c r="V108" s="82">
        <v>1.7919999999999998E-2</v>
      </c>
      <c r="W108" s="82">
        <v>2.3040000000000001E-2</v>
      </c>
      <c r="X108" s="82">
        <v>0.54900000000000004</v>
      </c>
      <c r="Y108" s="78">
        <v>29.6</v>
      </c>
      <c r="Z108" s="78">
        <v>1075</v>
      </c>
      <c r="AA108" s="78">
        <f t="shared" si="45"/>
        <v>40</v>
      </c>
      <c r="AB108" s="81">
        <f t="shared" si="38"/>
        <v>0.82189116447904176</v>
      </c>
      <c r="AC108" s="81">
        <f t="shared" si="32"/>
        <v>25</v>
      </c>
      <c r="AD108" s="81">
        <v>100</v>
      </c>
      <c r="AE108" s="81">
        <f t="shared" si="42"/>
        <v>93.023255813953483</v>
      </c>
      <c r="AF108" s="81">
        <f t="shared" si="40"/>
        <v>75</v>
      </c>
      <c r="AG108" s="83">
        <v>1</v>
      </c>
      <c r="AH108" s="83">
        <v>3</v>
      </c>
      <c r="AI108" s="83">
        <f t="shared" si="39"/>
        <v>0.75</v>
      </c>
      <c r="AJ108" s="81">
        <f t="shared" si="34"/>
        <v>53.403294117647064</v>
      </c>
      <c r="AK108" s="81">
        <f t="shared" si="35"/>
        <v>41.397902416780674</v>
      </c>
      <c r="AL108" s="81">
        <f t="shared" si="46"/>
        <v>28.403294117647064</v>
      </c>
      <c r="AM108" s="83">
        <f t="shared" si="43"/>
        <v>0.17647058823529413</v>
      </c>
      <c r="AN108" s="83">
        <f t="shared" si="44"/>
        <v>0.15</v>
      </c>
      <c r="AO108" s="83">
        <f t="shared" si="41"/>
        <v>0.33987999999999996</v>
      </c>
      <c r="AP108" s="83">
        <f>0.33988*(AH108-AM108)+AM108</f>
        <v>1.1361317647058824</v>
      </c>
      <c r="AQ108" s="83">
        <f t="shared" si="30"/>
        <v>0.5318640841719392</v>
      </c>
      <c r="AR108" s="77" t="s">
        <v>85</v>
      </c>
    </row>
    <row r="109" spans="1:44" ht="15" hidden="1" customHeight="1" x14ac:dyDescent="0.25">
      <c r="A109" s="76">
        <v>108</v>
      </c>
      <c r="B109" s="76">
        <v>1995</v>
      </c>
      <c r="C109" s="77" t="s">
        <v>77</v>
      </c>
      <c r="D109" s="76">
        <v>9</v>
      </c>
      <c r="E109" s="78">
        <v>9</v>
      </c>
      <c r="F109" s="79">
        <v>0.05</v>
      </c>
      <c r="G109" s="80">
        <v>22</v>
      </c>
      <c r="H109" s="80">
        <v>0</v>
      </c>
      <c r="I109" s="78">
        <v>170</v>
      </c>
      <c r="J109" s="81">
        <v>0.87390000000000001</v>
      </c>
      <c r="K109" s="77" t="s">
        <v>306</v>
      </c>
      <c r="L109" s="77" t="s">
        <v>305</v>
      </c>
      <c r="M109" s="77" t="s">
        <v>294</v>
      </c>
      <c r="N109" s="77">
        <v>25</v>
      </c>
      <c r="O109" s="77">
        <v>60</v>
      </c>
      <c r="P109" s="78"/>
      <c r="Q109" s="81">
        <v>39</v>
      </c>
      <c r="R109" s="82"/>
      <c r="S109" s="82">
        <v>1.4319647043356619E-5</v>
      </c>
      <c r="T109" s="82">
        <v>250000000</v>
      </c>
      <c r="U109" s="78">
        <v>2883</v>
      </c>
      <c r="V109" s="82">
        <v>1.7919999999999998E-2</v>
      </c>
      <c r="W109" s="82">
        <v>2.3040000000000001E-2</v>
      </c>
      <c r="X109" s="82">
        <v>0.54900000000000004</v>
      </c>
      <c r="Y109" s="78">
        <v>29.6</v>
      </c>
      <c r="Z109" s="78">
        <v>1075</v>
      </c>
      <c r="AA109" s="78">
        <f t="shared" si="45"/>
        <v>40</v>
      </c>
      <c r="AB109" s="81">
        <f t="shared" ref="AB109:AB140" si="47">POWER(3/(4*PI())*AE109/AA109,1/3)</f>
        <v>0.82189116447904176</v>
      </c>
      <c r="AC109" s="81">
        <f t="shared" si="32"/>
        <v>25</v>
      </c>
      <c r="AD109" s="81">
        <v>100</v>
      </c>
      <c r="AE109" s="81">
        <f t="shared" si="42"/>
        <v>93.023255813953483</v>
      </c>
      <c r="AF109" s="81">
        <f t="shared" si="40"/>
        <v>75</v>
      </c>
      <c r="AG109" s="83">
        <v>1</v>
      </c>
      <c r="AH109" s="83">
        <v>3</v>
      </c>
      <c r="AI109" s="83">
        <f t="shared" si="39"/>
        <v>0.75</v>
      </c>
      <c r="AJ109" s="81">
        <f t="shared" si="34"/>
        <v>57.386588235294113</v>
      </c>
      <c r="AK109" s="81">
        <f t="shared" si="35"/>
        <v>44.485727314181482</v>
      </c>
      <c r="AL109" s="81">
        <f t="shared" si="46"/>
        <v>32.386588235294113</v>
      </c>
      <c r="AM109" s="83">
        <f t="shared" si="43"/>
        <v>0.17647058823529413</v>
      </c>
      <c r="AN109" s="83">
        <f t="shared" si="44"/>
        <v>0.15</v>
      </c>
      <c r="AO109" s="83">
        <f t="shared" si="41"/>
        <v>0.39631000000000005</v>
      </c>
      <c r="AP109" s="83">
        <f>0.39631*(AH109-AM109)+AM109</f>
        <v>1.2954635294117649</v>
      </c>
      <c r="AQ109" s="83">
        <f t="shared" si="30"/>
        <v>0.56435814066004353</v>
      </c>
      <c r="AR109" s="77" t="s">
        <v>80</v>
      </c>
    </row>
    <row r="110" spans="1:44" ht="15" customHeight="1" x14ac:dyDescent="0.25">
      <c r="A110" s="1">
        <v>109</v>
      </c>
      <c r="B110" s="1">
        <v>1995</v>
      </c>
      <c r="C110" s="28" t="s">
        <v>77</v>
      </c>
      <c r="D110" s="1">
        <v>10</v>
      </c>
      <c r="E110" s="8">
        <v>9</v>
      </c>
      <c r="F110" s="79">
        <v>0.05</v>
      </c>
      <c r="G110" s="49">
        <v>22</v>
      </c>
      <c r="H110" s="49">
        <v>0</v>
      </c>
      <c r="I110" s="8">
        <v>165</v>
      </c>
      <c r="J110" s="51">
        <v>1.7175</v>
      </c>
      <c r="K110" s="28" t="s">
        <v>306</v>
      </c>
      <c r="L110" s="28" t="s">
        <v>305</v>
      </c>
      <c r="M110" s="28" t="s">
        <v>289</v>
      </c>
      <c r="N110" s="28">
        <v>100</v>
      </c>
      <c r="O110" s="28">
        <v>30</v>
      </c>
      <c r="P110" s="8"/>
      <c r="Q110" s="51">
        <v>49</v>
      </c>
      <c r="R110" s="9"/>
      <c r="S110" s="9">
        <v>1.4319647043356619E-5</v>
      </c>
      <c r="T110" s="9">
        <v>250000000</v>
      </c>
      <c r="U110" s="8">
        <v>2883</v>
      </c>
      <c r="V110" s="9">
        <v>1.7919999999999998E-2</v>
      </c>
      <c r="W110" s="9">
        <v>2.3040000000000001E-2</v>
      </c>
      <c r="X110" s="9">
        <v>0.54900000000000004</v>
      </c>
      <c r="Y110" s="8">
        <v>29.6</v>
      </c>
      <c r="Z110" s="8">
        <v>1075</v>
      </c>
      <c r="AA110" s="8">
        <f t="shared" si="45"/>
        <v>40</v>
      </c>
      <c r="AB110" s="51">
        <f t="shared" si="47"/>
        <v>0.82189116447904176</v>
      </c>
      <c r="AC110" s="51">
        <f t="shared" si="32"/>
        <v>25</v>
      </c>
      <c r="AD110" s="51">
        <v>100</v>
      </c>
      <c r="AE110" s="51">
        <f t="shared" si="42"/>
        <v>93.023255813953483</v>
      </c>
      <c r="AF110" s="51">
        <f t="shared" si="40"/>
        <v>75</v>
      </c>
      <c r="AG110" s="52">
        <v>1</v>
      </c>
      <c r="AH110" s="52">
        <v>3</v>
      </c>
      <c r="AI110" s="52">
        <f t="shared" si="39"/>
        <v>0.75</v>
      </c>
      <c r="AJ110" s="51">
        <f t="shared" si="34"/>
        <v>49.550588235294128</v>
      </c>
      <c r="AK110" s="51">
        <f t="shared" si="35"/>
        <v>38.411308709530338</v>
      </c>
      <c r="AL110" s="51">
        <f t="shared" si="46"/>
        <v>24.550588235294125</v>
      </c>
      <c r="AM110" s="52">
        <f t="shared" si="43"/>
        <v>0.17647058823529413</v>
      </c>
      <c r="AN110" s="52">
        <f t="shared" si="44"/>
        <v>0.15</v>
      </c>
      <c r="AO110" s="52">
        <f t="shared" si="41"/>
        <v>0.2853</v>
      </c>
      <c r="AP110" s="52">
        <f>0.2853*(AH110-AM110)+AM110</f>
        <v>0.98202352941176474</v>
      </c>
      <c r="AQ110" s="52">
        <f t="shared" si="30"/>
        <v>0.49546512180065533</v>
      </c>
      <c r="AR110" s="28" t="s">
        <v>86</v>
      </c>
    </row>
    <row r="111" spans="1:44" ht="15" customHeight="1" x14ac:dyDescent="0.25">
      <c r="A111" s="3">
        <v>110</v>
      </c>
      <c r="B111" s="3">
        <v>1995</v>
      </c>
      <c r="C111" s="27" t="s">
        <v>87</v>
      </c>
      <c r="D111" s="3">
        <v>1</v>
      </c>
      <c r="E111" s="11">
        <v>38</v>
      </c>
      <c r="F111" s="32">
        <v>2.1</v>
      </c>
      <c r="G111" s="54">
        <v>50</v>
      </c>
      <c r="H111" s="54">
        <v>11</v>
      </c>
      <c r="I111" s="11">
        <v>19</v>
      </c>
      <c r="J111" s="47">
        <v>3.8600000000000002E-2</v>
      </c>
      <c r="K111" s="27" t="s">
        <v>306</v>
      </c>
      <c r="L111" s="27" t="s">
        <v>36</v>
      </c>
      <c r="M111" s="27" t="s">
        <v>289</v>
      </c>
      <c r="N111" s="27">
        <v>25</v>
      </c>
      <c r="O111" s="27">
        <v>180</v>
      </c>
      <c r="P111" s="87"/>
      <c r="Q111" s="47">
        <v>51</v>
      </c>
      <c r="R111" s="4"/>
      <c r="S111" s="4">
        <v>4.7048886406179653E-4</v>
      </c>
      <c r="T111" s="4">
        <v>750000000</v>
      </c>
      <c r="U111" s="11">
        <v>2383</v>
      </c>
      <c r="V111" s="4">
        <v>1.7919999999999998E-2</v>
      </c>
      <c r="W111" s="4">
        <v>2.3040000000000001E-2</v>
      </c>
      <c r="X111" s="4">
        <v>0.54900000000000004</v>
      </c>
      <c r="Y111" s="11">
        <v>29.6</v>
      </c>
      <c r="Z111" s="11">
        <v>1075</v>
      </c>
      <c r="AA111" s="11">
        <f t="shared" si="45"/>
        <v>400</v>
      </c>
      <c r="AB111" s="47">
        <f t="shared" si="47"/>
        <v>0.82189116447904176</v>
      </c>
      <c r="AC111" s="47">
        <f t="shared" si="32"/>
        <v>207.90020790020799</v>
      </c>
      <c r="AD111" s="47">
        <v>1000</v>
      </c>
      <c r="AE111" s="47">
        <f t="shared" si="42"/>
        <v>930.23255813953483</v>
      </c>
      <c r="AF111" s="47">
        <f t="shared" si="40"/>
        <v>792.09979209979201</v>
      </c>
      <c r="AG111" s="53">
        <v>1</v>
      </c>
      <c r="AH111" s="53">
        <v>3.81</v>
      </c>
      <c r="AI111" s="53">
        <f t="shared" si="39"/>
        <v>0.79209979209979198</v>
      </c>
      <c r="AJ111" s="47">
        <f t="shared" si="34"/>
        <v>303.83540540540554</v>
      </c>
      <c r="AK111" s="47">
        <f t="shared" si="35"/>
        <v>235.53132201969422</v>
      </c>
      <c r="AL111" s="47">
        <f t="shared" si="46"/>
        <v>95.93519750519755</v>
      </c>
      <c r="AM111" s="53">
        <f>AN111/(1-AN111)</f>
        <v>0.17647058823529413</v>
      </c>
      <c r="AN111" s="53">
        <v>0.15</v>
      </c>
      <c r="AO111" s="53">
        <v>7.843E-2</v>
      </c>
      <c r="AP111" s="53">
        <f>AO111*(AH111-AM111)+AM111</f>
        <v>0.46144830000000003</v>
      </c>
      <c r="AQ111" s="53">
        <f t="shared" si="30"/>
        <v>0.31574726249296675</v>
      </c>
      <c r="AR111" s="27" t="s">
        <v>325</v>
      </c>
    </row>
    <row r="112" spans="1:44" ht="15" hidden="1" customHeight="1" x14ac:dyDescent="0.25">
      <c r="A112" s="76">
        <v>111</v>
      </c>
      <c r="B112" s="76">
        <v>1995</v>
      </c>
      <c r="C112" s="77" t="s">
        <v>87</v>
      </c>
      <c r="D112" s="76">
        <v>2</v>
      </c>
      <c r="E112" s="78">
        <v>18</v>
      </c>
      <c r="F112" s="73">
        <v>0.5</v>
      </c>
      <c r="G112" s="56">
        <v>50</v>
      </c>
      <c r="H112" s="56">
        <v>11</v>
      </c>
      <c r="I112" s="78">
        <v>9</v>
      </c>
      <c r="J112" s="81">
        <v>4.5999999999999999E-3</v>
      </c>
      <c r="K112" s="77" t="s">
        <v>306</v>
      </c>
      <c r="L112" s="77" t="s">
        <v>71</v>
      </c>
      <c r="M112" s="77" t="s">
        <v>294</v>
      </c>
      <c r="N112" s="77">
        <v>25</v>
      </c>
      <c r="O112" s="77">
        <v>180</v>
      </c>
      <c r="P112" s="88" t="s">
        <v>379</v>
      </c>
      <c r="Q112" s="81">
        <v>162</v>
      </c>
      <c r="R112" s="82"/>
      <c r="S112" s="82">
        <v>4.7048886406179653E-4</v>
      </c>
      <c r="T112" s="82">
        <v>750000000</v>
      </c>
      <c r="U112" s="78">
        <v>2383</v>
      </c>
      <c r="V112" s="82">
        <v>1.7919999999999998E-2</v>
      </c>
      <c r="W112" s="82">
        <v>2.3040000000000001E-2</v>
      </c>
      <c r="X112" s="82">
        <v>0.54900000000000004</v>
      </c>
      <c r="Y112" s="78">
        <v>29.6</v>
      </c>
      <c r="Z112" s="78">
        <v>1075</v>
      </c>
      <c r="AA112" s="78">
        <f t="shared" si="45"/>
        <v>400</v>
      </c>
      <c r="AB112" s="81">
        <f t="shared" si="47"/>
        <v>0.82189116447904176</v>
      </c>
      <c r="AC112" s="81">
        <f t="shared" si="32"/>
        <v>207.90020790020799</v>
      </c>
      <c r="AD112" s="81">
        <v>1000</v>
      </c>
      <c r="AE112" s="81">
        <f t="shared" si="42"/>
        <v>930.23255813953483</v>
      </c>
      <c r="AF112" s="81">
        <f t="shared" si="40"/>
        <v>792.09979209979201</v>
      </c>
      <c r="AG112" s="83">
        <v>1</v>
      </c>
      <c r="AH112" s="83">
        <v>3.81</v>
      </c>
      <c r="AI112" s="83">
        <f t="shared" si="39"/>
        <v>0.79209979209979198</v>
      </c>
      <c r="AJ112" s="81">
        <f t="shared" si="34"/>
        <v>282.17775712363959</v>
      </c>
      <c r="AK112" s="81">
        <f t="shared" si="35"/>
        <v>218.74244738266634</v>
      </c>
      <c r="AL112" s="81">
        <f t="shared" si="46"/>
        <v>74.277549223431606</v>
      </c>
      <c r="AM112" s="83">
        <f>AN112/(1-AN112)</f>
        <v>0.17647058823529413</v>
      </c>
      <c r="AN112" s="83">
        <v>0.15</v>
      </c>
      <c r="AO112" s="83">
        <v>4.9759999999999999E-2</v>
      </c>
      <c r="AP112" s="83">
        <f>AO112*(AH112-AM112)+AM112</f>
        <v>0.35727501176470589</v>
      </c>
      <c r="AQ112" s="83">
        <f t="shared" si="30"/>
        <v>0.2632296392904066</v>
      </c>
      <c r="AR112" s="77" t="s">
        <v>330</v>
      </c>
    </row>
    <row r="113" spans="1:44" ht="15" customHeight="1" x14ac:dyDescent="0.25">
      <c r="A113" s="1">
        <v>112</v>
      </c>
      <c r="B113" s="1">
        <v>1995</v>
      </c>
      <c r="C113" s="28" t="s">
        <v>87</v>
      </c>
      <c r="D113" s="1">
        <v>3</v>
      </c>
      <c r="E113" s="8">
        <v>7</v>
      </c>
      <c r="F113" s="33">
        <v>2</v>
      </c>
      <c r="G113" s="57">
        <v>60</v>
      </c>
      <c r="H113" s="57">
        <v>7</v>
      </c>
      <c r="I113" s="8">
        <v>12</v>
      </c>
      <c r="J113" s="51">
        <v>2.29E-2</v>
      </c>
      <c r="K113" s="28" t="s">
        <v>306</v>
      </c>
      <c r="L113" s="28" t="s">
        <v>36</v>
      </c>
      <c r="M113" s="28" t="s">
        <v>289</v>
      </c>
      <c r="N113" s="28">
        <v>25</v>
      </c>
      <c r="O113" s="28">
        <v>180</v>
      </c>
      <c r="P113" s="89"/>
      <c r="Q113" s="51">
        <v>45</v>
      </c>
      <c r="R113" s="9"/>
      <c r="S113" s="9">
        <v>5.8704945776620122E-4</v>
      </c>
      <c r="T113" s="9">
        <v>750000000</v>
      </c>
      <c r="U113" s="8">
        <v>2383</v>
      </c>
      <c r="V113" s="9">
        <v>1.7919999999999998E-2</v>
      </c>
      <c r="W113" s="9">
        <v>2.3040000000000001E-2</v>
      </c>
      <c r="X113" s="9">
        <v>0.54900000000000004</v>
      </c>
      <c r="Y113" s="8">
        <v>29.6</v>
      </c>
      <c r="Z113" s="8">
        <v>1075</v>
      </c>
      <c r="AA113" s="8">
        <f t="shared" si="45"/>
        <v>400</v>
      </c>
      <c r="AB113" s="51">
        <f t="shared" si="47"/>
        <v>0.82189116447904176</v>
      </c>
      <c r="AC113" s="51">
        <f t="shared" si="32"/>
        <v>207.90020790020799</v>
      </c>
      <c r="AD113" s="51">
        <v>1000</v>
      </c>
      <c r="AE113" s="51">
        <f t="shared" si="42"/>
        <v>930.23255813953483</v>
      </c>
      <c r="AF113" s="51">
        <f t="shared" si="40"/>
        <v>792.09979209979201</v>
      </c>
      <c r="AG113" s="52">
        <v>1</v>
      </c>
      <c r="AH113" s="52">
        <v>3.81</v>
      </c>
      <c r="AI113" s="52">
        <f t="shared" si="39"/>
        <v>0.79209979209979198</v>
      </c>
      <c r="AJ113" s="51">
        <f t="shared" si="34"/>
        <v>291.87724104194706</v>
      </c>
      <c r="AK113" s="51">
        <f t="shared" si="35"/>
        <v>226.26142716430004</v>
      </c>
      <c r="AL113" s="51">
        <f t="shared" si="46"/>
        <v>83.977033141739071</v>
      </c>
      <c r="AM113" s="52">
        <f>AN113/(1-AN113)</f>
        <v>0.17647058823529413</v>
      </c>
      <c r="AN113" s="52">
        <v>0.15</v>
      </c>
      <c r="AO113" s="52">
        <v>6.2600000000000003E-2</v>
      </c>
      <c r="AP113" s="52">
        <f>AO113*(AH113-AM113)+AM113</f>
        <v>0.40392952941176474</v>
      </c>
      <c r="AQ113" s="52">
        <f t="shared" si="30"/>
        <v>0.28771353614950174</v>
      </c>
      <c r="AR113" s="28" t="s">
        <v>325</v>
      </c>
    </row>
    <row r="114" spans="1:44" ht="15" customHeight="1" x14ac:dyDescent="0.25">
      <c r="A114" s="3">
        <v>113</v>
      </c>
      <c r="B114" s="3">
        <v>1995</v>
      </c>
      <c r="C114" s="27" t="s">
        <v>70</v>
      </c>
      <c r="D114" s="3">
        <v>1</v>
      </c>
      <c r="E114" s="11">
        <v>12</v>
      </c>
      <c r="F114" s="32">
        <v>2</v>
      </c>
      <c r="G114" s="58">
        <v>30</v>
      </c>
      <c r="H114" s="58">
        <v>50</v>
      </c>
      <c r="I114" s="11">
        <v>11</v>
      </c>
      <c r="J114" s="47">
        <v>1.7299999999999999E-2</v>
      </c>
      <c r="K114" s="27" t="s">
        <v>306</v>
      </c>
      <c r="L114" s="27" t="s">
        <v>385</v>
      </c>
      <c r="M114" s="27" t="s">
        <v>289</v>
      </c>
      <c r="N114" s="27">
        <v>25</v>
      </c>
      <c r="O114" s="27">
        <v>180</v>
      </c>
      <c r="P114" s="87"/>
      <c r="Q114" s="47">
        <v>681</v>
      </c>
      <c r="R114" s="4"/>
      <c r="S114" s="4">
        <v>0.52987562589232373</v>
      </c>
      <c r="T114" s="4">
        <v>1950000000</v>
      </c>
      <c r="U114" s="11">
        <v>395</v>
      </c>
      <c r="V114" s="4">
        <v>1.7919999999999998E-2</v>
      </c>
      <c r="W114" s="4">
        <v>2.3040000000000001E-2</v>
      </c>
      <c r="X114" s="4">
        <v>0.54900000000000004</v>
      </c>
      <c r="Y114" s="11">
        <v>29.6</v>
      </c>
      <c r="Z114" s="11">
        <v>1075</v>
      </c>
      <c r="AA114" s="11">
        <f t="shared" si="45"/>
        <v>40</v>
      </c>
      <c r="AB114" s="47">
        <f t="shared" si="47"/>
        <v>0.82189116447904176</v>
      </c>
      <c r="AC114" s="47">
        <f t="shared" si="32"/>
        <v>22.026431718061673</v>
      </c>
      <c r="AD114" s="47">
        <v>100</v>
      </c>
      <c r="AE114" s="47">
        <f t="shared" ref="AE114:AE129" si="48">AD114/1075*1000</f>
        <v>93.023255813953483</v>
      </c>
      <c r="AF114" s="47">
        <f t="shared" si="40"/>
        <v>77.973568281938327</v>
      </c>
      <c r="AG114" s="53">
        <v>1</v>
      </c>
      <c r="AH114" s="53">
        <v>3.54</v>
      </c>
      <c r="AI114" s="53">
        <f t="shared" si="39"/>
        <v>0.77973568281938321</v>
      </c>
      <c r="AJ114" s="47">
        <f t="shared" si="34"/>
        <v>26.429515418502202</v>
      </c>
      <c r="AK114" s="47">
        <f t="shared" si="35"/>
        <v>20.48799644845132</v>
      </c>
      <c r="AL114" s="47">
        <f t="shared" si="46"/>
        <v>4.4030837004405292</v>
      </c>
      <c r="AM114" s="53">
        <v>0.18</v>
      </c>
      <c r="AN114" s="53">
        <f t="shared" ref="AN114:AN129" si="49">AM114/(AM114+1)</f>
        <v>0.15254237288135594</v>
      </c>
      <c r="AO114" s="53">
        <f t="shared" ref="AO114:AO120" si="50">(AP114-AM114)/(AH114-AM114)</f>
        <v>5.9226190476190481E-3</v>
      </c>
      <c r="AP114" s="53">
        <v>0.19989999999999999</v>
      </c>
      <c r="AQ114" s="53">
        <f t="shared" si="30"/>
        <v>0.1665972164347029</v>
      </c>
      <c r="AR114" s="27" t="s">
        <v>331</v>
      </c>
    </row>
    <row r="115" spans="1:44" ht="15" customHeight="1" x14ac:dyDescent="0.25">
      <c r="A115" s="76">
        <v>114</v>
      </c>
      <c r="B115" s="76">
        <v>1995</v>
      </c>
      <c r="C115" s="77" t="s">
        <v>70</v>
      </c>
      <c r="D115" s="76">
        <v>2</v>
      </c>
      <c r="E115" s="78">
        <v>9</v>
      </c>
      <c r="F115" s="73">
        <v>2</v>
      </c>
      <c r="G115" s="75">
        <v>40</v>
      </c>
      <c r="H115" s="75">
        <v>28</v>
      </c>
      <c r="I115" s="78">
        <v>8</v>
      </c>
      <c r="J115" s="81">
        <v>2.5999999999999999E-3</v>
      </c>
      <c r="K115" s="77" t="s">
        <v>306</v>
      </c>
      <c r="L115" s="77" t="s">
        <v>385</v>
      </c>
      <c r="M115" s="77" t="s">
        <v>289</v>
      </c>
      <c r="N115" s="77">
        <v>25</v>
      </c>
      <c r="O115" s="77">
        <v>180</v>
      </c>
      <c r="P115" s="88"/>
      <c r="Q115" s="81">
        <v>272</v>
      </c>
      <c r="R115" s="82"/>
      <c r="S115" s="82">
        <v>0.55238683744680517</v>
      </c>
      <c r="T115" s="82">
        <v>1950000000</v>
      </c>
      <c r="U115" s="78">
        <v>395</v>
      </c>
      <c r="V115" s="82">
        <v>1.7919999999999998E-2</v>
      </c>
      <c r="W115" s="82">
        <v>2.3040000000000001E-2</v>
      </c>
      <c r="X115" s="82">
        <v>0.54900000000000004</v>
      </c>
      <c r="Y115" s="78">
        <v>29.6</v>
      </c>
      <c r="Z115" s="78">
        <v>1075</v>
      </c>
      <c r="AA115" s="78">
        <f t="shared" si="45"/>
        <v>40</v>
      </c>
      <c r="AB115" s="81">
        <f t="shared" si="47"/>
        <v>0.82189116447904176</v>
      </c>
      <c r="AC115" s="81">
        <f t="shared" si="32"/>
        <v>22.026431718061673</v>
      </c>
      <c r="AD115" s="81">
        <v>100</v>
      </c>
      <c r="AE115" s="81">
        <f t="shared" si="48"/>
        <v>93.023255813953483</v>
      </c>
      <c r="AF115" s="81">
        <f t="shared" si="40"/>
        <v>77.973568281938327</v>
      </c>
      <c r="AG115" s="83">
        <v>1</v>
      </c>
      <c r="AH115" s="83">
        <v>3.54</v>
      </c>
      <c r="AI115" s="83">
        <f t="shared" si="39"/>
        <v>0.77973568281938321</v>
      </c>
      <c r="AJ115" s="81">
        <f t="shared" si="34"/>
        <v>26.253303964757709</v>
      </c>
      <c r="AK115" s="81">
        <f t="shared" si="35"/>
        <v>20.351398422292796</v>
      </c>
      <c r="AL115" s="81">
        <f t="shared" si="46"/>
        <v>4.2268722466960353</v>
      </c>
      <c r="AM115" s="83">
        <v>0.18</v>
      </c>
      <c r="AN115" s="83">
        <f t="shared" si="49"/>
        <v>0.15254237288135594</v>
      </c>
      <c r="AO115" s="83">
        <f t="shared" si="50"/>
        <v>3.5416666666666652E-3</v>
      </c>
      <c r="AP115" s="83">
        <v>0.19189999999999999</v>
      </c>
      <c r="AQ115" s="83">
        <f t="shared" si="30"/>
        <v>0.16100343988589647</v>
      </c>
      <c r="AR115" s="77" t="s">
        <v>331</v>
      </c>
    </row>
    <row r="116" spans="1:44" ht="15" customHeight="1" x14ac:dyDescent="0.25">
      <c r="A116" s="76">
        <v>115</v>
      </c>
      <c r="B116" s="76">
        <v>1995</v>
      </c>
      <c r="C116" s="77" t="s">
        <v>70</v>
      </c>
      <c r="D116" s="76">
        <v>3</v>
      </c>
      <c r="E116" s="78">
        <v>6</v>
      </c>
      <c r="F116" s="73">
        <v>2</v>
      </c>
      <c r="G116" s="75">
        <v>50</v>
      </c>
      <c r="H116" s="75">
        <v>17</v>
      </c>
      <c r="I116" s="78">
        <v>5</v>
      </c>
      <c r="J116" s="81">
        <v>3.8E-3</v>
      </c>
      <c r="K116" s="77" t="s">
        <v>306</v>
      </c>
      <c r="L116" s="77" t="s">
        <v>385</v>
      </c>
      <c r="M116" s="77" t="s">
        <v>289</v>
      </c>
      <c r="N116" s="77">
        <v>25</v>
      </c>
      <c r="O116" s="77">
        <v>180</v>
      </c>
      <c r="P116" s="88"/>
      <c r="Q116" s="81">
        <v>175</v>
      </c>
      <c r="R116" s="82"/>
      <c r="S116" s="82">
        <v>0.57437351682902849</v>
      </c>
      <c r="T116" s="82">
        <v>1950000000</v>
      </c>
      <c r="U116" s="78">
        <v>395</v>
      </c>
      <c r="V116" s="82">
        <v>1.7919999999999998E-2</v>
      </c>
      <c r="W116" s="82">
        <v>2.3040000000000001E-2</v>
      </c>
      <c r="X116" s="82">
        <v>0.54900000000000004</v>
      </c>
      <c r="Y116" s="78">
        <v>29.6</v>
      </c>
      <c r="Z116" s="78">
        <v>1075</v>
      </c>
      <c r="AA116" s="78">
        <f t="shared" si="45"/>
        <v>40</v>
      </c>
      <c r="AB116" s="81">
        <f t="shared" si="47"/>
        <v>0.82189116447904176</v>
      </c>
      <c r="AC116" s="81">
        <f t="shared" si="32"/>
        <v>22.026431718061673</v>
      </c>
      <c r="AD116" s="81">
        <v>100</v>
      </c>
      <c r="AE116" s="81">
        <f t="shared" si="48"/>
        <v>93.023255813953483</v>
      </c>
      <c r="AF116" s="81">
        <f t="shared" si="40"/>
        <v>77.973568281938327</v>
      </c>
      <c r="AG116" s="83">
        <v>1</v>
      </c>
      <c r="AH116" s="83">
        <v>3.54</v>
      </c>
      <c r="AI116" s="83">
        <f t="shared" si="39"/>
        <v>0.77973568281938321</v>
      </c>
      <c r="AJ116" s="81">
        <f t="shared" si="34"/>
        <v>26.594713656387661</v>
      </c>
      <c r="AK116" s="81">
        <f t="shared" si="35"/>
        <v>20.616057097974931</v>
      </c>
      <c r="AL116" s="81">
        <f t="shared" si="46"/>
        <v>4.5682819383259901</v>
      </c>
      <c r="AM116" s="83">
        <v>0.18</v>
      </c>
      <c r="AN116" s="83">
        <f t="shared" si="49"/>
        <v>0.15254237288135594</v>
      </c>
      <c r="AO116" s="83">
        <f t="shared" si="50"/>
        <v>8.1547619047619077E-3</v>
      </c>
      <c r="AP116" s="83">
        <v>0.2074</v>
      </c>
      <c r="AQ116" s="83">
        <f t="shared" si="30"/>
        <v>0.17177405996355805</v>
      </c>
      <c r="AR116" s="77" t="s">
        <v>331</v>
      </c>
    </row>
    <row r="117" spans="1:44" ht="15" customHeight="1" x14ac:dyDescent="0.25">
      <c r="A117" s="76">
        <v>116</v>
      </c>
      <c r="B117" s="76">
        <v>1995</v>
      </c>
      <c r="C117" s="77" t="s">
        <v>70</v>
      </c>
      <c r="D117" s="76">
        <v>4</v>
      </c>
      <c r="E117" s="78">
        <v>5</v>
      </c>
      <c r="F117" s="73">
        <v>2</v>
      </c>
      <c r="G117" s="75">
        <v>60</v>
      </c>
      <c r="H117" s="75">
        <v>10</v>
      </c>
      <c r="I117" s="78">
        <v>4</v>
      </c>
      <c r="J117" s="81">
        <v>6.4000000000000003E-3</v>
      </c>
      <c r="K117" s="77" t="s">
        <v>306</v>
      </c>
      <c r="L117" s="77" t="s">
        <v>385</v>
      </c>
      <c r="M117" s="77" t="s">
        <v>289</v>
      </c>
      <c r="N117" s="77">
        <v>25</v>
      </c>
      <c r="O117" s="77">
        <v>180</v>
      </c>
      <c r="P117" s="88"/>
      <c r="Q117" s="81">
        <v>165</v>
      </c>
      <c r="R117" s="82"/>
      <c r="S117" s="82">
        <v>0.59583759061764952</v>
      </c>
      <c r="T117" s="82">
        <v>1950000000</v>
      </c>
      <c r="U117" s="78">
        <v>395</v>
      </c>
      <c r="V117" s="82">
        <v>1.7919999999999998E-2</v>
      </c>
      <c r="W117" s="82">
        <v>2.3040000000000001E-2</v>
      </c>
      <c r="X117" s="82">
        <v>0.54900000000000004</v>
      </c>
      <c r="Y117" s="78">
        <v>29.6</v>
      </c>
      <c r="Z117" s="78">
        <v>1075</v>
      </c>
      <c r="AA117" s="78">
        <f t="shared" si="45"/>
        <v>40</v>
      </c>
      <c r="AB117" s="81">
        <f t="shared" si="47"/>
        <v>0.82189116447904176</v>
      </c>
      <c r="AC117" s="81">
        <f t="shared" si="32"/>
        <v>22.026431718061673</v>
      </c>
      <c r="AD117" s="81">
        <v>100</v>
      </c>
      <c r="AE117" s="81">
        <f t="shared" si="48"/>
        <v>93.023255813953483</v>
      </c>
      <c r="AF117" s="81">
        <f t="shared" si="40"/>
        <v>77.973568281938327</v>
      </c>
      <c r="AG117" s="83">
        <v>1</v>
      </c>
      <c r="AH117" s="83">
        <v>3.54</v>
      </c>
      <c r="AI117" s="83">
        <f t="shared" si="39"/>
        <v>0.77973568281938321</v>
      </c>
      <c r="AJ117" s="81">
        <f t="shared" si="34"/>
        <v>26.059471365638764</v>
      </c>
      <c r="AK117" s="81">
        <f t="shared" si="35"/>
        <v>20.201140593518421</v>
      </c>
      <c r="AL117" s="81">
        <f t="shared" si="46"/>
        <v>4.033039647577092</v>
      </c>
      <c r="AM117" s="83">
        <v>0.18</v>
      </c>
      <c r="AN117" s="83">
        <f t="shared" si="49"/>
        <v>0.15254237288135594</v>
      </c>
      <c r="AO117" s="83">
        <f t="shared" si="50"/>
        <v>9.2261904761905341E-4</v>
      </c>
      <c r="AP117" s="83">
        <v>0.18310000000000001</v>
      </c>
      <c r="AQ117" s="83">
        <f t="shared" si="30"/>
        <v>0.15476291099653453</v>
      </c>
      <c r="AR117" s="77" t="s">
        <v>331</v>
      </c>
    </row>
    <row r="118" spans="1:44" ht="15" customHeight="1" x14ac:dyDescent="0.25">
      <c r="A118" s="76">
        <v>117</v>
      </c>
      <c r="B118" s="76">
        <v>1995</v>
      </c>
      <c r="C118" s="77" t="s">
        <v>70</v>
      </c>
      <c r="D118" s="76">
        <v>5</v>
      </c>
      <c r="E118" s="78">
        <v>9</v>
      </c>
      <c r="F118" s="73">
        <v>2</v>
      </c>
      <c r="G118" s="75">
        <v>30</v>
      </c>
      <c r="H118" s="75">
        <v>50</v>
      </c>
      <c r="I118" s="78">
        <v>8</v>
      </c>
      <c r="J118" s="81">
        <v>1.03E-2</v>
      </c>
      <c r="K118" s="77" t="s">
        <v>306</v>
      </c>
      <c r="L118" s="77" t="s">
        <v>385</v>
      </c>
      <c r="M118" s="77" t="s">
        <v>289</v>
      </c>
      <c r="N118" s="77">
        <v>25</v>
      </c>
      <c r="O118" s="77">
        <v>180</v>
      </c>
      <c r="P118" s="88" t="s">
        <v>380</v>
      </c>
      <c r="Q118" s="81">
        <v>1080</v>
      </c>
      <c r="R118" s="82"/>
      <c r="S118" s="82">
        <v>0.52987562589232373</v>
      </c>
      <c r="T118" s="82">
        <v>1950000000</v>
      </c>
      <c r="U118" s="78">
        <v>395</v>
      </c>
      <c r="V118" s="82">
        <v>1.7919999999999998E-2</v>
      </c>
      <c r="W118" s="82">
        <v>2.3040000000000001E-2</v>
      </c>
      <c r="X118" s="82">
        <v>0.54900000000000004</v>
      </c>
      <c r="Y118" s="78">
        <v>29.6</v>
      </c>
      <c r="Z118" s="78">
        <v>1075</v>
      </c>
      <c r="AA118" s="78">
        <f t="shared" si="45"/>
        <v>40</v>
      </c>
      <c r="AB118" s="81">
        <f t="shared" si="47"/>
        <v>0.82189116447904176</v>
      </c>
      <c r="AC118" s="81">
        <f t="shared" si="32"/>
        <v>22.026431718061673</v>
      </c>
      <c r="AD118" s="81">
        <v>100</v>
      </c>
      <c r="AE118" s="81">
        <f t="shared" si="48"/>
        <v>93.023255813953483</v>
      </c>
      <c r="AF118" s="81">
        <f t="shared" si="40"/>
        <v>77.973568281938327</v>
      </c>
      <c r="AG118" s="83">
        <v>1</v>
      </c>
      <c r="AH118" s="83">
        <v>3.54</v>
      </c>
      <c r="AI118" s="83">
        <f t="shared" si="39"/>
        <v>0.77973568281938321</v>
      </c>
      <c r="AJ118" s="81">
        <f t="shared" si="34"/>
        <v>26.290748898678412</v>
      </c>
      <c r="AK118" s="81">
        <f t="shared" si="35"/>
        <v>20.380425502851484</v>
      </c>
      <c r="AL118" s="81">
        <f t="shared" si="46"/>
        <v>4.2643171806167395</v>
      </c>
      <c r="AM118" s="83">
        <v>0.18</v>
      </c>
      <c r="AN118" s="83">
        <f t="shared" si="49"/>
        <v>0.15254237288135594</v>
      </c>
      <c r="AO118" s="83">
        <f t="shared" si="50"/>
        <v>4.0476190476190482E-3</v>
      </c>
      <c r="AP118" s="83">
        <v>0.19359999999999999</v>
      </c>
      <c r="AQ118" s="83">
        <f t="shared" si="30"/>
        <v>0.16219839142091153</v>
      </c>
      <c r="AR118" s="77" t="s">
        <v>332</v>
      </c>
    </row>
    <row r="119" spans="1:44" ht="15" customHeight="1" x14ac:dyDescent="0.25">
      <c r="A119" s="76">
        <v>118</v>
      </c>
      <c r="B119" s="76">
        <v>1995</v>
      </c>
      <c r="C119" s="77" t="s">
        <v>70</v>
      </c>
      <c r="D119" s="76">
        <v>6</v>
      </c>
      <c r="E119" s="78">
        <v>7</v>
      </c>
      <c r="F119" s="73">
        <v>2</v>
      </c>
      <c r="G119" s="75">
        <v>30</v>
      </c>
      <c r="H119" s="75">
        <v>50</v>
      </c>
      <c r="I119" s="78">
        <v>6</v>
      </c>
      <c r="J119" s="81">
        <v>9.1999999999999998E-3</v>
      </c>
      <c r="K119" s="77" t="s">
        <v>306</v>
      </c>
      <c r="L119" s="77" t="s">
        <v>385</v>
      </c>
      <c r="M119" s="77" t="s">
        <v>289</v>
      </c>
      <c r="N119" s="77">
        <v>25</v>
      </c>
      <c r="O119" s="77">
        <v>180</v>
      </c>
      <c r="P119" s="88" t="s">
        <v>381</v>
      </c>
      <c r="Q119" s="81">
        <v>1375</v>
      </c>
      <c r="R119" s="82"/>
      <c r="S119" s="82">
        <v>0.52987562589232373</v>
      </c>
      <c r="T119" s="82">
        <v>1950000000</v>
      </c>
      <c r="U119" s="78">
        <v>395</v>
      </c>
      <c r="V119" s="82">
        <v>1.7919999999999998E-2</v>
      </c>
      <c r="W119" s="82">
        <v>2.3040000000000001E-2</v>
      </c>
      <c r="X119" s="82">
        <v>0.54900000000000004</v>
      </c>
      <c r="Y119" s="78">
        <v>29.6</v>
      </c>
      <c r="Z119" s="78">
        <v>1075</v>
      </c>
      <c r="AA119" s="78">
        <f t="shared" si="45"/>
        <v>40</v>
      </c>
      <c r="AB119" s="81">
        <f t="shared" si="47"/>
        <v>0.82189116447904176</v>
      </c>
      <c r="AC119" s="81">
        <f t="shared" si="32"/>
        <v>22.026431718061673</v>
      </c>
      <c r="AD119" s="81">
        <v>100</v>
      </c>
      <c r="AE119" s="81">
        <f t="shared" si="48"/>
        <v>93.023255813953483</v>
      </c>
      <c r="AF119" s="81">
        <f t="shared" si="40"/>
        <v>77.973568281938327</v>
      </c>
      <c r="AG119" s="83">
        <v>1</v>
      </c>
      <c r="AH119" s="83">
        <v>3.54</v>
      </c>
      <c r="AI119" s="83">
        <f t="shared" ref="AI119:AI141" si="51">AH119/(AH119+1)</f>
        <v>0.77973568281938321</v>
      </c>
      <c r="AJ119" s="81">
        <f t="shared" si="34"/>
        <v>26.196035242290744</v>
      </c>
      <c r="AK119" s="81">
        <f t="shared" si="35"/>
        <v>20.307004063791275</v>
      </c>
      <c r="AL119" s="81">
        <f t="shared" si="46"/>
        <v>4.1696035242290739</v>
      </c>
      <c r="AM119" s="83">
        <v>0.18</v>
      </c>
      <c r="AN119" s="83">
        <f t="shared" si="49"/>
        <v>0.15254237288135594</v>
      </c>
      <c r="AO119" s="83">
        <f t="shared" si="50"/>
        <v>2.767857142857144E-3</v>
      </c>
      <c r="AP119" s="83">
        <v>0.1893</v>
      </c>
      <c r="AQ119" s="83">
        <f t="shared" si="30"/>
        <v>0.15916925922811737</v>
      </c>
      <c r="AR119" s="77" t="s">
        <v>333</v>
      </c>
    </row>
    <row r="120" spans="1:44" ht="15" customHeight="1" x14ac:dyDescent="0.25">
      <c r="A120" s="76">
        <v>119</v>
      </c>
      <c r="B120" s="76">
        <v>1995</v>
      </c>
      <c r="C120" s="77" t="s">
        <v>70</v>
      </c>
      <c r="D120" s="76">
        <v>7</v>
      </c>
      <c r="E120" s="78">
        <v>12</v>
      </c>
      <c r="F120" s="73">
        <v>1</v>
      </c>
      <c r="G120" s="75">
        <v>30</v>
      </c>
      <c r="H120" s="75">
        <v>50</v>
      </c>
      <c r="I120" s="78">
        <v>11</v>
      </c>
      <c r="J120" s="81">
        <v>1.23E-2</v>
      </c>
      <c r="K120" s="77" t="s">
        <v>306</v>
      </c>
      <c r="L120" s="77" t="s">
        <v>385</v>
      </c>
      <c r="M120" s="77" t="s">
        <v>289</v>
      </c>
      <c r="N120" s="77">
        <v>25</v>
      </c>
      <c r="O120" s="77">
        <v>180</v>
      </c>
      <c r="P120" s="88"/>
      <c r="Q120" s="81">
        <v>975</v>
      </c>
      <c r="R120" s="82"/>
      <c r="S120" s="82">
        <v>0.52987562589232373</v>
      </c>
      <c r="T120" s="82">
        <v>1950000000</v>
      </c>
      <c r="U120" s="78">
        <v>395</v>
      </c>
      <c r="V120" s="82">
        <v>1.7919999999999998E-2</v>
      </c>
      <c r="W120" s="82">
        <v>2.3040000000000001E-2</v>
      </c>
      <c r="X120" s="82">
        <v>0.54900000000000004</v>
      </c>
      <c r="Y120" s="78">
        <v>29.6</v>
      </c>
      <c r="Z120" s="78">
        <v>1075</v>
      </c>
      <c r="AA120" s="78">
        <f t="shared" si="45"/>
        <v>40</v>
      </c>
      <c r="AB120" s="81">
        <f t="shared" si="47"/>
        <v>0.82189116447904176</v>
      </c>
      <c r="AC120" s="81">
        <f t="shared" si="32"/>
        <v>22.026431718061673</v>
      </c>
      <c r="AD120" s="81">
        <v>100</v>
      </c>
      <c r="AE120" s="81">
        <f t="shared" si="48"/>
        <v>93.023255813953483</v>
      </c>
      <c r="AF120" s="81">
        <f t="shared" si="40"/>
        <v>77.973568281938327</v>
      </c>
      <c r="AG120" s="83">
        <v>1</v>
      </c>
      <c r="AH120" s="83">
        <v>3.54</v>
      </c>
      <c r="AI120" s="83">
        <f t="shared" si="51"/>
        <v>0.77973568281938321</v>
      </c>
      <c r="AJ120" s="81">
        <f t="shared" si="34"/>
        <v>26.185022026431717</v>
      </c>
      <c r="AK120" s="81">
        <f t="shared" si="35"/>
        <v>20.29846668715637</v>
      </c>
      <c r="AL120" s="81">
        <f t="shared" si="46"/>
        <v>4.1585903083700435</v>
      </c>
      <c r="AM120" s="83">
        <v>0.18</v>
      </c>
      <c r="AN120" s="83">
        <f t="shared" si="49"/>
        <v>0.15254237288135594</v>
      </c>
      <c r="AO120" s="83">
        <f t="shared" si="50"/>
        <v>2.6190476190476198E-3</v>
      </c>
      <c r="AP120" s="83">
        <v>0.1888</v>
      </c>
      <c r="AQ120" s="83">
        <f t="shared" si="30"/>
        <v>0.15881561238223418</v>
      </c>
      <c r="AR120" s="77" t="s">
        <v>331</v>
      </c>
    </row>
    <row r="121" spans="1:44" ht="15" customHeight="1" x14ac:dyDescent="0.25">
      <c r="A121" s="1">
        <v>120</v>
      </c>
      <c r="B121" s="1">
        <v>1995</v>
      </c>
      <c r="C121" s="28" t="s">
        <v>70</v>
      </c>
      <c r="D121" s="1">
        <v>8</v>
      </c>
      <c r="E121" s="8">
        <v>5</v>
      </c>
      <c r="F121" s="33">
        <v>1</v>
      </c>
      <c r="G121" s="59">
        <v>50</v>
      </c>
      <c r="H121" s="59">
        <v>17</v>
      </c>
      <c r="I121" s="8">
        <v>4</v>
      </c>
      <c r="J121" s="51">
        <v>2.9999999999999997E-4</v>
      </c>
      <c r="K121" s="28" t="s">
        <v>306</v>
      </c>
      <c r="L121" s="28" t="s">
        <v>385</v>
      </c>
      <c r="M121" s="28" t="s">
        <v>289</v>
      </c>
      <c r="N121" s="28">
        <v>25</v>
      </c>
      <c r="O121" s="28">
        <v>180</v>
      </c>
      <c r="P121" s="89"/>
      <c r="Q121" s="51">
        <v>265</v>
      </c>
      <c r="R121" s="9"/>
      <c r="S121" s="9">
        <v>0.57437351682902849</v>
      </c>
      <c r="T121" s="9">
        <v>1950000000</v>
      </c>
      <c r="U121" s="8">
        <v>395</v>
      </c>
      <c r="V121" s="9">
        <v>1.7919999999999998E-2</v>
      </c>
      <c r="W121" s="9">
        <v>2.3040000000000001E-2</v>
      </c>
      <c r="X121" s="9">
        <v>0.54900000000000004</v>
      </c>
      <c r="Y121" s="8">
        <v>29.6</v>
      </c>
      <c r="Z121" s="8">
        <v>1075</v>
      </c>
      <c r="AA121" s="8">
        <f t="shared" si="45"/>
        <v>40</v>
      </c>
      <c r="AB121" s="51">
        <f t="shared" si="47"/>
        <v>0.82189116447904176</v>
      </c>
      <c r="AC121" s="51">
        <f t="shared" si="32"/>
        <v>22.026431718061673</v>
      </c>
      <c r="AD121" s="51">
        <v>100</v>
      </c>
      <c r="AE121" s="51">
        <f t="shared" si="48"/>
        <v>93.023255813953483</v>
      </c>
      <c r="AF121" s="51">
        <f t="shared" si="40"/>
        <v>77.973568281938327</v>
      </c>
      <c r="AG121" s="52">
        <v>1</v>
      </c>
      <c r="AH121" s="52">
        <v>3.54</v>
      </c>
      <c r="AI121" s="52">
        <f t="shared" si="51"/>
        <v>0.77973568281938321</v>
      </c>
      <c r="AJ121" s="51">
        <f t="shared" si="34"/>
        <v>25.7863436123348</v>
      </c>
      <c r="AK121" s="51">
        <f t="shared" si="35"/>
        <v>19.989413652972711</v>
      </c>
      <c r="AL121" s="51">
        <f t="shared" si="46"/>
        <v>3.7599118942731269</v>
      </c>
      <c r="AM121" s="52">
        <f>AP121</f>
        <v>0.17069999999999999</v>
      </c>
      <c r="AN121" s="52">
        <f t="shared" si="49"/>
        <v>0.14581019902622361</v>
      </c>
      <c r="AO121" s="52">
        <v>0</v>
      </c>
      <c r="AP121" s="52">
        <v>0.17069999999999999</v>
      </c>
      <c r="AQ121" s="52">
        <f t="shared" si="30"/>
        <v>0.14581019902622361</v>
      </c>
      <c r="AR121" s="28" t="s">
        <v>331</v>
      </c>
    </row>
    <row r="122" spans="1:44" ht="15" customHeight="1" x14ac:dyDescent="0.25">
      <c r="A122" s="3">
        <v>121</v>
      </c>
      <c r="B122" s="3">
        <v>1996</v>
      </c>
      <c r="C122" s="27" t="s">
        <v>88</v>
      </c>
      <c r="D122" s="3">
        <v>1</v>
      </c>
      <c r="E122" s="11">
        <v>21</v>
      </c>
      <c r="F122" s="30">
        <v>0.05</v>
      </c>
      <c r="G122" s="45">
        <v>34</v>
      </c>
      <c r="H122" s="45">
        <v>40</v>
      </c>
      <c r="I122" s="11">
        <v>176</v>
      </c>
      <c r="J122" s="47">
        <v>0.49359999999999998</v>
      </c>
      <c r="K122" s="27" t="s">
        <v>306</v>
      </c>
      <c r="L122" s="27" t="s">
        <v>305</v>
      </c>
      <c r="M122" s="27" t="s">
        <v>289</v>
      </c>
      <c r="N122" s="27">
        <v>25</v>
      </c>
      <c r="O122" s="27">
        <v>180</v>
      </c>
      <c r="P122" s="11"/>
      <c r="Q122" s="47">
        <v>21</v>
      </c>
      <c r="R122" s="4"/>
      <c r="S122" s="4">
        <v>7.130766817285335E-5</v>
      </c>
      <c r="T122" s="4">
        <v>850000000</v>
      </c>
      <c r="U122" s="11">
        <v>2883</v>
      </c>
      <c r="V122" s="4">
        <v>1.7919999999999998E-2</v>
      </c>
      <c r="W122" s="4">
        <v>2.3040000000000001E-2</v>
      </c>
      <c r="X122" s="4">
        <v>0.54900000000000004</v>
      </c>
      <c r="Y122" s="11">
        <v>29.6</v>
      </c>
      <c r="Z122" s="11">
        <v>1075</v>
      </c>
      <c r="AA122" s="11">
        <f>INT(AD122/2.5)</f>
        <v>72</v>
      </c>
      <c r="AB122" s="47">
        <f t="shared" si="47"/>
        <v>0.82385141416435559</v>
      </c>
      <c r="AC122" s="47">
        <f t="shared" si="32"/>
        <v>43.358462014999986</v>
      </c>
      <c r="AD122" s="47">
        <v>181.291</v>
      </c>
      <c r="AE122" s="47">
        <f t="shared" si="48"/>
        <v>168.6427906976744</v>
      </c>
      <c r="AF122" s="47">
        <f t="shared" si="40"/>
        <v>137.93253798500001</v>
      </c>
      <c r="AG122" s="53">
        <v>1</v>
      </c>
      <c r="AH122" s="53">
        <f>0.760835/0.239165</f>
        <v>3.1812138063679889</v>
      </c>
      <c r="AI122" s="53">
        <f t="shared" si="51"/>
        <v>0.76083500000000004</v>
      </c>
      <c r="AJ122" s="47">
        <f t="shared" si="34"/>
        <v>46.290734077654001</v>
      </c>
      <c r="AK122" s="47">
        <f t="shared" si="35"/>
        <v>35.884289982677522</v>
      </c>
      <c r="AL122" s="47">
        <f t="shared" si="46"/>
        <v>2.9322720626540146</v>
      </c>
      <c r="AM122" s="53">
        <f>AP122</f>
        <v>6.762859950243591E-2</v>
      </c>
      <c r="AN122" s="53">
        <f t="shared" si="49"/>
        <v>6.3344687032507327E-2</v>
      </c>
      <c r="AO122" s="53">
        <v>0</v>
      </c>
      <c r="AP122" s="53">
        <f>(0.255339394*AD122-AC122)/AC122</f>
        <v>6.762859950243591E-2</v>
      </c>
      <c r="AQ122" s="53">
        <f t="shared" si="30"/>
        <v>6.3344687032507327E-2</v>
      </c>
      <c r="AR122" s="27" t="s">
        <v>89</v>
      </c>
    </row>
    <row r="123" spans="1:44" ht="15" customHeight="1" x14ac:dyDescent="0.25">
      <c r="A123" s="76">
        <v>122</v>
      </c>
      <c r="B123" s="76">
        <v>1996</v>
      </c>
      <c r="C123" s="77" t="s">
        <v>88</v>
      </c>
      <c r="D123" s="76">
        <v>2</v>
      </c>
      <c r="E123" s="78">
        <v>17</v>
      </c>
      <c r="F123" s="79">
        <v>0.05</v>
      </c>
      <c r="G123" s="80">
        <v>34</v>
      </c>
      <c r="H123" s="80">
        <v>40</v>
      </c>
      <c r="I123" s="78">
        <v>128</v>
      </c>
      <c r="J123" s="81">
        <v>0.70830000000000004</v>
      </c>
      <c r="K123" s="77" t="s">
        <v>306</v>
      </c>
      <c r="L123" s="77" t="s">
        <v>305</v>
      </c>
      <c r="M123" s="77" t="s">
        <v>289</v>
      </c>
      <c r="N123" s="77">
        <v>25</v>
      </c>
      <c r="O123" s="77">
        <v>180</v>
      </c>
      <c r="P123" s="78"/>
      <c r="Q123" s="81">
        <v>42</v>
      </c>
      <c r="R123" s="82"/>
      <c r="S123" s="82">
        <v>7.130766817285335E-5</v>
      </c>
      <c r="T123" s="82">
        <v>850000000</v>
      </c>
      <c r="U123" s="78">
        <v>2883</v>
      </c>
      <c r="V123" s="82">
        <v>1.7919999999999998E-2</v>
      </c>
      <c r="W123" s="82">
        <v>2.3040000000000001E-2</v>
      </c>
      <c r="X123" s="82">
        <v>0.54900000000000004</v>
      </c>
      <c r="Y123" s="78">
        <v>29.6</v>
      </c>
      <c r="Z123" s="78">
        <v>1075</v>
      </c>
      <c r="AA123" s="78">
        <f>INT(AD123/2.5)</f>
        <v>76</v>
      </c>
      <c r="AB123" s="81">
        <f t="shared" si="47"/>
        <v>0.82381880510364403</v>
      </c>
      <c r="AC123" s="81">
        <f t="shared" si="32"/>
        <v>45.147629699999982</v>
      </c>
      <c r="AD123" s="81">
        <v>191.34</v>
      </c>
      <c r="AE123" s="81">
        <f t="shared" si="48"/>
        <v>177.99069767441861</v>
      </c>
      <c r="AF123" s="81">
        <f t="shared" si="40"/>
        <v>146.19237030000002</v>
      </c>
      <c r="AG123" s="83">
        <v>1</v>
      </c>
      <c r="AH123" s="83">
        <f>0.764045/0.235955</f>
        <v>3.2380962471657733</v>
      </c>
      <c r="AI123" s="83">
        <f t="shared" si="51"/>
        <v>0.76404500000000009</v>
      </c>
      <c r="AJ123" s="81">
        <f t="shared" si="34"/>
        <v>48.584682844109999</v>
      </c>
      <c r="AK123" s="81">
        <f t="shared" si="35"/>
        <v>37.662544840395348</v>
      </c>
      <c r="AL123" s="81">
        <f t="shared" si="46"/>
        <v>3.4370531441100169</v>
      </c>
      <c r="AM123" s="83">
        <f>AP123</f>
        <v>7.6129204721239629E-2</v>
      </c>
      <c r="AN123" s="83">
        <f t="shared" si="49"/>
        <v>7.0743554200780309E-2</v>
      </c>
      <c r="AO123" s="83">
        <v>0</v>
      </c>
      <c r="AP123" s="83">
        <f>(0.2539180665*AD123-AC123)/AC123</f>
        <v>7.6129204721239629E-2</v>
      </c>
      <c r="AQ123" s="83">
        <f t="shared" si="30"/>
        <v>7.0743554200780309E-2</v>
      </c>
      <c r="AR123" s="77" t="s">
        <v>90</v>
      </c>
    </row>
    <row r="124" spans="1:44" ht="15" hidden="1" customHeight="1" x14ac:dyDescent="0.25">
      <c r="A124" s="1">
        <v>123</v>
      </c>
      <c r="B124" s="1">
        <v>1996</v>
      </c>
      <c r="C124" s="28" t="s">
        <v>88</v>
      </c>
      <c r="D124" s="1">
        <v>3</v>
      </c>
      <c r="E124" s="8">
        <v>46</v>
      </c>
      <c r="F124" s="31">
        <v>0.01</v>
      </c>
      <c r="G124" s="49">
        <v>34</v>
      </c>
      <c r="H124" s="49">
        <v>40</v>
      </c>
      <c r="I124" s="8">
        <v>434</v>
      </c>
      <c r="J124" s="51">
        <v>0.43809999999999999</v>
      </c>
      <c r="K124" s="28" t="s">
        <v>306</v>
      </c>
      <c r="L124" s="28" t="s">
        <v>305</v>
      </c>
      <c r="M124" s="28" t="s">
        <v>34</v>
      </c>
      <c r="N124" s="28" t="s">
        <v>34</v>
      </c>
      <c r="O124" s="28" t="s">
        <v>34</v>
      </c>
      <c r="P124" s="8"/>
      <c r="Q124" s="51">
        <v>9</v>
      </c>
      <c r="R124" s="9"/>
      <c r="S124" s="9">
        <v>7.130766817285335E-5</v>
      </c>
      <c r="T124" s="9">
        <v>850000000</v>
      </c>
      <c r="U124" s="8">
        <v>2883</v>
      </c>
      <c r="V124" s="9">
        <v>1.7919999999999998E-2</v>
      </c>
      <c r="W124" s="9">
        <v>2.3040000000000001E-2</v>
      </c>
      <c r="X124" s="9">
        <v>0.54900000000000004</v>
      </c>
      <c r="Y124" s="8">
        <v>29.6</v>
      </c>
      <c r="Z124" s="8">
        <v>1075</v>
      </c>
      <c r="AA124" s="8">
        <f>INT(AD124/2.5)</f>
        <v>74</v>
      </c>
      <c r="AB124" s="51">
        <f t="shared" si="47"/>
        <v>0.82325427844484556</v>
      </c>
      <c r="AC124" s="51">
        <f t="shared" si="32"/>
        <v>37.602538577999979</v>
      </c>
      <c r="AD124" s="51">
        <v>185.922</v>
      </c>
      <c r="AE124" s="51">
        <f t="shared" si="48"/>
        <v>172.95069767441859</v>
      </c>
      <c r="AF124" s="51">
        <f t="shared" si="40"/>
        <v>148.31946142200002</v>
      </c>
      <c r="AG124" s="52">
        <v>1</v>
      </c>
      <c r="AH124" s="52">
        <f>0.797751/0.202249</f>
        <v>3.9444002195313694</v>
      </c>
      <c r="AI124" s="52">
        <f t="shared" si="51"/>
        <v>0.7977510000000001</v>
      </c>
      <c r="AJ124" s="51">
        <f t="shared" si="34"/>
        <v>47.30413446</v>
      </c>
      <c r="AK124" s="51">
        <f t="shared" si="35"/>
        <v>36.669871674418602</v>
      </c>
      <c r="AL124" s="51">
        <f t="shared" si="46"/>
        <v>9.7015958820000208</v>
      </c>
      <c r="AM124" s="52">
        <f>3/17</f>
        <v>0.17647058823529413</v>
      </c>
      <c r="AN124" s="52">
        <f t="shared" si="49"/>
        <v>0.15</v>
      </c>
      <c r="AO124" s="52">
        <f>(AP124-AM124)/(AH124-AM124)</f>
        <v>2.1638716111592449E-2</v>
      </c>
      <c r="AP124" s="52">
        <f>(0.25443*AD124-AC124)/AC124</f>
        <v>0.25800374785536712</v>
      </c>
      <c r="AQ124" s="52">
        <f t="shared" si="30"/>
        <v>0.20508980859175455</v>
      </c>
      <c r="AR124" s="28" t="s">
        <v>34</v>
      </c>
    </row>
    <row r="125" spans="1:44" ht="15" customHeight="1" x14ac:dyDescent="0.25">
      <c r="A125" s="3">
        <v>124</v>
      </c>
      <c r="B125" s="3">
        <v>1996</v>
      </c>
      <c r="C125" s="27" t="s">
        <v>91</v>
      </c>
      <c r="D125" s="3">
        <v>1</v>
      </c>
      <c r="E125" s="11">
        <v>16</v>
      </c>
      <c r="F125" s="32">
        <v>0.01</v>
      </c>
      <c r="G125" s="54">
        <v>28</v>
      </c>
      <c r="H125" s="54">
        <v>55</v>
      </c>
      <c r="I125" s="11">
        <v>208</v>
      </c>
      <c r="J125" s="47">
        <v>0.57909999999999995</v>
      </c>
      <c r="K125" s="27" t="s">
        <v>306</v>
      </c>
      <c r="L125" s="27" t="s">
        <v>305</v>
      </c>
      <c r="M125" s="27" t="s">
        <v>289</v>
      </c>
      <c r="N125" s="27">
        <v>25</v>
      </c>
      <c r="O125" s="27">
        <v>25</v>
      </c>
      <c r="P125" s="87"/>
      <c r="Q125" s="47">
        <v>65</v>
      </c>
      <c r="R125" s="4"/>
      <c r="S125" s="4">
        <v>3.4774861506952476E-4</v>
      </c>
      <c r="T125" s="4">
        <v>950000000</v>
      </c>
      <c r="U125" s="11">
        <v>2383</v>
      </c>
      <c r="V125" s="4">
        <v>1.7919999999999998E-2</v>
      </c>
      <c r="W125" s="4">
        <v>2.3040000000000001E-2</v>
      </c>
      <c r="X125" s="4">
        <v>0.54900000000000004</v>
      </c>
      <c r="Y125" s="11">
        <v>29.6</v>
      </c>
      <c r="Z125" s="11">
        <v>1075</v>
      </c>
      <c r="AA125" s="11">
        <f t="shared" ref="AA125:AA149" si="52">AD125/2.5</f>
        <v>100</v>
      </c>
      <c r="AB125" s="47">
        <f t="shared" si="47"/>
        <v>0.82189116447904176</v>
      </c>
      <c r="AC125" s="47">
        <f t="shared" si="32"/>
        <v>61.25</v>
      </c>
      <c r="AD125" s="47">
        <v>250</v>
      </c>
      <c r="AE125" s="47">
        <f t="shared" si="48"/>
        <v>232.55813953488371</v>
      </c>
      <c r="AF125" s="47">
        <f t="shared" si="40"/>
        <v>188.75</v>
      </c>
      <c r="AG125" s="53">
        <v>1</v>
      </c>
      <c r="AH125" s="53">
        <f>151/49</f>
        <v>3.0816326530612246</v>
      </c>
      <c r="AI125" s="53">
        <f t="shared" si="51"/>
        <v>0.755</v>
      </c>
      <c r="AJ125" s="47">
        <f t="shared" si="34"/>
        <v>69.035937500000003</v>
      </c>
      <c r="AK125" s="47">
        <f t="shared" si="35"/>
        <v>53.516230620155042</v>
      </c>
      <c r="AL125" s="47">
        <f t="shared" si="46"/>
        <v>7.7859375000000002</v>
      </c>
      <c r="AM125" s="53">
        <v>0</v>
      </c>
      <c r="AN125" s="53">
        <f t="shared" si="49"/>
        <v>0</v>
      </c>
      <c r="AO125" s="53">
        <v>4.1250000000000002E-2</v>
      </c>
      <c r="AP125" s="53">
        <f>AO125*AH125</f>
        <v>0.12711734693877552</v>
      </c>
      <c r="AQ125" s="53">
        <f t="shared" si="30"/>
        <v>0.1127809338433334</v>
      </c>
      <c r="AR125" s="27" t="s">
        <v>92</v>
      </c>
    </row>
    <row r="126" spans="1:44" ht="15" customHeight="1" x14ac:dyDescent="0.25">
      <c r="A126" s="76">
        <v>125</v>
      </c>
      <c r="B126" s="76">
        <v>1996</v>
      </c>
      <c r="C126" s="77" t="s">
        <v>91</v>
      </c>
      <c r="D126" s="76">
        <v>2</v>
      </c>
      <c r="E126" s="78">
        <v>16</v>
      </c>
      <c r="F126" s="73">
        <v>0.02</v>
      </c>
      <c r="G126" s="56">
        <v>28</v>
      </c>
      <c r="H126" s="56">
        <v>55</v>
      </c>
      <c r="I126" s="78">
        <v>240</v>
      </c>
      <c r="J126" s="81">
        <v>0.37319999999999998</v>
      </c>
      <c r="K126" s="77" t="s">
        <v>306</v>
      </c>
      <c r="L126" s="77" t="s">
        <v>305</v>
      </c>
      <c r="M126" s="77" t="s">
        <v>289</v>
      </c>
      <c r="N126" s="77">
        <v>25</v>
      </c>
      <c r="O126" s="77">
        <v>25</v>
      </c>
      <c r="P126" s="88"/>
      <c r="Q126" s="81">
        <v>49</v>
      </c>
      <c r="R126" s="82"/>
      <c r="S126" s="82">
        <v>3.4774861506952476E-4</v>
      </c>
      <c r="T126" s="82">
        <v>950000000</v>
      </c>
      <c r="U126" s="78">
        <v>2383</v>
      </c>
      <c r="V126" s="82">
        <v>1.7919999999999998E-2</v>
      </c>
      <c r="W126" s="82">
        <v>2.3040000000000001E-2</v>
      </c>
      <c r="X126" s="82">
        <v>0.54900000000000004</v>
      </c>
      <c r="Y126" s="78">
        <v>29.6</v>
      </c>
      <c r="Z126" s="78">
        <v>1075</v>
      </c>
      <c r="AA126" s="78">
        <f t="shared" si="52"/>
        <v>100</v>
      </c>
      <c r="AB126" s="81">
        <f t="shared" si="47"/>
        <v>0.82189116447904176</v>
      </c>
      <c r="AC126" s="81">
        <f t="shared" si="32"/>
        <v>61.25</v>
      </c>
      <c r="AD126" s="81">
        <v>250</v>
      </c>
      <c r="AE126" s="81">
        <f t="shared" si="48"/>
        <v>232.55813953488371</v>
      </c>
      <c r="AF126" s="81">
        <f t="shared" si="40"/>
        <v>188.75</v>
      </c>
      <c r="AG126" s="83">
        <v>1</v>
      </c>
      <c r="AH126" s="83">
        <f>151/49</f>
        <v>3.0816326530612246</v>
      </c>
      <c r="AI126" s="83">
        <f t="shared" si="51"/>
        <v>0.755</v>
      </c>
      <c r="AJ126" s="81">
        <f t="shared" si="34"/>
        <v>76.853962499999994</v>
      </c>
      <c r="AK126" s="81">
        <f t="shared" si="35"/>
        <v>59.576715116279068</v>
      </c>
      <c r="AL126" s="81">
        <f t="shared" si="46"/>
        <v>15.603962499999998</v>
      </c>
      <c r="AM126" s="83">
        <v>0</v>
      </c>
      <c r="AN126" s="83">
        <f t="shared" si="49"/>
        <v>0</v>
      </c>
      <c r="AO126" s="83">
        <v>8.2669999999999993E-2</v>
      </c>
      <c r="AP126" s="83">
        <f>AO126*AH126</f>
        <v>0.25475857142857139</v>
      </c>
      <c r="AQ126" s="83">
        <f t="shared" si="30"/>
        <v>0.20303393595353003</v>
      </c>
      <c r="AR126" s="77" t="s">
        <v>93</v>
      </c>
    </row>
    <row r="127" spans="1:44" ht="15" customHeight="1" x14ac:dyDescent="0.25">
      <c r="A127" s="76">
        <v>126</v>
      </c>
      <c r="B127" s="76">
        <v>1996</v>
      </c>
      <c r="C127" s="77" t="s">
        <v>91</v>
      </c>
      <c r="D127" s="76">
        <v>3</v>
      </c>
      <c r="E127" s="78">
        <v>17</v>
      </c>
      <c r="F127" s="73">
        <v>0.05</v>
      </c>
      <c r="G127" s="56">
        <v>28</v>
      </c>
      <c r="H127" s="56">
        <v>55</v>
      </c>
      <c r="I127" s="78">
        <v>193</v>
      </c>
      <c r="J127" s="81">
        <v>0.26700000000000002</v>
      </c>
      <c r="K127" s="77" t="s">
        <v>306</v>
      </c>
      <c r="L127" s="77" t="s">
        <v>305</v>
      </c>
      <c r="M127" s="77" t="s">
        <v>289</v>
      </c>
      <c r="N127" s="77">
        <v>25</v>
      </c>
      <c r="O127" s="77">
        <v>25</v>
      </c>
      <c r="P127" s="88" t="s">
        <v>382</v>
      </c>
      <c r="Q127" s="81">
        <v>49</v>
      </c>
      <c r="R127" s="82"/>
      <c r="S127" s="82">
        <v>3.4774861506952476E-4</v>
      </c>
      <c r="T127" s="82">
        <v>950000000</v>
      </c>
      <c r="U127" s="78">
        <v>2383</v>
      </c>
      <c r="V127" s="82">
        <v>1.7919999999999998E-2</v>
      </c>
      <c r="W127" s="82">
        <v>2.3040000000000001E-2</v>
      </c>
      <c r="X127" s="82">
        <v>0.54900000000000004</v>
      </c>
      <c r="Y127" s="78">
        <v>29.6</v>
      </c>
      <c r="Z127" s="78">
        <v>1075</v>
      </c>
      <c r="AA127" s="78">
        <f t="shared" si="52"/>
        <v>100</v>
      </c>
      <c r="AB127" s="81">
        <f t="shared" si="47"/>
        <v>0.82189116447904176</v>
      </c>
      <c r="AC127" s="81">
        <f t="shared" si="32"/>
        <v>61.25</v>
      </c>
      <c r="AD127" s="81">
        <v>250</v>
      </c>
      <c r="AE127" s="81">
        <f t="shared" si="48"/>
        <v>232.55813953488371</v>
      </c>
      <c r="AF127" s="81">
        <f t="shared" si="40"/>
        <v>188.75</v>
      </c>
      <c r="AG127" s="83">
        <v>1</v>
      </c>
      <c r="AH127" s="83">
        <f>151/49</f>
        <v>3.0816326530612246</v>
      </c>
      <c r="AI127" s="83">
        <f t="shared" si="51"/>
        <v>0.755</v>
      </c>
      <c r="AJ127" s="81">
        <f t="shared" si="34"/>
        <v>77.552337499999993</v>
      </c>
      <c r="AK127" s="81">
        <f t="shared" si="35"/>
        <v>60.11809108527131</v>
      </c>
      <c r="AL127" s="81">
        <f t="shared" si="46"/>
        <v>16.302337499999997</v>
      </c>
      <c r="AM127" s="83">
        <v>0</v>
      </c>
      <c r="AN127" s="83">
        <f t="shared" si="49"/>
        <v>0</v>
      </c>
      <c r="AO127" s="83">
        <v>8.6370000000000002E-2</v>
      </c>
      <c r="AP127" s="83">
        <f>AO127*AH127</f>
        <v>0.26616061224489795</v>
      </c>
      <c r="AQ127" s="83">
        <f t="shared" si="30"/>
        <v>0.21021078184780695</v>
      </c>
      <c r="AR127" s="77" t="s">
        <v>94</v>
      </c>
    </row>
    <row r="128" spans="1:44" ht="15" customHeight="1" x14ac:dyDescent="0.25">
      <c r="A128" s="76">
        <v>127</v>
      </c>
      <c r="B128" s="76">
        <v>1996</v>
      </c>
      <c r="C128" s="77" t="s">
        <v>91</v>
      </c>
      <c r="D128" s="76">
        <v>4</v>
      </c>
      <c r="E128" s="78">
        <v>20</v>
      </c>
      <c r="F128" s="73">
        <v>3</v>
      </c>
      <c r="G128" s="56">
        <v>40</v>
      </c>
      <c r="H128" s="56">
        <v>28</v>
      </c>
      <c r="I128" s="78">
        <v>160</v>
      </c>
      <c r="J128" s="81">
        <v>3.2399999999999998E-2</v>
      </c>
      <c r="K128" s="77" t="s">
        <v>306</v>
      </c>
      <c r="L128" s="77" t="s">
        <v>36</v>
      </c>
      <c r="M128" s="77" t="s">
        <v>289</v>
      </c>
      <c r="N128" s="77">
        <v>25</v>
      </c>
      <c r="O128" s="77">
        <v>25</v>
      </c>
      <c r="P128" s="88"/>
      <c r="Q128" s="90">
        <v>75</v>
      </c>
      <c r="R128" s="82"/>
      <c r="S128" s="82">
        <v>4.709201694979138E-4</v>
      </c>
      <c r="T128" s="82">
        <v>950000000</v>
      </c>
      <c r="U128" s="78">
        <v>2383</v>
      </c>
      <c r="V128" s="82">
        <v>1.7919999999999998E-2</v>
      </c>
      <c r="W128" s="82">
        <v>2.3040000000000001E-2</v>
      </c>
      <c r="X128" s="82">
        <v>0.54900000000000004</v>
      </c>
      <c r="Y128" s="78">
        <v>29.6</v>
      </c>
      <c r="Z128" s="78">
        <v>1075</v>
      </c>
      <c r="AA128" s="78">
        <f t="shared" si="52"/>
        <v>100</v>
      </c>
      <c r="AB128" s="81">
        <f t="shared" si="47"/>
        <v>0.82189116447904176</v>
      </c>
      <c r="AC128" s="81">
        <f t="shared" si="32"/>
        <v>61.25</v>
      </c>
      <c r="AD128" s="81">
        <v>250</v>
      </c>
      <c r="AE128" s="81">
        <f t="shared" si="48"/>
        <v>232.55813953488371</v>
      </c>
      <c r="AF128" s="81">
        <f t="shared" si="40"/>
        <v>188.75</v>
      </c>
      <c r="AG128" s="83">
        <v>1</v>
      </c>
      <c r="AH128" s="83">
        <f>151/49</f>
        <v>3.0816326530612246</v>
      </c>
      <c r="AI128" s="83">
        <f t="shared" si="51"/>
        <v>0.755</v>
      </c>
      <c r="AJ128" s="81">
        <f t="shared" si="34"/>
        <v>70.192975000000004</v>
      </c>
      <c r="AK128" s="81">
        <f t="shared" si="35"/>
        <v>54.413158914728683</v>
      </c>
      <c r="AL128" s="81">
        <f t="shared" si="46"/>
        <v>8.9429750000000006</v>
      </c>
      <c r="AM128" s="83">
        <v>0</v>
      </c>
      <c r="AN128" s="83">
        <f t="shared" si="49"/>
        <v>0</v>
      </c>
      <c r="AO128" s="83">
        <v>4.7379999999999999E-2</v>
      </c>
      <c r="AP128" s="83">
        <f>AO128*AH128</f>
        <v>0.14600775510204081</v>
      </c>
      <c r="AQ128" s="83">
        <f t="shared" si="30"/>
        <v>0.12740555589786584</v>
      </c>
      <c r="AR128" s="77" t="s">
        <v>95</v>
      </c>
    </row>
    <row r="129" spans="1:44" ht="15" customHeight="1" x14ac:dyDescent="0.25">
      <c r="A129" s="1">
        <v>128</v>
      </c>
      <c r="B129" s="1">
        <v>1996</v>
      </c>
      <c r="C129" s="28" t="s">
        <v>91</v>
      </c>
      <c r="D129" s="1">
        <v>5</v>
      </c>
      <c r="E129" s="8">
        <v>7</v>
      </c>
      <c r="F129" s="33">
        <v>3</v>
      </c>
      <c r="G129" s="57">
        <v>40</v>
      </c>
      <c r="H129" s="57">
        <v>28</v>
      </c>
      <c r="I129" s="8">
        <v>132</v>
      </c>
      <c r="J129" s="51">
        <v>0.16889999999999999</v>
      </c>
      <c r="K129" s="28" t="s">
        <v>306</v>
      </c>
      <c r="L129" s="28" t="s">
        <v>36</v>
      </c>
      <c r="M129" s="28" t="s">
        <v>289</v>
      </c>
      <c r="N129" s="28">
        <v>25</v>
      </c>
      <c r="O129" s="28">
        <v>25</v>
      </c>
      <c r="P129" s="89"/>
      <c r="Q129" s="91">
        <v>76</v>
      </c>
      <c r="R129" s="9"/>
      <c r="S129" s="9">
        <v>4.709201694979138E-4</v>
      </c>
      <c r="T129" s="9">
        <v>950000000</v>
      </c>
      <c r="U129" s="8">
        <v>2383</v>
      </c>
      <c r="V129" s="9">
        <v>1.7919999999999998E-2</v>
      </c>
      <c r="W129" s="9">
        <v>2.3040000000000001E-2</v>
      </c>
      <c r="X129" s="9">
        <v>0.54900000000000004</v>
      </c>
      <c r="Y129" s="8">
        <v>29.6</v>
      </c>
      <c r="Z129" s="8">
        <v>1075</v>
      </c>
      <c r="AA129" s="8">
        <f t="shared" si="52"/>
        <v>100</v>
      </c>
      <c r="AB129" s="51">
        <f t="shared" si="47"/>
        <v>0.82189116447904176</v>
      </c>
      <c r="AC129" s="51">
        <f t="shared" si="32"/>
        <v>61.25</v>
      </c>
      <c r="AD129" s="51">
        <v>250</v>
      </c>
      <c r="AE129" s="51">
        <f t="shared" si="48"/>
        <v>232.55813953488371</v>
      </c>
      <c r="AF129" s="51">
        <f t="shared" si="40"/>
        <v>188.75</v>
      </c>
      <c r="AG129" s="52">
        <v>1</v>
      </c>
      <c r="AH129" s="52">
        <f>151/49</f>
        <v>3.0816326530612246</v>
      </c>
      <c r="AI129" s="52">
        <f t="shared" si="51"/>
        <v>0.755</v>
      </c>
      <c r="AJ129" s="51">
        <f t="shared" si="34"/>
        <v>74.149175</v>
      </c>
      <c r="AK129" s="51">
        <f t="shared" si="35"/>
        <v>57.47998062015504</v>
      </c>
      <c r="AL129" s="51">
        <f t="shared" si="46"/>
        <v>12.899175</v>
      </c>
      <c r="AM129" s="52">
        <v>0</v>
      </c>
      <c r="AN129" s="52">
        <f t="shared" si="49"/>
        <v>0</v>
      </c>
      <c r="AO129" s="52">
        <v>6.8339999999999998E-2</v>
      </c>
      <c r="AP129" s="52">
        <f>AO129*AH129</f>
        <v>0.21059877551020409</v>
      </c>
      <c r="AQ129" s="52">
        <f t="shared" ref="AQ129:AQ192" si="53">AP129/(AP129+1)</f>
        <v>0.17396248845654722</v>
      </c>
      <c r="AR129" s="28" t="s">
        <v>96</v>
      </c>
    </row>
    <row r="130" spans="1:44" ht="15" customHeight="1" x14ac:dyDescent="0.25">
      <c r="A130" s="3">
        <v>129</v>
      </c>
      <c r="B130" s="3">
        <v>1996</v>
      </c>
      <c r="C130" s="27" t="s">
        <v>97</v>
      </c>
      <c r="D130" s="3">
        <v>1</v>
      </c>
      <c r="E130" s="11">
        <v>24</v>
      </c>
      <c r="F130" s="34">
        <v>2.8833646485300921</v>
      </c>
      <c r="G130" s="58">
        <v>60</v>
      </c>
      <c r="H130" s="58">
        <v>10</v>
      </c>
      <c r="I130" s="11">
        <v>23</v>
      </c>
      <c r="J130" s="47">
        <v>6.7100000000000007E-2</v>
      </c>
      <c r="K130" s="27" t="s">
        <v>98</v>
      </c>
      <c r="L130" s="27" t="s">
        <v>36</v>
      </c>
      <c r="M130" s="27" t="s">
        <v>289</v>
      </c>
      <c r="N130" s="27">
        <v>100</v>
      </c>
      <c r="O130" s="27">
        <v>20</v>
      </c>
      <c r="P130" s="87"/>
      <c r="Q130" s="47">
        <v>58</v>
      </c>
      <c r="R130" s="4"/>
      <c r="S130" s="4">
        <v>1.9122648922703658E-4</v>
      </c>
      <c r="T130" s="4">
        <v>790000000</v>
      </c>
      <c r="U130" s="11">
        <v>2774</v>
      </c>
      <c r="V130" s="4">
        <v>1.7919999999999998E-2</v>
      </c>
      <c r="W130" s="4">
        <v>2.3040000000000001E-2</v>
      </c>
      <c r="X130" s="4">
        <v>0.54900000000000004</v>
      </c>
      <c r="Y130" s="11">
        <v>29.6</v>
      </c>
      <c r="Z130" s="11">
        <v>1075</v>
      </c>
      <c r="AA130" s="11">
        <f t="shared" si="52"/>
        <v>400</v>
      </c>
      <c r="AB130" s="47">
        <f t="shared" si="47"/>
        <v>0.82189116447904176</v>
      </c>
      <c r="AC130" s="47">
        <f t="shared" ref="AC130:AC193" si="54">AD130-AF130</f>
        <v>227.27272727272737</v>
      </c>
      <c r="AD130" s="47">
        <v>1000</v>
      </c>
      <c r="AE130" s="47">
        <f t="shared" ref="AE130:AE193" si="55">AD130/Z130*1000</f>
        <v>930.23255813953483</v>
      </c>
      <c r="AF130" s="47">
        <f t="shared" si="40"/>
        <v>772.72727272727263</v>
      </c>
      <c r="AG130" s="53">
        <v>1</v>
      </c>
      <c r="AH130" s="53">
        <v>3.4</v>
      </c>
      <c r="AI130" s="53">
        <f t="shared" si="51"/>
        <v>0.7727272727272726</v>
      </c>
      <c r="AJ130" s="47">
        <f t="shared" ref="AJ130:AJ193" si="56">AC130/(1-AQ130)</f>
        <v>281.09433155080228</v>
      </c>
      <c r="AK130" s="47">
        <f t="shared" ref="AK130:AK193" si="57">AJ130/1290*1000</f>
        <v>217.90258259752116</v>
      </c>
      <c r="AL130" s="47">
        <f t="shared" si="46"/>
        <v>53.821604278074901</v>
      </c>
      <c r="AM130" s="53">
        <f t="shared" ref="AM130:AM150" si="58">AN130/(1-AN130)</f>
        <v>0.17647058823529413</v>
      </c>
      <c r="AN130" s="53">
        <v>0.15</v>
      </c>
      <c r="AO130" s="53">
        <v>1.8720000000000001E-2</v>
      </c>
      <c r="AP130" s="53">
        <f t="shared" ref="AP130:AP148" si="59">AO130*(AH130-AM130)+AM130</f>
        <v>0.23681505882352943</v>
      </c>
      <c r="AQ130" s="53">
        <f t="shared" si="53"/>
        <v>0.19147168134319956</v>
      </c>
      <c r="AR130" s="27" t="s">
        <v>334</v>
      </c>
    </row>
    <row r="131" spans="1:44" ht="15" customHeight="1" x14ac:dyDescent="0.25">
      <c r="A131" s="76">
        <v>130</v>
      </c>
      <c r="B131" s="76">
        <v>1996</v>
      </c>
      <c r="C131" s="77" t="s">
        <v>97</v>
      </c>
      <c r="D131" s="76">
        <v>2</v>
      </c>
      <c r="E131" s="78">
        <v>32</v>
      </c>
      <c r="F131" s="74">
        <v>2.7968161073765554</v>
      </c>
      <c r="G131" s="75">
        <v>60</v>
      </c>
      <c r="H131" s="75">
        <v>10</v>
      </c>
      <c r="I131" s="78">
        <v>13</v>
      </c>
      <c r="J131" s="81">
        <v>4.8899999999999999E-2</v>
      </c>
      <c r="K131" s="77" t="s">
        <v>98</v>
      </c>
      <c r="L131" s="77" t="s">
        <v>36</v>
      </c>
      <c r="M131" s="77" t="s">
        <v>289</v>
      </c>
      <c r="N131" s="77">
        <v>100</v>
      </c>
      <c r="O131" s="77">
        <v>20</v>
      </c>
      <c r="P131" s="88"/>
      <c r="Q131" s="81">
        <v>52</v>
      </c>
      <c r="R131" s="82"/>
      <c r="S131" s="82">
        <v>1.9122648922703658E-4</v>
      </c>
      <c r="T131" s="82">
        <v>790000000</v>
      </c>
      <c r="U131" s="78">
        <v>2774</v>
      </c>
      <c r="V131" s="82">
        <v>1.7919999999999998E-2</v>
      </c>
      <c r="W131" s="82">
        <v>2.3040000000000001E-2</v>
      </c>
      <c r="X131" s="82">
        <v>0.54900000000000004</v>
      </c>
      <c r="Y131" s="78">
        <v>29.6</v>
      </c>
      <c r="Z131" s="78">
        <v>1075</v>
      </c>
      <c r="AA131" s="78">
        <f t="shared" si="52"/>
        <v>400</v>
      </c>
      <c r="AB131" s="81">
        <f t="shared" si="47"/>
        <v>0.82189116447904176</v>
      </c>
      <c r="AC131" s="81">
        <f t="shared" si="54"/>
        <v>227.27272727272737</v>
      </c>
      <c r="AD131" s="81">
        <v>1000</v>
      </c>
      <c r="AE131" s="81">
        <f t="shared" si="55"/>
        <v>930.23255813953483</v>
      </c>
      <c r="AF131" s="81">
        <f t="shared" si="40"/>
        <v>772.72727272727263</v>
      </c>
      <c r="AG131" s="83">
        <v>1</v>
      </c>
      <c r="AH131" s="83">
        <v>3.4</v>
      </c>
      <c r="AI131" s="83">
        <f t="shared" si="51"/>
        <v>0.7727272727272726</v>
      </c>
      <c r="AJ131" s="81">
        <f t="shared" si="56"/>
        <v>314.00363636363647</v>
      </c>
      <c r="AK131" s="81">
        <f t="shared" si="57"/>
        <v>243.41367159971819</v>
      </c>
      <c r="AL131" s="81">
        <f t="shared" si="46"/>
        <v>86.730909090909122</v>
      </c>
      <c r="AM131" s="83">
        <f t="shared" si="58"/>
        <v>0.17647058823529413</v>
      </c>
      <c r="AN131" s="83">
        <v>0.15</v>
      </c>
      <c r="AO131" s="83">
        <v>6.3640000000000002E-2</v>
      </c>
      <c r="AP131" s="83">
        <f t="shared" si="59"/>
        <v>0.38161600000000001</v>
      </c>
      <c r="AQ131" s="83">
        <f t="shared" si="53"/>
        <v>0.27620988755196813</v>
      </c>
      <c r="AR131" s="77" t="s">
        <v>335</v>
      </c>
    </row>
    <row r="132" spans="1:44" ht="15" customHeight="1" x14ac:dyDescent="0.25">
      <c r="A132" s="76">
        <v>131</v>
      </c>
      <c r="B132" s="76">
        <v>1996</v>
      </c>
      <c r="C132" s="77" t="s">
        <v>97</v>
      </c>
      <c r="D132" s="76">
        <v>3</v>
      </c>
      <c r="E132" s="78">
        <v>32</v>
      </c>
      <c r="F132" s="74">
        <v>2.78</v>
      </c>
      <c r="G132" s="75">
        <v>60</v>
      </c>
      <c r="H132" s="75">
        <v>10</v>
      </c>
      <c r="I132" s="78">
        <v>23</v>
      </c>
      <c r="J132" s="81">
        <v>6.2399999999999997E-2</v>
      </c>
      <c r="K132" s="77" t="s">
        <v>98</v>
      </c>
      <c r="L132" s="77" t="s">
        <v>36</v>
      </c>
      <c r="M132" s="77" t="s">
        <v>289</v>
      </c>
      <c r="N132" s="77">
        <v>25</v>
      </c>
      <c r="O132" s="77">
        <v>600</v>
      </c>
      <c r="P132" s="88"/>
      <c r="Q132" s="81">
        <v>44</v>
      </c>
      <c r="R132" s="82"/>
      <c r="S132" s="82">
        <v>1.9122648922703658E-4</v>
      </c>
      <c r="T132" s="82">
        <v>790000000</v>
      </c>
      <c r="U132" s="78">
        <v>2774</v>
      </c>
      <c r="V132" s="82">
        <v>1.7919999999999998E-2</v>
      </c>
      <c r="W132" s="82">
        <v>2.3040000000000001E-2</v>
      </c>
      <c r="X132" s="82">
        <v>0.54900000000000004</v>
      </c>
      <c r="Y132" s="78">
        <v>29.6</v>
      </c>
      <c r="Z132" s="78">
        <v>1075</v>
      </c>
      <c r="AA132" s="78">
        <f t="shared" si="52"/>
        <v>400</v>
      </c>
      <c r="AB132" s="81">
        <f t="shared" si="47"/>
        <v>0.82189116447904176</v>
      </c>
      <c r="AC132" s="81">
        <f t="shared" si="54"/>
        <v>227.27272727272737</v>
      </c>
      <c r="AD132" s="81">
        <v>1000</v>
      </c>
      <c r="AE132" s="81">
        <f t="shared" si="55"/>
        <v>930.23255813953483</v>
      </c>
      <c r="AF132" s="81">
        <f t="shared" si="40"/>
        <v>772.72727272727263</v>
      </c>
      <c r="AG132" s="83">
        <v>1</v>
      </c>
      <c r="AH132" s="83">
        <v>3.4</v>
      </c>
      <c r="AI132" s="83">
        <f t="shared" si="51"/>
        <v>0.7727272727272726</v>
      </c>
      <c r="AJ132" s="81">
        <f t="shared" si="56"/>
        <v>306.19390374331567</v>
      </c>
      <c r="AK132" s="81">
        <f t="shared" si="57"/>
        <v>237.35961530489587</v>
      </c>
      <c r="AL132" s="81">
        <f t="shared" si="46"/>
        <v>78.921176470588279</v>
      </c>
      <c r="AM132" s="83">
        <f t="shared" si="58"/>
        <v>0.17647058823529413</v>
      </c>
      <c r="AN132" s="83">
        <v>0.15</v>
      </c>
      <c r="AO132" s="83">
        <v>5.2979999999999999E-2</v>
      </c>
      <c r="AP132" s="83">
        <f t="shared" si="59"/>
        <v>0.34725317647058829</v>
      </c>
      <c r="AQ132" s="83">
        <f t="shared" si="53"/>
        <v>0.25774901298083458</v>
      </c>
      <c r="AR132" s="77" t="s">
        <v>99</v>
      </c>
    </row>
    <row r="133" spans="1:44" ht="15" customHeight="1" x14ac:dyDescent="0.25">
      <c r="A133" s="76">
        <v>132</v>
      </c>
      <c r="B133" s="76">
        <v>1996</v>
      </c>
      <c r="C133" s="77" t="s">
        <v>97</v>
      </c>
      <c r="D133" s="76">
        <v>4</v>
      </c>
      <c r="E133" s="78">
        <v>39</v>
      </c>
      <c r="F133" s="74">
        <v>2.7102675662230178</v>
      </c>
      <c r="G133" s="75">
        <v>60</v>
      </c>
      <c r="H133" s="75">
        <v>10</v>
      </c>
      <c r="I133" s="78">
        <v>23</v>
      </c>
      <c r="J133" s="81">
        <v>2.92E-2</v>
      </c>
      <c r="K133" s="77" t="s">
        <v>98</v>
      </c>
      <c r="L133" s="77" t="s">
        <v>36</v>
      </c>
      <c r="M133" s="77" t="s">
        <v>289</v>
      </c>
      <c r="N133" s="77">
        <v>25</v>
      </c>
      <c r="O133" s="77">
        <v>180</v>
      </c>
      <c r="P133" s="88"/>
      <c r="Q133" s="81">
        <v>35</v>
      </c>
      <c r="R133" s="82"/>
      <c r="S133" s="82">
        <v>1.9122648922703658E-4</v>
      </c>
      <c r="T133" s="82">
        <v>790000000</v>
      </c>
      <c r="U133" s="78">
        <v>2774</v>
      </c>
      <c r="V133" s="82">
        <v>1.7919999999999998E-2</v>
      </c>
      <c r="W133" s="82">
        <v>2.3040000000000001E-2</v>
      </c>
      <c r="X133" s="82">
        <v>0.54900000000000004</v>
      </c>
      <c r="Y133" s="78">
        <v>29.6</v>
      </c>
      <c r="Z133" s="78">
        <v>1075</v>
      </c>
      <c r="AA133" s="78">
        <f t="shared" si="52"/>
        <v>400</v>
      </c>
      <c r="AB133" s="81">
        <f t="shared" si="47"/>
        <v>0.82189116447904176</v>
      </c>
      <c r="AC133" s="81">
        <f t="shared" si="54"/>
        <v>227.27272727272737</v>
      </c>
      <c r="AD133" s="81">
        <v>1000</v>
      </c>
      <c r="AE133" s="81">
        <f t="shared" si="55"/>
        <v>930.23255813953483</v>
      </c>
      <c r="AF133" s="81">
        <f t="shared" si="40"/>
        <v>772.72727272727263</v>
      </c>
      <c r="AG133" s="83">
        <v>1</v>
      </c>
      <c r="AH133" s="83">
        <v>3.4</v>
      </c>
      <c r="AI133" s="83">
        <f t="shared" si="51"/>
        <v>0.7727272727272726</v>
      </c>
      <c r="AJ133" s="81">
        <f t="shared" si="56"/>
        <v>312.33326203208566</v>
      </c>
      <c r="AK133" s="81">
        <f t="shared" si="57"/>
        <v>242.11880777681057</v>
      </c>
      <c r="AL133" s="81">
        <f t="shared" si="46"/>
        <v>85.060534759358333</v>
      </c>
      <c r="AM133" s="83">
        <f t="shared" si="58"/>
        <v>0.17647058823529413</v>
      </c>
      <c r="AN133" s="83">
        <v>0.15</v>
      </c>
      <c r="AO133" s="83">
        <v>6.1359999999999998E-2</v>
      </c>
      <c r="AP133" s="83">
        <f t="shared" si="59"/>
        <v>0.37426635294117649</v>
      </c>
      <c r="AQ133" s="83">
        <f t="shared" si="53"/>
        <v>0.27233902084568934</v>
      </c>
      <c r="AR133" s="77" t="s">
        <v>336</v>
      </c>
    </row>
    <row r="134" spans="1:44" ht="15" customHeight="1" x14ac:dyDescent="0.25">
      <c r="A134" s="76">
        <v>133</v>
      </c>
      <c r="B134" s="76">
        <v>1996</v>
      </c>
      <c r="C134" s="77" t="s">
        <v>97</v>
      </c>
      <c r="D134" s="76">
        <v>5</v>
      </c>
      <c r="E134" s="78">
        <v>29</v>
      </c>
      <c r="F134" s="74">
        <v>2.8833646485300921</v>
      </c>
      <c r="G134" s="75">
        <v>60</v>
      </c>
      <c r="H134" s="75">
        <v>10</v>
      </c>
      <c r="I134" s="78">
        <v>14</v>
      </c>
      <c r="J134" s="81">
        <v>6.3799999999999996E-2</v>
      </c>
      <c r="K134" s="77" t="s">
        <v>98</v>
      </c>
      <c r="L134" s="77" t="s">
        <v>36</v>
      </c>
      <c r="M134" s="77" t="s">
        <v>289</v>
      </c>
      <c r="N134" s="77">
        <v>100</v>
      </c>
      <c r="O134" s="77">
        <v>20</v>
      </c>
      <c r="P134" s="88"/>
      <c r="Q134" s="81">
        <v>55</v>
      </c>
      <c r="R134" s="82"/>
      <c r="S134" s="82">
        <v>1.9122648922703658E-4</v>
      </c>
      <c r="T134" s="82">
        <v>790000000</v>
      </c>
      <c r="U134" s="78">
        <v>2774</v>
      </c>
      <c r="V134" s="82">
        <v>1.7919999999999998E-2</v>
      </c>
      <c r="W134" s="82">
        <v>2.3040000000000001E-2</v>
      </c>
      <c r="X134" s="82">
        <v>0.54900000000000004</v>
      </c>
      <c r="Y134" s="78">
        <v>29.6</v>
      </c>
      <c r="Z134" s="78">
        <v>1075</v>
      </c>
      <c r="AA134" s="78">
        <f t="shared" si="52"/>
        <v>400</v>
      </c>
      <c r="AB134" s="81">
        <f t="shared" si="47"/>
        <v>0.82189116447904176</v>
      </c>
      <c r="AC134" s="81">
        <f t="shared" si="54"/>
        <v>227.27272727272737</v>
      </c>
      <c r="AD134" s="81">
        <v>1000</v>
      </c>
      <c r="AE134" s="81">
        <f t="shared" si="55"/>
        <v>930.23255813953483</v>
      </c>
      <c r="AF134" s="81">
        <f t="shared" si="40"/>
        <v>772.72727272727263</v>
      </c>
      <c r="AG134" s="83">
        <v>1</v>
      </c>
      <c r="AH134" s="83">
        <v>3.4</v>
      </c>
      <c r="AI134" s="83">
        <f t="shared" si="51"/>
        <v>0.7727272727272726</v>
      </c>
      <c r="AJ134" s="81">
        <f t="shared" si="56"/>
        <v>287.35823529411778</v>
      </c>
      <c r="AK134" s="81">
        <f t="shared" si="57"/>
        <v>222.75832193342461</v>
      </c>
      <c r="AL134" s="81">
        <f t="shared" si="46"/>
        <v>60.08550802139041</v>
      </c>
      <c r="AM134" s="83">
        <f t="shared" si="58"/>
        <v>0.17647058823529413</v>
      </c>
      <c r="AN134" s="83">
        <v>0.15</v>
      </c>
      <c r="AO134" s="83">
        <v>2.7269999999999999E-2</v>
      </c>
      <c r="AP134" s="83">
        <f t="shared" si="59"/>
        <v>0.26437623529411769</v>
      </c>
      <c r="AQ134" s="83">
        <f t="shared" si="53"/>
        <v>0.20909617557990468</v>
      </c>
      <c r="AR134" s="77" t="s">
        <v>337</v>
      </c>
    </row>
    <row r="135" spans="1:44" ht="15" hidden="1" customHeight="1" x14ac:dyDescent="0.25">
      <c r="A135" s="76">
        <v>134</v>
      </c>
      <c r="B135" s="76">
        <v>1996</v>
      </c>
      <c r="C135" s="77" t="s">
        <v>97</v>
      </c>
      <c r="D135" s="76">
        <v>6</v>
      </c>
      <c r="E135" s="78">
        <v>31</v>
      </c>
      <c r="F135" s="74">
        <v>2.6237190250694806</v>
      </c>
      <c r="G135" s="75">
        <v>60</v>
      </c>
      <c r="H135" s="75">
        <v>10</v>
      </c>
      <c r="I135" s="78">
        <v>27</v>
      </c>
      <c r="J135" s="81">
        <v>1.5E-3</v>
      </c>
      <c r="K135" s="77" t="s">
        <v>98</v>
      </c>
      <c r="L135" s="77" t="s">
        <v>36</v>
      </c>
      <c r="M135" s="77" t="s">
        <v>34</v>
      </c>
      <c r="N135" s="77" t="s">
        <v>34</v>
      </c>
      <c r="O135" s="77" t="s">
        <v>34</v>
      </c>
      <c r="P135" s="88" t="s">
        <v>382</v>
      </c>
      <c r="Q135" s="81">
        <v>15</v>
      </c>
      <c r="R135" s="82"/>
      <c r="S135" s="82">
        <v>1.9122648922703658E-4</v>
      </c>
      <c r="T135" s="82">
        <v>790000000</v>
      </c>
      <c r="U135" s="78">
        <v>2774</v>
      </c>
      <c r="V135" s="82">
        <v>1.7919999999999998E-2</v>
      </c>
      <c r="W135" s="82">
        <v>2.3040000000000001E-2</v>
      </c>
      <c r="X135" s="82">
        <v>0.54900000000000004</v>
      </c>
      <c r="Y135" s="78">
        <v>29.6</v>
      </c>
      <c r="Z135" s="78">
        <v>1075</v>
      </c>
      <c r="AA135" s="78">
        <f t="shared" si="52"/>
        <v>400</v>
      </c>
      <c r="AB135" s="81">
        <f t="shared" si="47"/>
        <v>0.82189116447904176</v>
      </c>
      <c r="AC135" s="81">
        <f t="shared" si="54"/>
        <v>227.27272727272737</v>
      </c>
      <c r="AD135" s="81">
        <v>1000</v>
      </c>
      <c r="AE135" s="81">
        <f t="shared" si="55"/>
        <v>930.23255813953483</v>
      </c>
      <c r="AF135" s="81">
        <f t="shared" si="40"/>
        <v>772.72727272727263</v>
      </c>
      <c r="AG135" s="83">
        <v>1</v>
      </c>
      <c r="AH135" s="83">
        <v>3.4</v>
      </c>
      <c r="AI135" s="83">
        <f t="shared" si="51"/>
        <v>0.7727272727272726</v>
      </c>
      <c r="AJ135" s="81">
        <f t="shared" si="56"/>
        <v>340.80288770053494</v>
      </c>
      <c r="AK135" s="81">
        <f t="shared" si="57"/>
        <v>264.18828503917433</v>
      </c>
      <c r="AL135" s="81">
        <f t="shared" si="46"/>
        <v>113.53016042780756</v>
      </c>
      <c r="AM135" s="83">
        <f t="shared" si="58"/>
        <v>0.17647058823529413</v>
      </c>
      <c r="AN135" s="83">
        <v>0.15</v>
      </c>
      <c r="AO135" s="83">
        <v>0.10022</v>
      </c>
      <c r="AP135" s="83">
        <f t="shared" si="59"/>
        <v>0.49953270588235299</v>
      </c>
      <c r="AQ135" s="83">
        <f t="shared" si="53"/>
        <v>0.33312558233827827</v>
      </c>
      <c r="AR135" s="77" t="s">
        <v>34</v>
      </c>
    </row>
    <row r="136" spans="1:44" ht="15" customHeight="1" x14ac:dyDescent="0.25">
      <c r="A136" s="76">
        <v>135</v>
      </c>
      <c r="B136" s="76">
        <v>1996</v>
      </c>
      <c r="C136" s="77" t="s">
        <v>97</v>
      </c>
      <c r="D136" s="76">
        <v>7</v>
      </c>
      <c r="E136" s="78">
        <v>39</v>
      </c>
      <c r="F136" s="74">
        <v>3.1430102719907036</v>
      </c>
      <c r="G136" s="75">
        <v>30</v>
      </c>
      <c r="H136" s="75">
        <v>42</v>
      </c>
      <c r="I136" s="78">
        <v>29</v>
      </c>
      <c r="J136" s="81">
        <v>4.3299999999999998E-2</v>
      </c>
      <c r="K136" s="77" t="s">
        <v>98</v>
      </c>
      <c r="L136" s="77" t="s">
        <v>36</v>
      </c>
      <c r="M136" s="77" t="s">
        <v>289</v>
      </c>
      <c r="N136" s="77">
        <v>100</v>
      </c>
      <c r="O136" s="77">
        <v>20</v>
      </c>
      <c r="P136" s="88"/>
      <c r="Q136" s="81">
        <v>285</v>
      </c>
      <c r="R136" s="82"/>
      <c r="S136" s="82">
        <v>8.3889843041909566E-5</v>
      </c>
      <c r="T136" s="82">
        <v>790000000</v>
      </c>
      <c r="U136" s="78">
        <v>2774</v>
      </c>
      <c r="V136" s="82">
        <v>1.7919999999999998E-2</v>
      </c>
      <c r="W136" s="82">
        <v>2.3040000000000001E-2</v>
      </c>
      <c r="X136" s="82">
        <v>0.54900000000000004</v>
      </c>
      <c r="Y136" s="78">
        <v>29.6</v>
      </c>
      <c r="Z136" s="78">
        <v>1075</v>
      </c>
      <c r="AA136" s="78">
        <f t="shared" si="52"/>
        <v>400</v>
      </c>
      <c r="AB136" s="81">
        <f t="shared" si="47"/>
        <v>0.82189116447904176</v>
      </c>
      <c r="AC136" s="81">
        <f t="shared" si="54"/>
        <v>227.27272727272737</v>
      </c>
      <c r="AD136" s="81">
        <v>1000</v>
      </c>
      <c r="AE136" s="81">
        <f t="shared" si="55"/>
        <v>930.23255813953483</v>
      </c>
      <c r="AF136" s="81">
        <f t="shared" si="40"/>
        <v>772.72727272727263</v>
      </c>
      <c r="AG136" s="83">
        <v>1</v>
      </c>
      <c r="AH136" s="83">
        <v>3.4</v>
      </c>
      <c r="AI136" s="83">
        <f t="shared" si="51"/>
        <v>0.7727272727272726</v>
      </c>
      <c r="AJ136" s="81">
        <f t="shared" si="56"/>
        <v>343.16925133689858</v>
      </c>
      <c r="AK136" s="81">
        <f t="shared" si="57"/>
        <v>266.02267545496017</v>
      </c>
      <c r="AL136" s="81">
        <f t="shared" si="46"/>
        <v>115.89652406417119</v>
      </c>
      <c r="AM136" s="83">
        <f t="shared" si="58"/>
        <v>0.17647058823529413</v>
      </c>
      <c r="AN136" s="83">
        <v>0.15</v>
      </c>
      <c r="AO136" s="83">
        <v>0.10345</v>
      </c>
      <c r="AP136" s="83">
        <f t="shared" si="59"/>
        <v>0.50994470588235297</v>
      </c>
      <c r="AQ136" s="83">
        <f t="shared" si="53"/>
        <v>0.33772409274044318</v>
      </c>
      <c r="AR136" s="77" t="s">
        <v>335</v>
      </c>
    </row>
    <row r="137" spans="1:44" ht="15" customHeight="1" x14ac:dyDescent="0.25">
      <c r="A137" s="76">
        <v>136</v>
      </c>
      <c r="B137" s="76">
        <v>1996</v>
      </c>
      <c r="C137" s="77" t="s">
        <v>97</v>
      </c>
      <c r="D137" s="76">
        <v>8</v>
      </c>
      <c r="E137" s="78">
        <v>31</v>
      </c>
      <c r="F137" s="74">
        <v>3.0564617308371669</v>
      </c>
      <c r="G137" s="75">
        <v>40</v>
      </c>
      <c r="H137" s="75">
        <v>25</v>
      </c>
      <c r="I137" s="78">
        <v>17</v>
      </c>
      <c r="J137" s="81">
        <v>0.02</v>
      </c>
      <c r="K137" s="77" t="s">
        <v>98</v>
      </c>
      <c r="L137" s="77" t="s">
        <v>36</v>
      </c>
      <c r="M137" s="77" t="s">
        <v>289</v>
      </c>
      <c r="N137" s="77">
        <v>100</v>
      </c>
      <c r="O137" s="77">
        <v>20</v>
      </c>
      <c r="P137" s="88"/>
      <c r="Q137" s="81">
        <v>175</v>
      </c>
      <c r="R137" s="82"/>
      <c r="S137" s="82">
        <v>1.1235870920442344E-4</v>
      </c>
      <c r="T137" s="82">
        <v>790000000</v>
      </c>
      <c r="U137" s="78">
        <v>2774</v>
      </c>
      <c r="V137" s="82">
        <v>1.7919999999999998E-2</v>
      </c>
      <c r="W137" s="82">
        <v>2.3040000000000001E-2</v>
      </c>
      <c r="X137" s="82">
        <v>0.54900000000000004</v>
      </c>
      <c r="Y137" s="78">
        <v>29.6</v>
      </c>
      <c r="Z137" s="78">
        <v>1075</v>
      </c>
      <c r="AA137" s="78">
        <f t="shared" si="52"/>
        <v>400</v>
      </c>
      <c r="AB137" s="81">
        <f t="shared" si="47"/>
        <v>0.82189116447904176</v>
      </c>
      <c r="AC137" s="81">
        <f t="shared" si="54"/>
        <v>227.27272727272737</v>
      </c>
      <c r="AD137" s="81">
        <v>1000</v>
      </c>
      <c r="AE137" s="81">
        <f t="shared" si="55"/>
        <v>930.23255813953483</v>
      </c>
      <c r="AF137" s="81">
        <f t="shared" si="40"/>
        <v>772.72727272727263</v>
      </c>
      <c r="AG137" s="83">
        <v>1</v>
      </c>
      <c r="AH137" s="83">
        <v>3.4</v>
      </c>
      <c r="AI137" s="83">
        <f t="shared" si="51"/>
        <v>0.7727272727272726</v>
      </c>
      <c r="AJ137" s="81">
        <f t="shared" si="56"/>
        <v>338.81748663101621</v>
      </c>
      <c r="AK137" s="81">
        <f t="shared" si="57"/>
        <v>262.6492144426482</v>
      </c>
      <c r="AL137" s="81">
        <f t="shared" si="46"/>
        <v>111.54475935828886</v>
      </c>
      <c r="AM137" s="83">
        <f t="shared" si="58"/>
        <v>0.17647058823529413</v>
      </c>
      <c r="AN137" s="83">
        <v>0.15</v>
      </c>
      <c r="AO137" s="83">
        <v>9.7509999999999999E-2</v>
      </c>
      <c r="AP137" s="83">
        <f t="shared" si="59"/>
        <v>0.49079694117647066</v>
      </c>
      <c r="AQ137" s="83">
        <f t="shared" si="53"/>
        <v>0.32921783485090572</v>
      </c>
      <c r="AR137" s="77" t="s">
        <v>335</v>
      </c>
    </row>
    <row r="138" spans="1:44" ht="15" customHeight="1" x14ac:dyDescent="0.25">
      <c r="A138" s="76">
        <v>137</v>
      </c>
      <c r="B138" s="76">
        <v>1996</v>
      </c>
      <c r="C138" s="77" t="s">
        <v>97</v>
      </c>
      <c r="D138" s="76">
        <v>9</v>
      </c>
      <c r="E138" s="78">
        <v>30</v>
      </c>
      <c r="F138" s="74">
        <v>2.9699131896836297</v>
      </c>
      <c r="G138" s="75">
        <v>50</v>
      </c>
      <c r="H138" s="75">
        <v>15</v>
      </c>
      <c r="I138" s="78">
        <v>17</v>
      </c>
      <c r="J138" s="81">
        <v>4.9599999999999998E-2</v>
      </c>
      <c r="K138" s="77" t="s">
        <v>98</v>
      </c>
      <c r="L138" s="77" t="s">
        <v>36</v>
      </c>
      <c r="M138" s="77" t="s">
        <v>289</v>
      </c>
      <c r="N138" s="77">
        <v>100</v>
      </c>
      <c r="O138" s="77">
        <v>20</v>
      </c>
      <c r="P138" s="88"/>
      <c r="Q138" s="81">
        <v>85</v>
      </c>
      <c r="R138" s="82"/>
      <c r="S138" s="82">
        <v>1.477918785681579E-4</v>
      </c>
      <c r="T138" s="82">
        <v>790000000</v>
      </c>
      <c r="U138" s="78">
        <v>2774</v>
      </c>
      <c r="V138" s="82">
        <v>1.7919999999999998E-2</v>
      </c>
      <c r="W138" s="82">
        <v>2.3040000000000001E-2</v>
      </c>
      <c r="X138" s="82">
        <v>0.54900000000000004</v>
      </c>
      <c r="Y138" s="78">
        <v>29.6</v>
      </c>
      <c r="Z138" s="78">
        <v>1075</v>
      </c>
      <c r="AA138" s="78">
        <f t="shared" si="52"/>
        <v>400</v>
      </c>
      <c r="AB138" s="81">
        <f t="shared" si="47"/>
        <v>0.82189116447904176</v>
      </c>
      <c r="AC138" s="81">
        <f t="shared" si="54"/>
        <v>227.27272727272737</v>
      </c>
      <c r="AD138" s="81">
        <v>1000</v>
      </c>
      <c r="AE138" s="81">
        <f t="shared" si="55"/>
        <v>930.23255813953483</v>
      </c>
      <c r="AF138" s="81">
        <f t="shared" si="40"/>
        <v>772.72727272727263</v>
      </c>
      <c r="AG138" s="83">
        <v>1</v>
      </c>
      <c r="AH138" s="83">
        <v>3.4</v>
      </c>
      <c r="AI138" s="83">
        <f t="shared" si="51"/>
        <v>0.7727272727272726</v>
      </c>
      <c r="AJ138" s="81">
        <f t="shared" si="56"/>
        <v>320.57524064171139</v>
      </c>
      <c r="AK138" s="81">
        <f t="shared" si="57"/>
        <v>248.50793848194681</v>
      </c>
      <c r="AL138" s="81">
        <f t="shared" si="46"/>
        <v>93.302513368984009</v>
      </c>
      <c r="AM138" s="83">
        <f t="shared" si="58"/>
        <v>0.17647058823529413</v>
      </c>
      <c r="AN138" s="83">
        <v>0.15</v>
      </c>
      <c r="AO138" s="83">
        <v>7.2609999999999994E-2</v>
      </c>
      <c r="AP138" s="83">
        <f t="shared" si="59"/>
        <v>0.41053105882352942</v>
      </c>
      <c r="AQ138" s="83">
        <f t="shared" si="53"/>
        <v>0.29104716004335124</v>
      </c>
      <c r="AR138" s="77" t="s">
        <v>335</v>
      </c>
    </row>
    <row r="139" spans="1:44" ht="15" customHeight="1" x14ac:dyDescent="0.25">
      <c r="A139" s="76">
        <v>138</v>
      </c>
      <c r="B139" s="76">
        <v>1996</v>
      </c>
      <c r="C139" s="77" t="s">
        <v>97</v>
      </c>
      <c r="D139" s="76">
        <v>10</v>
      </c>
      <c r="E139" s="78">
        <v>21</v>
      </c>
      <c r="F139" s="74">
        <v>2.8833646485300921</v>
      </c>
      <c r="G139" s="75">
        <v>70</v>
      </c>
      <c r="H139" s="75">
        <v>6</v>
      </c>
      <c r="I139" s="78">
        <v>6</v>
      </c>
      <c r="J139" s="81">
        <v>8.8000000000000005E-3</v>
      </c>
      <c r="K139" s="77" t="s">
        <v>98</v>
      </c>
      <c r="L139" s="77" t="s">
        <v>36</v>
      </c>
      <c r="M139" s="77" t="s">
        <v>289</v>
      </c>
      <c r="N139" s="77">
        <v>100</v>
      </c>
      <c r="O139" s="77">
        <v>20</v>
      </c>
      <c r="P139" s="88"/>
      <c r="Q139" s="81">
        <v>76</v>
      </c>
      <c r="R139" s="82"/>
      <c r="S139" s="82">
        <v>2.4373839204435552E-4</v>
      </c>
      <c r="T139" s="82">
        <v>790000000</v>
      </c>
      <c r="U139" s="78">
        <v>2774</v>
      </c>
      <c r="V139" s="82">
        <v>1.7919999999999998E-2</v>
      </c>
      <c r="W139" s="82">
        <v>2.3040000000000001E-2</v>
      </c>
      <c r="X139" s="82">
        <v>0.54900000000000004</v>
      </c>
      <c r="Y139" s="78">
        <v>29.6</v>
      </c>
      <c r="Z139" s="78">
        <v>1075</v>
      </c>
      <c r="AA139" s="78">
        <f t="shared" si="52"/>
        <v>400</v>
      </c>
      <c r="AB139" s="81">
        <f t="shared" si="47"/>
        <v>0.82189116447904176</v>
      </c>
      <c r="AC139" s="81">
        <f t="shared" si="54"/>
        <v>227.27272727272737</v>
      </c>
      <c r="AD139" s="81">
        <v>1000</v>
      </c>
      <c r="AE139" s="81">
        <f t="shared" si="55"/>
        <v>930.23255813953483</v>
      </c>
      <c r="AF139" s="81">
        <f t="shared" si="40"/>
        <v>772.72727272727263</v>
      </c>
      <c r="AG139" s="83">
        <v>1</v>
      </c>
      <c r="AH139" s="83">
        <v>3.4</v>
      </c>
      <c r="AI139" s="83">
        <f t="shared" si="51"/>
        <v>0.7727272727272726</v>
      </c>
      <c r="AJ139" s="81">
        <f t="shared" si="56"/>
        <v>335.63791443850283</v>
      </c>
      <c r="AK139" s="81">
        <f t="shared" si="57"/>
        <v>260.184429797289</v>
      </c>
      <c r="AL139" s="81">
        <f t="shared" si="46"/>
        <v>108.36518716577547</v>
      </c>
      <c r="AM139" s="83">
        <f t="shared" si="58"/>
        <v>0.17647058823529413</v>
      </c>
      <c r="AN139" s="83">
        <v>0.15</v>
      </c>
      <c r="AO139" s="83">
        <v>9.3170000000000003E-2</v>
      </c>
      <c r="AP139" s="83">
        <f t="shared" si="59"/>
        <v>0.47680682352941184</v>
      </c>
      <c r="AQ139" s="83">
        <f t="shared" si="53"/>
        <v>0.32286336705155116</v>
      </c>
      <c r="AR139" s="77" t="s">
        <v>335</v>
      </c>
    </row>
    <row r="140" spans="1:44" ht="15" customHeight="1" x14ac:dyDescent="0.25">
      <c r="A140" s="76">
        <v>139</v>
      </c>
      <c r="B140" s="76">
        <v>1996</v>
      </c>
      <c r="C140" s="77" t="s">
        <v>97</v>
      </c>
      <c r="D140" s="76">
        <v>11</v>
      </c>
      <c r="E140" s="78">
        <v>27</v>
      </c>
      <c r="F140" s="74">
        <v>2.8833646485300921</v>
      </c>
      <c r="G140" s="75">
        <v>80</v>
      </c>
      <c r="H140" s="75">
        <v>4</v>
      </c>
      <c r="I140" s="78">
        <v>6</v>
      </c>
      <c r="J140" s="81">
        <v>1.8100000000000002E-2</v>
      </c>
      <c r="K140" s="77" t="s">
        <v>98</v>
      </c>
      <c r="L140" s="77" t="s">
        <v>36</v>
      </c>
      <c r="M140" s="77" t="s">
        <v>289</v>
      </c>
      <c r="N140" s="77">
        <v>100</v>
      </c>
      <c r="O140" s="77">
        <v>20</v>
      </c>
      <c r="P140" s="88"/>
      <c r="Q140" s="81">
        <v>55</v>
      </c>
      <c r="R140" s="82"/>
      <c r="S140" s="82">
        <v>3.0643067029350566E-4</v>
      </c>
      <c r="T140" s="82">
        <v>790000000</v>
      </c>
      <c r="U140" s="78">
        <v>2774</v>
      </c>
      <c r="V140" s="82">
        <v>1.7919999999999998E-2</v>
      </c>
      <c r="W140" s="82">
        <v>2.3040000000000001E-2</v>
      </c>
      <c r="X140" s="82">
        <v>0.54900000000000004</v>
      </c>
      <c r="Y140" s="78">
        <v>29.6</v>
      </c>
      <c r="Z140" s="78">
        <v>1075</v>
      </c>
      <c r="AA140" s="78">
        <f t="shared" si="52"/>
        <v>400</v>
      </c>
      <c r="AB140" s="81">
        <f t="shared" si="47"/>
        <v>0.82189116447904176</v>
      </c>
      <c r="AC140" s="81">
        <f t="shared" si="54"/>
        <v>227.27272727272737</v>
      </c>
      <c r="AD140" s="81">
        <v>1000</v>
      </c>
      <c r="AE140" s="81">
        <f t="shared" si="55"/>
        <v>930.23255813953483</v>
      </c>
      <c r="AF140" s="81">
        <f t="shared" si="40"/>
        <v>772.72727272727263</v>
      </c>
      <c r="AG140" s="83">
        <v>1</v>
      </c>
      <c r="AH140" s="83">
        <v>3.4</v>
      </c>
      <c r="AI140" s="83">
        <f t="shared" si="51"/>
        <v>0.7727272727272726</v>
      </c>
      <c r="AJ140" s="81">
        <f t="shared" si="56"/>
        <v>311.46144385026747</v>
      </c>
      <c r="AK140" s="81">
        <f t="shared" si="57"/>
        <v>241.4429797288895</v>
      </c>
      <c r="AL140" s="81">
        <f t="shared" si="46"/>
        <v>84.188716577540134</v>
      </c>
      <c r="AM140" s="83">
        <f t="shared" si="58"/>
        <v>0.17647058823529413</v>
      </c>
      <c r="AN140" s="83">
        <v>0.15</v>
      </c>
      <c r="AO140" s="83">
        <v>6.0170000000000001E-2</v>
      </c>
      <c r="AP140" s="83">
        <f t="shared" si="59"/>
        <v>0.37043035294117649</v>
      </c>
      <c r="AQ140" s="83">
        <f t="shared" si="53"/>
        <v>0.27030220991980364</v>
      </c>
      <c r="AR140" s="77" t="s">
        <v>335</v>
      </c>
    </row>
    <row r="141" spans="1:44" ht="15" customHeight="1" x14ac:dyDescent="0.25">
      <c r="A141" s="1">
        <v>140</v>
      </c>
      <c r="B141" s="1">
        <v>1996</v>
      </c>
      <c r="C141" s="28" t="s">
        <v>97</v>
      </c>
      <c r="D141" s="1">
        <v>12</v>
      </c>
      <c r="E141" s="8">
        <v>19</v>
      </c>
      <c r="F141" s="35">
        <v>2.8833646485300921</v>
      </c>
      <c r="G141" s="59">
        <v>90</v>
      </c>
      <c r="H141" s="59">
        <v>3</v>
      </c>
      <c r="I141" s="8">
        <v>4</v>
      </c>
      <c r="J141" s="51">
        <v>1.6199999999999999E-2</v>
      </c>
      <c r="K141" s="28" t="s">
        <v>98</v>
      </c>
      <c r="L141" s="28" t="s">
        <v>36</v>
      </c>
      <c r="M141" s="28" t="s">
        <v>289</v>
      </c>
      <c r="N141" s="28">
        <v>100</v>
      </c>
      <c r="O141" s="28">
        <v>20</v>
      </c>
      <c r="P141" s="89"/>
      <c r="Q141" s="51">
        <v>58</v>
      </c>
      <c r="R141" s="9"/>
      <c r="S141" s="9">
        <v>3.8042223515575592E-4</v>
      </c>
      <c r="T141" s="9">
        <v>790000000</v>
      </c>
      <c r="U141" s="8">
        <v>2774</v>
      </c>
      <c r="V141" s="9">
        <v>1.7919999999999998E-2</v>
      </c>
      <c r="W141" s="9">
        <v>2.3040000000000001E-2</v>
      </c>
      <c r="X141" s="9">
        <v>0.54900000000000004</v>
      </c>
      <c r="Y141" s="8">
        <v>29.6</v>
      </c>
      <c r="Z141" s="8">
        <v>1075</v>
      </c>
      <c r="AA141" s="8">
        <f t="shared" si="52"/>
        <v>400</v>
      </c>
      <c r="AB141" s="51">
        <f t="shared" ref="AB141:AB149" si="60">POWER(3/(4*PI())*AE141/AA141,1/3)</f>
        <v>0.82189116447904176</v>
      </c>
      <c r="AC141" s="51">
        <f t="shared" si="54"/>
        <v>227.27272727272737</v>
      </c>
      <c r="AD141" s="51">
        <v>1000</v>
      </c>
      <c r="AE141" s="51">
        <f t="shared" si="55"/>
        <v>930.23255813953483</v>
      </c>
      <c r="AF141" s="51">
        <f t="shared" si="40"/>
        <v>772.72727272727263</v>
      </c>
      <c r="AG141" s="52">
        <v>1</v>
      </c>
      <c r="AH141" s="52">
        <v>3.4</v>
      </c>
      <c r="AI141" s="52">
        <f t="shared" si="51"/>
        <v>0.7727272727272726</v>
      </c>
      <c r="AJ141" s="51">
        <f t="shared" si="56"/>
        <v>314.39925133689849</v>
      </c>
      <c r="AK141" s="51">
        <f t="shared" si="57"/>
        <v>243.72034987356471</v>
      </c>
      <c r="AL141" s="51">
        <f t="shared" si="46"/>
        <v>87.126524064171136</v>
      </c>
      <c r="AM141" s="52">
        <f t="shared" si="58"/>
        <v>0.17647058823529413</v>
      </c>
      <c r="AN141" s="52">
        <v>0.15</v>
      </c>
      <c r="AO141" s="52">
        <v>6.4180000000000001E-2</v>
      </c>
      <c r="AP141" s="52">
        <f t="shared" si="59"/>
        <v>0.38335670588235293</v>
      </c>
      <c r="AQ141" s="52">
        <f t="shared" si="53"/>
        <v>0.27712064737332853</v>
      </c>
      <c r="AR141" s="28" t="s">
        <v>335</v>
      </c>
    </row>
    <row r="142" spans="1:44" ht="15" customHeight="1" x14ac:dyDescent="0.25">
      <c r="A142" s="76">
        <v>141</v>
      </c>
      <c r="B142" s="76">
        <v>1996</v>
      </c>
      <c r="C142" s="77" t="s">
        <v>70</v>
      </c>
      <c r="D142" s="76">
        <v>1</v>
      </c>
      <c r="E142" s="78">
        <v>24</v>
      </c>
      <c r="F142" s="79">
        <v>2</v>
      </c>
      <c r="G142" s="80">
        <v>50</v>
      </c>
      <c r="H142" s="80">
        <v>12</v>
      </c>
      <c r="I142" s="78">
        <v>12</v>
      </c>
      <c r="J142" s="81">
        <v>7.7999999999999996E-3</v>
      </c>
      <c r="K142" s="77" t="s">
        <v>306</v>
      </c>
      <c r="L142" s="77" t="s">
        <v>385</v>
      </c>
      <c r="M142" s="77" t="s">
        <v>289</v>
      </c>
      <c r="N142" s="77">
        <v>80</v>
      </c>
      <c r="O142" s="77">
        <v>30</v>
      </c>
      <c r="P142" s="78"/>
      <c r="Q142" s="81">
        <v>44</v>
      </c>
      <c r="R142" s="82"/>
      <c r="S142" s="82">
        <v>1.0013818676096965E-3</v>
      </c>
      <c r="T142" s="82">
        <v>7500000000</v>
      </c>
      <c r="U142" s="78">
        <v>2883</v>
      </c>
      <c r="V142" s="82">
        <v>1.7919999999999998E-2</v>
      </c>
      <c r="W142" s="82">
        <v>2.3040000000000001E-2</v>
      </c>
      <c r="X142" s="82">
        <v>0.54900000000000004</v>
      </c>
      <c r="Y142" s="78">
        <v>29.6</v>
      </c>
      <c r="Z142" s="78">
        <v>1075</v>
      </c>
      <c r="AA142" s="78">
        <f t="shared" si="52"/>
        <v>400</v>
      </c>
      <c r="AB142" s="81">
        <f t="shared" si="60"/>
        <v>0.82189116447904176</v>
      </c>
      <c r="AC142" s="81">
        <f t="shared" si="54"/>
        <v>150</v>
      </c>
      <c r="AD142" s="81">
        <v>1000</v>
      </c>
      <c r="AE142" s="81">
        <f t="shared" si="55"/>
        <v>930.23255813953483</v>
      </c>
      <c r="AF142" s="81">
        <f t="shared" si="40"/>
        <v>850</v>
      </c>
      <c r="AG142" s="83">
        <v>1</v>
      </c>
      <c r="AH142" s="83">
        <f t="shared" ref="AH142:AH148" si="61">AI142/(1-AI142)</f>
        <v>5.6666666666666661</v>
      </c>
      <c r="AI142" s="83">
        <v>0.85</v>
      </c>
      <c r="AJ142" s="81">
        <f t="shared" si="56"/>
        <v>324.81294117647059</v>
      </c>
      <c r="AK142" s="81">
        <f t="shared" si="57"/>
        <v>251.79297765617875</v>
      </c>
      <c r="AL142" s="81">
        <f t="shared" si="46"/>
        <v>174.81294117647059</v>
      </c>
      <c r="AM142" s="83">
        <f t="shared" si="58"/>
        <v>0.17647058823529413</v>
      </c>
      <c r="AN142" s="83">
        <v>0.15</v>
      </c>
      <c r="AO142" s="83">
        <v>0.18013000000000001</v>
      </c>
      <c r="AP142" s="83">
        <f t="shared" si="59"/>
        <v>1.1654196078431371</v>
      </c>
      <c r="AQ142" s="83">
        <f t="shared" si="53"/>
        <v>0.53819573981042479</v>
      </c>
      <c r="AR142" s="77" t="s">
        <v>338</v>
      </c>
    </row>
    <row r="143" spans="1:44" ht="15" customHeight="1" x14ac:dyDescent="0.25">
      <c r="A143" s="76">
        <v>142</v>
      </c>
      <c r="B143" s="76">
        <v>1996</v>
      </c>
      <c r="C143" s="77" t="s">
        <v>70</v>
      </c>
      <c r="D143" s="76">
        <v>2</v>
      </c>
      <c r="E143" s="78">
        <v>19</v>
      </c>
      <c r="F143" s="79">
        <v>2</v>
      </c>
      <c r="G143" s="80">
        <v>50</v>
      </c>
      <c r="H143" s="80">
        <v>12</v>
      </c>
      <c r="I143" s="78">
        <v>9</v>
      </c>
      <c r="J143" s="81">
        <v>8.2000000000000007E-3</v>
      </c>
      <c r="K143" s="77" t="s">
        <v>306</v>
      </c>
      <c r="L143" s="77" t="s">
        <v>385</v>
      </c>
      <c r="M143" s="77" t="s">
        <v>289</v>
      </c>
      <c r="N143" s="77">
        <v>80</v>
      </c>
      <c r="O143" s="77">
        <v>30</v>
      </c>
      <c r="P143" s="78"/>
      <c r="Q143" s="81">
        <v>58</v>
      </c>
      <c r="R143" s="82"/>
      <c r="S143" s="82">
        <v>1.0013818676096965E-3</v>
      </c>
      <c r="T143" s="82">
        <v>7500000000</v>
      </c>
      <c r="U143" s="78">
        <v>2883</v>
      </c>
      <c r="V143" s="82">
        <v>1.7919999999999998E-2</v>
      </c>
      <c r="W143" s="82">
        <v>2.3040000000000001E-2</v>
      </c>
      <c r="X143" s="82">
        <v>0.54900000000000004</v>
      </c>
      <c r="Y143" s="78">
        <v>29.6</v>
      </c>
      <c r="Z143" s="78">
        <v>1075</v>
      </c>
      <c r="AA143" s="78">
        <f t="shared" si="52"/>
        <v>400</v>
      </c>
      <c r="AB143" s="81">
        <f t="shared" si="60"/>
        <v>0.82189116447904176</v>
      </c>
      <c r="AC143" s="81">
        <f t="shared" si="54"/>
        <v>150</v>
      </c>
      <c r="AD143" s="81">
        <v>1000</v>
      </c>
      <c r="AE143" s="81">
        <f t="shared" si="55"/>
        <v>930.23255813953483</v>
      </c>
      <c r="AF143" s="81">
        <f t="shared" si="40"/>
        <v>850</v>
      </c>
      <c r="AG143" s="83">
        <v>1</v>
      </c>
      <c r="AH143" s="83">
        <f t="shared" si="61"/>
        <v>5.6666666666666661</v>
      </c>
      <c r="AI143" s="83">
        <v>0.85</v>
      </c>
      <c r="AJ143" s="81">
        <f t="shared" si="56"/>
        <v>318.20000000000005</v>
      </c>
      <c r="AK143" s="81">
        <f t="shared" si="57"/>
        <v>246.66666666666671</v>
      </c>
      <c r="AL143" s="81">
        <f t="shared" si="46"/>
        <v>168.20000000000005</v>
      </c>
      <c r="AM143" s="83">
        <f t="shared" si="58"/>
        <v>0.17647058823529413</v>
      </c>
      <c r="AN143" s="83">
        <v>0.15</v>
      </c>
      <c r="AO143" s="83">
        <v>0.1721</v>
      </c>
      <c r="AP143" s="83">
        <f t="shared" si="59"/>
        <v>1.1213333333333333</v>
      </c>
      <c r="AQ143" s="83">
        <f t="shared" si="53"/>
        <v>0.52859836580766817</v>
      </c>
      <c r="AR143" s="77" t="s">
        <v>325</v>
      </c>
    </row>
    <row r="144" spans="1:44" ht="15" customHeight="1" x14ac:dyDescent="0.25">
      <c r="A144" s="76">
        <v>143</v>
      </c>
      <c r="B144" s="76">
        <v>1996</v>
      </c>
      <c r="C144" s="77" t="s">
        <v>70</v>
      </c>
      <c r="D144" s="76">
        <v>3</v>
      </c>
      <c r="E144" s="78">
        <v>19</v>
      </c>
      <c r="F144" s="79">
        <v>2</v>
      </c>
      <c r="G144" s="80">
        <v>50</v>
      </c>
      <c r="H144" s="80">
        <v>12</v>
      </c>
      <c r="I144" s="78">
        <v>9</v>
      </c>
      <c r="J144" s="81">
        <v>2.1299999999999999E-2</v>
      </c>
      <c r="K144" s="77" t="s">
        <v>306</v>
      </c>
      <c r="L144" s="77" t="s">
        <v>385</v>
      </c>
      <c r="M144" s="77" t="s">
        <v>289</v>
      </c>
      <c r="N144" s="77">
        <v>80</v>
      </c>
      <c r="O144" s="77">
        <v>30</v>
      </c>
      <c r="P144" s="78"/>
      <c r="Q144" s="81">
        <v>61</v>
      </c>
      <c r="R144" s="82"/>
      <c r="S144" s="82">
        <v>1.0013818676096965E-3</v>
      </c>
      <c r="T144" s="82">
        <v>7500000000</v>
      </c>
      <c r="U144" s="78">
        <v>2883</v>
      </c>
      <c r="V144" s="82">
        <v>1.7919999999999998E-2</v>
      </c>
      <c r="W144" s="82">
        <v>2.3040000000000001E-2</v>
      </c>
      <c r="X144" s="82">
        <v>0.54900000000000004</v>
      </c>
      <c r="Y144" s="78">
        <v>29.6</v>
      </c>
      <c r="Z144" s="78">
        <v>1075</v>
      </c>
      <c r="AA144" s="78">
        <f t="shared" si="52"/>
        <v>400</v>
      </c>
      <c r="AB144" s="81">
        <f t="shared" si="60"/>
        <v>0.82189116447904176</v>
      </c>
      <c r="AC144" s="81">
        <f t="shared" si="54"/>
        <v>150</v>
      </c>
      <c r="AD144" s="81">
        <v>1000</v>
      </c>
      <c r="AE144" s="81">
        <f t="shared" si="55"/>
        <v>930.23255813953483</v>
      </c>
      <c r="AF144" s="81">
        <f t="shared" si="40"/>
        <v>850</v>
      </c>
      <c r="AG144" s="83">
        <v>1</v>
      </c>
      <c r="AH144" s="83">
        <f t="shared" si="61"/>
        <v>5.6666666666666661</v>
      </c>
      <c r="AI144" s="83">
        <v>0.85</v>
      </c>
      <c r="AJ144" s="81">
        <f t="shared" si="56"/>
        <v>306.15176470588239</v>
      </c>
      <c r="AK144" s="81">
        <f t="shared" si="57"/>
        <v>237.32694938440497</v>
      </c>
      <c r="AL144" s="81">
        <f t="shared" si="46"/>
        <v>156.15176470588239</v>
      </c>
      <c r="AM144" s="83">
        <f t="shared" si="58"/>
        <v>0.17647058823529413</v>
      </c>
      <c r="AN144" s="83">
        <v>0.15</v>
      </c>
      <c r="AO144" s="83">
        <v>0.15747</v>
      </c>
      <c r="AP144" s="83">
        <f t="shared" si="59"/>
        <v>1.0410117647058823</v>
      </c>
      <c r="AQ144" s="83">
        <f t="shared" si="53"/>
        <v>0.51004692021258202</v>
      </c>
      <c r="AR144" s="77" t="s">
        <v>339</v>
      </c>
    </row>
    <row r="145" spans="1:44" ht="15" customHeight="1" x14ac:dyDescent="0.25">
      <c r="A145" s="76">
        <v>144</v>
      </c>
      <c r="B145" s="76">
        <v>1996</v>
      </c>
      <c r="C145" s="77" t="s">
        <v>70</v>
      </c>
      <c r="D145" s="76">
        <v>4</v>
      </c>
      <c r="E145" s="78">
        <v>24</v>
      </c>
      <c r="F145" s="79">
        <v>2</v>
      </c>
      <c r="G145" s="80">
        <v>50</v>
      </c>
      <c r="H145" s="80">
        <v>12</v>
      </c>
      <c r="I145" s="78">
        <v>12</v>
      </c>
      <c r="J145" s="81">
        <v>6.3E-3</v>
      </c>
      <c r="K145" s="77" t="s">
        <v>306</v>
      </c>
      <c r="L145" s="77" t="s">
        <v>385</v>
      </c>
      <c r="M145" s="77" t="s">
        <v>289</v>
      </c>
      <c r="N145" s="77">
        <v>40</v>
      </c>
      <c r="O145" s="77">
        <v>180</v>
      </c>
      <c r="P145" s="78"/>
      <c r="Q145" s="81">
        <v>44</v>
      </c>
      <c r="R145" s="82"/>
      <c r="S145" s="82">
        <v>1.0013818676096965E-3</v>
      </c>
      <c r="T145" s="82">
        <v>7500000000</v>
      </c>
      <c r="U145" s="78">
        <v>2883</v>
      </c>
      <c r="V145" s="82">
        <v>1.7919999999999998E-2</v>
      </c>
      <c r="W145" s="82">
        <v>2.3040000000000001E-2</v>
      </c>
      <c r="X145" s="82">
        <v>0.54900000000000004</v>
      </c>
      <c r="Y145" s="78">
        <v>29.6</v>
      </c>
      <c r="Z145" s="78">
        <v>1075</v>
      </c>
      <c r="AA145" s="78">
        <f t="shared" si="52"/>
        <v>400</v>
      </c>
      <c r="AB145" s="81">
        <f t="shared" si="60"/>
        <v>0.82189116447904176</v>
      </c>
      <c r="AC145" s="81">
        <f t="shared" si="54"/>
        <v>150</v>
      </c>
      <c r="AD145" s="81">
        <v>1000</v>
      </c>
      <c r="AE145" s="81">
        <f t="shared" si="55"/>
        <v>930.23255813953483</v>
      </c>
      <c r="AF145" s="81">
        <f t="shared" si="40"/>
        <v>850</v>
      </c>
      <c r="AG145" s="83">
        <v>1</v>
      </c>
      <c r="AH145" s="83">
        <f t="shared" si="61"/>
        <v>5.6666666666666661</v>
      </c>
      <c r="AI145" s="83">
        <v>0.85</v>
      </c>
      <c r="AJ145" s="81">
        <f t="shared" si="56"/>
        <v>313.34117647058821</v>
      </c>
      <c r="AK145" s="81">
        <f t="shared" si="57"/>
        <v>242.90013679890561</v>
      </c>
      <c r="AL145" s="81">
        <f t="shared" si="46"/>
        <v>163.34117647058821</v>
      </c>
      <c r="AM145" s="83">
        <f t="shared" si="58"/>
        <v>0.17647058823529413</v>
      </c>
      <c r="AN145" s="83">
        <v>0.15</v>
      </c>
      <c r="AO145" s="83">
        <v>0.16619999999999999</v>
      </c>
      <c r="AP145" s="83">
        <f t="shared" si="59"/>
        <v>1.0889411764705881</v>
      </c>
      <c r="AQ145" s="83">
        <f t="shared" si="53"/>
        <v>0.52128857850867305</v>
      </c>
      <c r="AR145" s="77" t="s">
        <v>100</v>
      </c>
    </row>
    <row r="146" spans="1:44" ht="15" customHeight="1" x14ac:dyDescent="0.25">
      <c r="A146" s="76">
        <v>145</v>
      </c>
      <c r="B146" s="76">
        <v>1996</v>
      </c>
      <c r="C146" s="77" t="s">
        <v>70</v>
      </c>
      <c r="D146" s="76">
        <v>5</v>
      </c>
      <c r="E146" s="78">
        <v>19</v>
      </c>
      <c r="F146" s="79">
        <v>2</v>
      </c>
      <c r="G146" s="80">
        <v>50</v>
      </c>
      <c r="H146" s="80">
        <v>12</v>
      </c>
      <c r="I146" s="78">
        <v>9</v>
      </c>
      <c r="J146" s="81">
        <v>1.0699999999999999E-2</v>
      </c>
      <c r="K146" s="77" t="s">
        <v>306</v>
      </c>
      <c r="L146" s="77" t="s">
        <v>385</v>
      </c>
      <c r="M146" s="77" t="s">
        <v>289</v>
      </c>
      <c r="N146" s="77">
        <v>80</v>
      </c>
      <c r="O146" s="77">
        <v>30</v>
      </c>
      <c r="P146" s="78"/>
      <c r="Q146" s="81">
        <v>58</v>
      </c>
      <c r="R146" s="82"/>
      <c r="S146" s="82">
        <v>1.0013818676096965E-3</v>
      </c>
      <c r="T146" s="82">
        <v>7500000000</v>
      </c>
      <c r="U146" s="78">
        <v>2883</v>
      </c>
      <c r="V146" s="82">
        <v>1.7919999999999998E-2</v>
      </c>
      <c r="W146" s="82">
        <v>2.3040000000000001E-2</v>
      </c>
      <c r="X146" s="82">
        <v>0.54900000000000004</v>
      </c>
      <c r="Y146" s="78">
        <v>29.6</v>
      </c>
      <c r="Z146" s="78">
        <v>1075</v>
      </c>
      <c r="AA146" s="78">
        <f t="shared" si="52"/>
        <v>400</v>
      </c>
      <c r="AB146" s="81">
        <f t="shared" si="60"/>
        <v>0.82189116447904176</v>
      </c>
      <c r="AC146" s="81">
        <f t="shared" si="54"/>
        <v>150</v>
      </c>
      <c r="AD146" s="81">
        <v>1000</v>
      </c>
      <c r="AE146" s="81">
        <f t="shared" si="55"/>
        <v>930.23255813953483</v>
      </c>
      <c r="AF146" s="81">
        <f t="shared" si="40"/>
        <v>850</v>
      </c>
      <c r="AG146" s="83">
        <v>1</v>
      </c>
      <c r="AH146" s="83">
        <f t="shared" si="61"/>
        <v>5.6666666666666661</v>
      </c>
      <c r="AI146" s="83">
        <v>0.85</v>
      </c>
      <c r="AJ146" s="81">
        <f t="shared" si="56"/>
        <v>323.07529411764705</v>
      </c>
      <c r="AK146" s="81">
        <f t="shared" si="57"/>
        <v>250.44596443228451</v>
      </c>
      <c r="AL146" s="81">
        <f t="shared" si="46"/>
        <v>173.07529411764705</v>
      </c>
      <c r="AM146" s="83">
        <f t="shared" si="58"/>
        <v>0.17647058823529413</v>
      </c>
      <c r="AN146" s="83">
        <v>0.15</v>
      </c>
      <c r="AO146" s="83">
        <v>0.17802000000000001</v>
      </c>
      <c r="AP146" s="83">
        <f t="shared" si="59"/>
        <v>1.1538352941176468</v>
      </c>
      <c r="AQ146" s="83">
        <f t="shared" si="53"/>
        <v>0.53571194476610806</v>
      </c>
      <c r="AR146" s="77" t="s">
        <v>340</v>
      </c>
    </row>
    <row r="147" spans="1:44" ht="15" customHeight="1" x14ac:dyDescent="0.25">
      <c r="A147" s="76">
        <v>146</v>
      </c>
      <c r="B147" s="76">
        <v>1996</v>
      </c>
      <c r="C147" s="77" t="s">
        <v>70</v>
      </c>
      <c r="D147" s="76">
        <v>6</v>
      </c>
      <c r="E147" s="78">
        <v>19</v>
      </c>
      <c r="F147" s="79">
        <v>2</v>
      </c>
      <c r="G147" s="80">
        <v>50</v>
      </c>
      <c r="H147" s="80">
        <v>12</v>
      </c>
      <c r="I147" s="78">
        <v>9</v>
      </c>
      <c r="J147" s="81">
        <v>3.9800000000000002E-2</v>
      </c>
      <c r="K147" s="77" t="s">
        <v>306</v>
      </c>
      <c r="L147" s="77" t="s">
        <v>385</v>
      </c>
      <c r="M147" s="77" t="s">
        <v>289</v>
      </c>
      <c r="N147" s="77">
        <v>80</v>
      </c>
      <c r="O147" s="77">
        <v>30</v>
      </c>
      <c r="P147" s="78"/>
      <c r="Q147" s="81">
        <v>65</v>
      </c>
      <c r="R147" s="82"/>
      <c r="S147" s="82">
        <v>1.0013818676096965E-3</v>
      </c>
      <c r="T147" s="82">
        <v>7500000000</v>
      </c>
      <c r="U147" s="78">
        <v>2883</v>
      </c>
      <c r="V147" s="82">
        <v>1.7919999999999998E-2</v>
      </c>
      <c r="W147" s="82">
        <v>2.3040000000000001E-2</v>
      </c>
      <c r="X147" s="82">
        <v>0.54900000000000004</v>
      </c>
      <c r="Y147" s="78">
        <v>29.6</v>
      </c>
      <c r="Z147" s="78">
        <v>1075</v>
      </c>
      <c r="AA147" s="78">
        <f t="shared" si="52"/>
        <v>400</v>
      </c>
      <c r="AB147" s="81">
        <f t="shared" si="60"/>
        <v>0.82189116447904176</v>
      </c>
      <c r="AC147" s="81">
        <f t="shared" si="54"/>
        <v>150</v>
      </c>
      <c r="AD147" s="81">
        <v>1000</v>
      </c>
      <c r="AE147" s="81">
        <f t="shared" si="55"/>
        <v>930.23255813953483</v>
      </c>
      <c r="AF147" s="81">
        <f t="shared" si="40"/>
        <v>850</v>
      </c>
      <c r="AG147" s="83">
        <v>1</v>
      </c>
      <c r="AH147" s="83">
        <f t="shared" si="61"/>
        <v>5.6666666666666661</v>
      </c>
      <c r="AI147" s="83">
        <v>0.85</v>
      </c>
      <c r="AJ147" s="81">
        <f t="shared" si="56"/>
        <v>311.37294117647059</v>
      </c>
      <c r="AK147" s="81">
        <f t="shared" si="57"/>
        <v>241.37437300501597</v>
      </c>
      <c r="AL147" s="81">
        <f t="shared" si="46"/>
        <v>161.37294117647059</v>
      </c>
      <c r="AM147" s="83">
        <f t="shared" si="58"/>
        <v>0.17647058823529413</v>
      </c>
      <c r="AN147" s="83">
        <v>0.15</v>
      </c>
      <c r="AO147" s="83">
        <v>0.16381000000000001</v>
      </c>
      <c r="AP147" s="83">
        <f t="shared" si="59"/>
        <v>1.0758196078431372</v>
      </c>
      <c r="AQ147" s="83">
        <f t="shared" si="53"/>
        <v>0.51826257145771859</v>
      </c>
      <c r="AR147" s="77" t="s">
        <v>341</v>
      </c>
    </row>
    <row r="148" spans="1:44" ht="15" customHeight="1" x14ac:dyDescent="0.25">
      <c r="A148" s="1">
        <v>147</v>
      </c>
      <c r="B148" s="1">
        <v>1996</v>
      </c>
      <c r="C148" s="28" t="s">
        <v>70</v>
      </c>
      <c r="D148" s="1">
        <v>7</v>
      </c>
      <c r="E148" s="8">
        <v>19</v>
      </c>
      <c r="F148" s="31">
        <v>2</v>
      </c>
      <c r="G148" s="49">
        <v>50</v>
      </c>
      <c r="H148" s="49">
        <v>12</v>
      </c>
      <c r="I148" s="8">
        <v>9</v>
      </c>
      <c r="J148" s="51">
        <v>8.2000000000000007E-3</v>
      </c>
      <c r="K148" s="28" t="s">
        <v>306</v>
      </c>
      <c r="L148" s="28" t="s">
        <v>385</v>
      </c>
      <c r="M148" s="28" t="s">
        <v>289</v>
      </c>
      <c r="N148" s="28">
        <v>80</v>
      </c>
      <c r="O148" s="28">
        <v>30</v>
      </c>
      <c r="P148" s="8"/>
      <c r="Q148" s="51">
        <v>53</v>
      </c>
      <c r="R148" s="9"/>
      <c r="S148" s="9">
        <v>1.0013818676096965E-3</v>
      </c>
      <c r="T148" s="9">
        <v>7500000000</v>
      </c>
      <c r="U148" s="8">
        <v>2883</v>
      </c>
      <c r="V148" s="9">
        <v>1.7919999999999998E-2</v>
      </c>
      <c r="W148" s="9">
        <v>2.3040000000000001E-2</v>
      </c>
      <c r="X148" s="9">
        <v>0.54900000000000004</v>
      </c>
      <c r="Y148" s="8">
        <v>29.6</v>
      </c>
      <c r="Z148" s="8">
        <v>1075</v>
      </c>
      <c r="AA148" s="8">
        <f t="shared" si="52"/>
        <v>400</v>
      </c>
      <c r="AB148" s="51">
        <f t="shared" si="60"/>
        <v>0.82189116447904176</v>
      </c>
      <c r="AC148" s="51">
        <f t="shared" si="54"/>
        <v>150</v>
      </c>
      <c r="AD148" s="51">
        <v>1000</v>
      </c>
      <c r="AE148" s="51">
        <f t="shared" si="55"/>
        <v>930.23255813953483</v>
      </c>
      <c r="AF148" s="51">
        <f t="shared" si="40"/>
        <v>850</v>
      </c>
      <c r="AG148" s="52">
        <v>1</v>
      </c>
      <c r="AH148" s="52">
        <f t="shared" si="61"/>
        <v>5.6666666666666661</v>
      </c>
      <c r="AI148" s="52">
        <v>0.85</v>
      </c>
      <c r="AJ148" s="51">
        <f t="shared" si="56"/>
        <v>318.59529411764703</v>
      </c>
      <c r="AK148" s="51">
        <f t="shared" si="57"/>
        <v>246.97309621523024</v>
      </c>
      <c r="AL148" s="51">
        <f t="shared" si="46"/>
        <v>168.59529411764703</v>
      </c>
      <c r="AM148" s="52">
        <f t="shared" si="58"/>
        <v>0.17647058823529413</v>
      </c>
      <c r="AN148" s="52">
        <v>0.15</v>
      </c>
      <c r="AO148" s="52">
        <v>0.17258000000000001</v>
      </c>
      <c r="AP148" s="52">
        <f t="shared" si="59"/>
        <v>1.1239686274509804</v>
      </c>
      <c r="AQ148" s="52">
        <f t="shared" si="53"/>
        <v>0.52918325295599056</v>
      </c>
      <c r="AR148" s="28" t="s">
        <v>342</v>
      </c>
    </row>
    <row r="149" spans="1:44" ht="15" hidden="1" customHeight="1" x14ac:dyDescent="0.25">
      <c r="A149" s="23">
        <v>148</v>
      </c>
      <c r="B149" s="23">
        <v>1997</v>
      </c>
      <c r="C149" s="29" t="s">
        <v>101</v>
      </c>
      <c r="D149" s="23">
        <v>1</v>
      </c>
      <c r="E149" s="24">
        <v>8</v>
      </c>
      <c r="F149" s="36">
        <v>0.38500000000000001</v>
      </c>
      <c r="G149" s="62">
        <v>70</v>
      </c>
      <c r="H149" s="62">
        <v>50</v>
      </c>
      <c r="I149" s="24">
        <v>35</v>
      </c>
      <c r="J149" s="63">
        <v>0.11310000000000001</v>
      </c>
      <c r="K149" s="29" t="s">
        <v>306</v>
      </c>
      <c r="L149" s="29" t="s">
        <v>36</v>
      </c>
      <c r="M149" s="29" t="s">
        <v>34</v>
      </c>
      <c r="N149" s="29" t="s">
        <v>34</v>
      </c>
      <c r="O149" s="29" t="s">
        <v>34</v>
      </c>
      <c r="P149" s="24"/>
      <c r="Q149" s="63">
        <v>6.5</v>
      </c>
      <c r="R149" s="25"/>
      <c r="S149" s="25">
        <v>3.3648754542685565E-4</v>
      </c>
      <c r="T149" s="25">
        <v>940000000</v>
      </c>
      <c r="U149" s="24">
        <v>2723</v>
      </c>
      <c r="V149" s="25">
        <v>0.1792</v>
      </c>
      <c r="W149" s="25">
        <v>2.3040000000000001E-2</v>
      </c>
      <c r="X149" s="25">
        <v>1.49E-2</v>
      </c>
      <c r="Y149" s="24">
        <v>29.6</v>
      </c>
      <c r="Z149" s="24">
        <v>1075</v>
      </c>
      <c r="AA149" s="24">
        <f t="shared" si="52"/>
        <v>400</v>
      </c>
      <c r="AB149" s="63">
        <f t="shared" si="60"/>
        <v>0.82189116447904176</v>
      </c>
      <c r="AC149" s="63">
        <f t="shared" si="54"/>
        <v>250.30142938852839</v>
      </c>
      <c r="AD149" s="63">
        <v>1000</v>
      </c>
      <c r="AE149" s="63">
        <f t="shared" si="55"/>
        <v>930.23255813953483</v>
      </c>
      <c r="AF149" s="63">
        <f t="shared" si="40"/>
        <v>749.69857061147161</v>
      </c>
      <c r="AG149" s="64">
        <v>1</v>
      </c>
      <c r="AH149" s="64">
        <v>2.9951829378000001</v>
      </c>
      <c r="AI149" s="64">
        <f t="shared" ref="AI149:AI180" si="62">AH149/(AH149+1)</f>
        <v>0.7496985706114716</v>
      </c>
      <c r="AJ149" s="63">
        <f t="shared" si="56"/>
        <v>312.28257729970727</v>
      </c>
      <c r="AK149" s="63">
        <f t="shared" si="57"/>
        <v>242.07951728659478</v>
      </c>
      <c r="AL149" s="63">
        <f t="shared" si="46"/>
        <v>61.981147911178894</v>
      </c>
      <c r="AM149" s="64">
        <f t="shared" si="58"/>
        <v>0.17647058823529413</v>
      </c>
      <c r="AN149" s="64">
        <v>0.15</v>
      </c>
      <c r="AO149" s="64">
        <f>(AP149-AM149)/(AH149-AM149)</f>
        <v>2.5243950974881989E-2</v>
      </c>
      <c r="AP149" s="64">
        <v>0.24762602459999999</v>
      </c>
      <c r="AQ149" s="64">
        <f t="shared" si="53"/>
        <v>0.19847776474476084</v>
      </c>
      <c r="AR149" s="29" t="s">
        <v>34</v>
      </c>
    </row>
    <row r="150" spans="1:44" ht="15" hidden="1" customHeight="1" x14ac:dyDescent="0.25">
      <c r="A150" s="3">
        <v>149</v>
      </c>
      <c r="B150" s="3">
        <v>1997</v>
      </c>
      <c r="C150" s="27" t="s">
        <v>102</v>
      </c>
      <c r="D150" s="3">
        <v>1</v>
      </c>
      <c r="E150" s="11">
        <v>13</v>
      </c>
      <c r="F150" s="32">
        <v>1</v>
      </c>
      <c r="G150" s="54">
        <v>29</v>
      </c>
      <c r="H150" s="54">
        <v>65</v>
      </c>
      <c r="I150" s="11">
        <v>480</v>
      </c>
      <c r="J150" s="47">
        <v>0.65410000000000001</v>
      </c>
      <c r="K150" s="27" t="s">
        <v>306</v>
      </c>
      <c r="L150" s="27" t="s">
        <v>305</v>
      </c>
      <c r="M150" s="27" t="s">
        <v>34</v>
      </c>
      <c r="N150" s="27" t="s">
        <v>34</v>
      </c>
      <c r="O150" s="27" t="s">
        <v>34</v>
      </c>
      <c r="P150" s="11"/>
      <c r="Q150" s="47">
        <v>14</v>
      </c>
      <c r="R150" s="4"/>
      <c r="S150" s="4">
        <v>6.8232066828639499E-5</v>
      </c>
      <c r="T150" s="4">
        <v>950000000</v>
      </c>
      <c r="U150" s="11">
        <v>2883</v>
      </c>
      <c r="V150" s="4">
        <v>1.7919999999999998E-2</v>
      </c>
      <c r="W150" s="4">
        <v>2.3040000000000001E-2</v>
      </c>
      <c r="X150" s="4">
        <v>0.14899999999999999</v>
      </c>
      <c r="Y150" s="11">
        <v>29.6</v>
      </c>
      <c r="Z150" s="11">
        <v>1075</v>
      </c>
      <c r="AA150" s="11">
        <f>AD150/2.5*1000</f>
        <v>6000</v>
      </c>
      <c r="AB150" s="47">
        <f>POWER(AE150/AA150*1000*3/(4*PI()),1/3)</f>
        <v>0.82189116447904176</v>
      </c>
      <c r="AC150" s="47">
        <f t="shared" si="54"/>
        <v>3.3846139960557977</v>
      </c>
      <c r="AD150" s="47">
        <v>15</v>
      </c>
      <c r="AE150" s="47">
        <f t="shared" si="55"/>
        <v>13.953488372093023</v>
      </c>
      <c r="AF150" s="47">
        <f t="shared" si="40"/>
        <v>11.615386003944202</v>
      </c>
      <c r="AG150" s="53">
        <v>1</v>
      </c>
      <c r="AH150" s="53">
        <v>3.4318200000000001</v>
      </c>
      <c r="AI150" s="53">
        <f t="shared" si="62"/>
        <v>0.77435906692961354</v>
      </c>
      <c r="AJ150" s="47">
        <f t="shared" si="56"/>
        <v>6.0969421140750333</v>
      </c>
      <c r="AK150" s="47">
        <f t="shared" si="57"/>
        <v>4.7263117163372348</v>
      </c>
      <c r="AL150" s="47">
        <f t="shared" si="46"/>
        <v>2.7123281180192351</v>
      </c>
      <c r="AM150" s="53">
        <f t="shared" si="58"/>
        <v>0.17647058823529413</v>
      </c>
      <c r="AN150" s="53">
        <v>0.15</v>
      </c>
      <c r="AO150" s="53">
        <f>(AP150-AM150)/(AH150-AM150)</f>
        <v>0.19196077984942067</v>
      </c>
      <c r="AP150" s="53">
        <v>0.80137000000000003</v>
      </c>
      <c r="AQ150" s="53">
        <f t="shared" si="53"/>
        <v>0.44486696236753143</v>
      </c>
      <c r="AR150" s="27" t="s">
        <v>34</v>
      </c>
    </row>
    <row r="151" spans="1:44" ht="15" customHeight="1" x14ac:dyDescent="0.25">
      <c r="A151" s="76">
        <v>150</v>
      </c>
      <c r="B151" s="76">
        <v>1997</v>
      </c>
      <c r="C151" s="77" t="s">
        <v>102</v>
      </c>
      <c r="D151" s="76">
        <v>2</v>
      </c>
      <c r="E151" s="78">
        <v>17</v>
      </c>
      <c r="F151" s="73">
        <v>1</v>
      </c>
      <c r="G151" s="56">
        <v>29</v>
      </c>
      <c r="H151" s="56">
        <v>65</v>
      </c>
      <c r="I151" s="78">
        <v>479</v>
      </c>
      <c r="J151" s="81">
        <v>9.9787999999999997</v>
      </c>
      <c r="K151" s="77" t="s">
        <v>306</v>
      </c>
      <c r="L151" s="77" t="s">
        <v>305</v>
      </c>
      <c r="M151" s="77" t="s">
        <v>289</v>
      </c>
      <c r="N151" s="77">
        <v>25</v>
      </c>
      <c r="O151" s="77">
        <v>180</v>
      </c>
      <c r="P151" s="78"/>
      <c r="Q151" s="81">
        <v>190</v>
      </c>
      <c r="R151" s="82"/>
      <c r="S151" s="82">
        <v>6.8232066828639499E-5</v>
      </c>
      <c r="T151" s="82">
        <v>950000000</v>
      </c>
      <c r="U151" s="78">
        <v>2883</v>
      </c>
      <c r="V151" s="82">
        <v>1.7919999999999998E-2</v>
      </c>
      <c r="W151" s="82">
        <v>2.3040000000000001E-2</v>
      </c>
      <c r="X151" s="82">
        <v>0.14899999999999999</v>
      </c>
      <c r="Y151" s="78">
        <v>29.6</v>
      </c>
      <c r="Z151" s="78">
        <v>1075</v>
      </c>
      <c r="AA151" s="78">
        <f>AD151/2.5*1000</f>
        <v>6000</v>
      </c>
      <c r="AB151" s="81">
        <f>POWER(AE151/AA151*1000*3/(4*PI()),1/3)</f>
        <v>0.82189116447904176</v>
      </c>
      <c r="AC151" s="81">
        <f t="shared" si="54"/>
        <v>3.3846139960557977</v>
      </c>
      <c r="AD151" s="81">
        <v>15</v>
      </c>
      <c r="AE151" s="81">
        <f t="shared" si="55"/>
        <v>13.953488372093023</v>
      </c>
      <c r="AF151" s="81">
        <f t="shared" si="40"/>
        <v>11.615386003944202</v>
      </c>
      <c r="AG151" s="83">
        <v>1</v>
      </c>
      <c r="AH151" s="83">
        <v>3.4318200000000001</v>
      </c>
      <c r="AI151" s="83">
        <f t="shared" si="62"/>
        <v>0.77435906692961354</v>
      </c>
      <c r="AJ151" s="81">
        <f t="shared" si="56"/>
        <v>3.8662107215545771</v>
      </c>
      <c r="AK151" s="81">
        <f t="shared" si="57"/>
        <v>2.9970625748485094</v>
      </c>
      <c r="AL151" s="81">
        <f t="shared" si="46"/>
        <v>0.48159672549877941</v>
      </c>
      <c r="AM151" s="83">
        <f>AP151</f>
        <v>0.14229</v>
      </c>
      <c r="AN151" s="83">
        <f>AM151/(AM151+1)</f>
        <v>0.12456556566195974</v>
      </c>
      <c r="AO151" s="83">
        <v>0</v>
      </c>
      <c r="AP151" s="83">
        <v>0.14229</v>
      </c>
      <c r="AQ151" s="83">
        <f t="shared" si="53"/>
        <v>0.12456556566195974</v>
      </c>
      <c r="AR151" s="77" t="s">
        <v>103</v>
      </c>
    </row>
    <row r="152" spans="1:44" ht="15" hidden="1" customHeight="1" x14ac:dyDescent="0.25">
      <c r="A152" s="76">
        <v>151</v>
      </c>
      <c r="B152" s="76">
        <v>1997</v>
      </c>
      <c r="C152" s="77" t="s">
        <v>102</v>
      </c>
      <c r="D152" s="76">
        <v>3</v>
      </c>
      <c r="E152" s="78">
        <v>19</v>
      </c>
      <c r="F152" s="73">
        <v>0.6</v>
      </c>
      <c r="G152" s="56">
        <v>50</v>
      </c>
      <c r="H152" s="56">
        <v>22</v>
      </c>
      <c r="I152" s="78">
        <v>56</v>
      </c>
      <c r="J152" s="81">
        <v>8.2900000000000001E-2</v>
      </c>
      <c r="K152" s="77" t="s">
        <v>306</v>
      </c>
      <c r="L152" s="77" t="s">
        <v>36</v>
      </c>
      <c r="M152" s="77" t="s">
        <v>34</v>
      </c>
      <c r="N152" s="77" t="s">
        <v>34</v>
      </c>
      <c r="O152" s="77" t="s">
        <v>34</v>
      </c>
      <c r="P152" s="78"/>
      <c r="Q152" s="81">
        <v>12</v>
      </c>
      <c r="R152" s="82"/>
      <c r="S152" s="82">
        <v>1.2684170323056155E-4</v>
      </c>
      <c r="T152" s="82">
        <v>950000000</v>
      </c>
      <c r="U152" s="78">
        <v>2883</v>
      </c>
      <c r="V152" s="82">
        <v>1.7919999999999998E-2</v>
      </c>
      <c r="W152" s="82">
        <v>2.3040000000000001E-2</v>
      </c>
      <c r="X152" s="82">
        <v>0.14899999999999999</v>
      </c>
      <c r="Y152" s="78">
        <v>29.6</v>
      </c>
      <c r="Z152" s="78">
        <v>1075</v>
      </c>
      <c r="AA152" s="78">
        <f>AD152/2.5*1000</f>
        <v>6000</v>
      </c>
      <c r="AB152" s="81">
        <f>POWER(AE152/AA152*1000*3/(4*PI()),1/3)</f>
        <v>0.82189116447904176</v>
      </c>
      <c r="AC152" s="81">
        <f t="shared" si="54"/>
        <v>3.3167789212066001</v>
      </c>
      <c r="AD152" s="81">
        <v>15</v>
      </c>
      <c r="AE152" s="81">
        <f t="shared" si="55"/>
        <v>13.953488372093023</v>
      </c>
      <c r="AF152" s="81">
        <f t="shared" si="40"/>
        <v>11.6832210787934</v>
      </c>
      <c r="AG152" s="83">
        <v>1</v>
      </c>
      <c r="AH152" s="83">
        <v>3.5224600000000001</v>
      </c>
      <c r="AI152" s="83">
        <f t="shared" si="62"/>
        <v>0.77888140525289329</v>
      </c>
      <c r="AJ152" s="81">
        <f t="shared" si="56"/>
        <v>4.5089619366451004</v>
      </c>
      <c r="AK152" s="81">
        <f t="shared" si="57"/>
        <v>3.4953193307326358</v>
      </c>
      <c r="AL152" s="81">
        <f t="shared" si="46"/>
        <v>1.1921830154385002</v>
      </c>
      <c r="AM152" s="83">
        <f>AN152/(1-AN152)</f>
        <v>0.17647058823529413</v>
      </c>
      <c r="AN152" s="83">
        <v>0.15</v>
      </c>
      <c r="AO152" s="83">
        <f>(AP152-AM152)/(AH152-AM152)</f>
        <v>5.4683201064944814E-2</v>
      </c>
      <c r="AP152" s="83">
        <v>0.35943999999999998</v>
      </c>
      <c r="AQ152" s="83">
        <f t="shared" si="53"/>
        <v>0.26440298946625079</v>
      </c>
      <c r="AR152" s="77" t="s">
        <v>307</v>
      </c>
    </row>
    <row r="153" spans="1:44" ht="15" hidden="1" customHeight="1" x14ac:dyDescent="0.25">
      <c r="A153" s="1">
        <v>152</v>
      </c>
      <c r="B153" s="1">
        <v>1997</v>
      </c>
      <c r="C153" s="28" t="s">
        <v>102</v>
      </c>
      <c r="D153" s="1">
        <v>4</v>
      </c>
      <c r="E153" s="8">
        <v>19</v>
      </c>
      <c r="F153" s="33">
        <v>0.6</v>
      </c>
      <c r="G153" s="57">
        <v>50</v>
      </c>
      <c r="H153" s="57">
        <v>22</v>
      </c>
      <c r="I153" s="8">
        <v>56</v>
      </c>
      <c r="J153" s="51">
        <v>7.4399999999999994E-2</v>
      </c>
      <c r="K153" s="28" t="s">
        <v>306</v>
      </c>
      <c r="L153" s="28" t="s">
        <v>36</v>
      </c>
      <c r="M153" s="28" t="s">
        <v>34</v>
      </c>
      <c r="N153" s="28" t="s">
        <v>34</v>
      </c>
      <c r="O153" s="28" t="s">
        <v>34</v>
      </c>
      <c r="P153" s="8"/>
      <c r="Q153" s="51">
        <v>14</v>
      </c>
      <c r="R153" s="9"/>
      <c r="S153" s="9">
        <v>1.2684170323056155E-4</v>
      </c>
      <c r="T153" s="9">
        <v>950000000</v>
      </c>
      <c r="U153" s="8">
        <v>2883</v>
      </c>
      <c r="V153" s="9">
        <v>1.7919999999999998E-2</v>
      </c>
      <c r="W153" s="9">
        <v>2.3040000000000001E-2</v>
      </c>
      <c r="X153" s="9">
        <v>0.14899999999999999</v>
      </c>
      <c r="Y153" s="8">
        <v>29.6</v>
      </c>
      <c r="Z153" s="8">
        <v>1075</v>
      </c>
      <c r="AA153" s="8">
        <f>AD153/2.5*1000</f>
        <v>6000</v>
      </c>
      <c r="AB153" s="51">
        <f>POWER(AE153/AA153*1000*3/(4*PI()),1/3)</f>
        <v>0.82189116447904176</v>
      </c>
      <c r="AC153" s="51">
        <f t="shared" si="54"/>
        <v>3.3167789212066001</v>
      </c>
      <c r="AD153" s="51">
        <v>15</v>
      </c>
      <c r="AE153" s="51">
        <f t="shared" si="55"/>
        <v>13.953488372093023</v>
      </c>
      <c r="AF153" s="51">
        <f t="shared" si="40"/>
        <v>11.6832210787934</v>
      </c>
      <c r="AG153" s="52">
        <v>1</v>
      </c>
      <c r="AH153" s="52">
        <v>3.5224600000000001</v>
      </c>
      <c r="AI153" s="52">
        <f t="shared" si="62"/>
        <v>0.77888140525289329</v>
      </c>
      <c r="AJ153" s="51">
        <f t="shared" si="56"/>
        <v>3.8276955462292648</v>
      </c>
      <c r="AK153" s="51">
        <f t="shared" si="57"/>
        <v>2.9672058497901279</v>
      </c>
      <c r="AL153" s="51">
        <f t="shared" si="46"/>
        <v>0.51091662502266477</v>
      </c>
      <c r="AM153" s="52">
        <f>AP153</f>
        <v>0.15404000000000001</v>
      </c>
      <c r="AN153" s="52">
        <f t="shared" ref="AN153:AN160" si="63">AM153/(AM153+1)</f>
        <v>0.13347890887664207</v>
      </c>
      <c r="AO153" s="52">
        <v>0</v>
      </c>
      <c r="AP153" s="52">
        <v>0.15404000000000001</v>
      </c>
      <c r="AQ153" s="52">
        <f t="shared" si="53"/>
        <v>0.13347890887664207</v>
      </c>
      <c r="AR153" s="28" t="s">
        <v>308</v>
      </c>
    </row>
    <row r="154" spans="1:44" ht="15" customHeight="1" x14ac:dyDescent="0.25">
      <c r="A154" s="3">
        <v>153</v>
      </c>
      <c r="B154" s="3">
        <v>1997</v>
      </c>
      <c r="C154" s="27" t="s">
        <v>70</v>
      </c>
      <c r="D154" s="3">
        <v>1</v>
      </c>
      <c r="E154" s="11">
        <v>65</v>
      </c>
      <c r="F154" s="32">
        <v>2</v>
      </c>
      <c r="G154" s="58">
        <v>30</v>
      </c>
      <c r="H154" s="58">
        <v>35</v>
      </c>
      <c r="I154" s="11">
        <v>12</v>
      </c>
      <c r="J154" s="47">
        <v>1.6638999999999999</v>
      </c>
      <c r="K154" s="27" t="s">
        <v>306</v>
      </c>
      <c r="L154" s="27" t="s">
        <v>385</v>
      </c>
      <c r="M154" s="27" t="s">
        <v>289</v>
      </c>
      <c r="N154" s="27">
        <v>25</v>
      </c>
      <c r="O154" s="27">
        <v>180</v>
      </c>
      <c r="P154" s="11"/>
      <c r="Q154" s="47">
        <v>83.5</v>
      </c>
      <c r="R154" s="4"/>
      <c r="S154" s="4">
        <v>0.55343372845515248</v>
      </c>
      <c r="T154" s="4">
        <v>2010000000</v>
      </c>
      <c r="U154" s="11">
        <v>391</v>
      </c>
      <c r="V154" s="4">
        <v>0.1792</v>
      </c>
      <c r="W154" s="4">
        <v>2.3040000000000001E-2</v>
      </c>
      <c r="X154" s="4">
        <v>1.49E-2</v>
      </c>
      <c r="Y154" s="11">
        <v>29.6</v>
      </c>
      <c r="Z154" s="11">
        <v>1075</v>
      </c>
      <c r="AA154" s="11">
        <f t="shared" ref="AA154:AA185" si="64">AD154/2.5</f>
        <v>400</v>
      </c>
      <c r="AB154" s="47">
        <f t="shared" ref="AB154:AB185" si="65">POWER(3/(4*PI())*AE154/AA154,1/3)</f>
        <v>0.82189116447904176</v>
      </c>
      <c r="AC154" s="47">
        <f t="shared" si="54"/>
        <v>219.54734379920717</v>
      </c>
      <c r="AD154" s="47">
        <v>1000</v>
      </c>
      <c r="AE154" s="47">
        <f t="shared" si="55"/>
        <v>930.23255813953483</v>
      </c>
      <c r="AF154" s="47">
        <f t="shared" si="40"/>
        <v>780.45265620079283</v>
      </c>
      <c r="AG154" s="53">
        <v>1</v>
      </c>
      <c r="AH154" s="53">
        <v>3.5548262288000001</v>
      </c>
      <c r="AI154" s="53">
        <f t="shared" si="62"/>
        <v>0.78045265620079285</v>
      </c>
      <c r="AJ154" s="47">
        <f t="shared" si="56"/>
        <v>253.00105018575013</v>
      </c>
      <c r="AK154" s="47">
        <f t="shared" si="57"/>
        <v>196.12484510523265</v>
      </c>
      <c r="AL154" s="47">
        <f t="shared" si="46"/>
        <v>33.453706386542962</v>
      </c>
      <c r="AM154" s="53">
        <v>0.15237581929999999</v>
      </c>
      <c r="AN154" s="53">
        <f t="shared" si="63"/>
        <v>0.13222753961685804</v>
      </c>
      <c r="AO154" s="53">
        <v>0</v>
      </c>
      <c r="AP154" s="53">
        <v>0.15237581929999999</v>
      </c>
      <c r="AQ154" s="53">
        <f t="shared" si="53"/>
        <v>0.13222753961685804</v>
      </c>
      <c r="AR154" s="27" t="s">
        <v>338</v>
      </c>
    </row>
    <row r="155" spans="1:44" ht="15" customHeight="1" x14ac:dyDescent="0.25">
      <c r="A155" s="76">
        <v>154</v>
      </c>
      <c r="B155" s="76">
        <v>1997</v>
      </c>
      <c r="C155" s="77" t="s">
        <v>70</v>
      </c>
      <c r="D155" s="76">
        <v>2</v>
      </c>
      <c r="E155" s="78">
        <v>40</v>
      </c>
      <c r="F155" s="73">
        <v>2</v>
      </c>
      <c r="G155" s="75">
        <v>40</v>
      </c>
      <c r="H155" s="75">
        <v>20</v>
      </c>
      <c r="I155" s="78">
        <v>9</v>
      </c>
      <c r="J155" s="81">
        <v>0.5958</v>
      </c>
      <c r="K155" s="77" t="s">
        <v>306</v>
      </c>
      <c r="L155" s="77" t="s">
        <v>385</v>
      </c>
      <c r="M155" s="77" t="s">
        <v>289</v>
      </c>
      <c r="N155" s="77">
        <v>25</v>
      </c>
      <c r="O155" s="77">
        <v>180</v>
      </c>
      <c r="P155" s="78"/>
      <c r="Q155" s="81">
        <v>89.5</v>
      </c>
      <c r="R155" s="82"/>
      <c r="S155" s="82">
        <v>0.57670274830580837</v>
      </c>
      <c r="T155" s="82">
        <v>2010000000</v>
      </c>
      <c r="U155" s="78">
        <v>391</v>
      </c>
      <c r="V155" s="82">
        <v>0.1792</v>
      </c>
      <c r="W155" s="82">
        <v>2.3040000000000001E-2</v>
      </c>
      <c r="X155" s="82">
        <v>1.49E-2</v>
      </c>
      <c r="Y155" s="78">
        <v>29.6</v>
      </c>
      <c r="Z155" s="78">
        <v>1075</v>
      </c>
      <c r="AA155" s="78">
        <f t="shared" si="64"/>
        <v>400</v>
      </c>
      <c r="AB155" s="81">
        <f t="shared" si="65"/>
        <v>0.82189116447904176</v>
      </c>
      <c r="AC155" s="81">
        <f t="shared" si="54"/>
        <v>219.54734379920717</v>
      </c>
      <c r="AD155" s="81">
        <v>1000</v>
      </c>
      <c r="AE155" s="81">
        <f t="shared" si="55"/>
        <v>930.23255813953483</v>
      </c>
      <c r="AF155" s="81">
        <f t="shared" si="40"/>
        <v>780.45265620079283</v>
      </c>
      <c r="AG155" s="83">
        <v>1</v>
      </c>
      <c r="AH155" s="83">
        <v>3.5548262288000001</v>
      </c>
      <c r="AI155" s="83">
        <f t="shared" si="62"/>
        <v>0.78045265620079285</v>
      </c>
      <c r="AJ155" s="81">
        <f t="shared" si="56"/>
        <v>251.47543270860859</v>
      </c>
      <c r="AK155" s="81">
        <f t="shared" si="57"/>
        <v>194.9421958981462</v>
      </c>
      <c r="AL155" s="81">
        <f t="shared" si="46"/>
        <v>31.928088909401424</v>
      </c>
      <c r="AM155" s="83">
        <f>AP155</f>
        <v>0.14542689680000001</v>
      </c>
      <c r="AN155" s="83">
        <f t="shared" si="63"/>
        <v>0.12696305386776038</v>
      </c>
      <c r="AO155" s="83">
        <v>0</v>
      </c>
      <c r="AP155" s="83">
        <v>0.14542689680000001</v>
      </c>
      <c r="AQ155" s="83">
        <f t="shared" si="53"/>
        <v>0.12696305386776038</v>
      </c>
      <c r="AR155" s="77" t="s">
        <v>325</v>
      </c>
    </row>
    <row r="156" spans="1:44" ht="15" customHeight="1" x14ac:dyDescent="0.25">
      <c r="A156" s="76">
        <v>155</v>
      </c>
      <c r="B156" s="76">
        <v>1997</v>
      </c>
      <c r="C156" s="77" t="s">
        <v>70</v>
      </c>
      <c r="D156" s="76">
        <v>3</v>
      </c>
      <c r="E156" s="78">
        <v>31</v>
      </c>
      <c r="F156" s="73">
        <v>2</v>
      </c>
      <c r="G156" s="75">
        <v>50</v>
      </c>
      <c r="H156" s="75">
        <v>12</v>
      </c>
      <c r="I156" s="78">
        <v>6</v>
      </c>
      <c r="J156" s="81">
        <v>0.23949999999999999</v>
      </c>
      <c r="K156" s="77" t="s">
        <v>306</v>
      </c>
      <c r="L156" s="77" t="s">
        <v>385</v>
      </c>
      <c r="M156" s="77" t="s">
        <v>289</v>
      </c>
      <c r="N156" s="77">
        <v>25</v>
      </c>
      <c r="O156" s="77">
        <v>180</v>
      </c>
      <c r="P156" s="78"/>
      <c r="Q156" s="81">
        <v>87.5</v>
      </c>
      <c r="R156" s="82"/>
      <c r="S156" s="82">
        <v>0.59942030502536514</v>
      </c>
      <c r="T156" s="82">
        <v>2010000000</v>
      </c>
      <c r="U156" s="78">
        <v>391</v>
      </c>
      <c r="V156" s="82">
        <v>0.1792</v>
      </c>
      <c r="W156" s="82">
        <v>2.3040000000000001E-2</v>
      </c>
      <c r="X156" s="82">
        <v>1.49E-2</v>
      </c>
      <c r="Y156" s="78">
        <v>29.6</v>
      </c>
      <c r="Z156" s="78">
        <v>1075</v>
      </c>
      <c r="AA156" s="78">
        <f t="shared" si="64"/>
        <v>400</v>
      </c>
      <c r="AB156" s="81">
        <f t="shared" si="65"/>
        <v>0.82189116447904176</v>
      </c>
      <c r="AC156" s="81">
        <f t="shared" si="54"/>
        <v>219.54734379920717</v>
      </c>
      <c r="AD156" s="81">
        <v>1000</v>
      </c>
      <c r="AE156" s="81">
        <f t="shared" si="55"/>
        <v>930.23255813953483</v>
      </c>
      <c r="AF156" s="81">
        <f t="shared" si="40"/>
        <v>780.45265620079283</v>
      </c>
      <c r="AG156" s="83">
        <v>1</v>
      </c>
      <c r="AH156" s="83">
        <v>3.5548262288000001</v>
      </c>
      <c r="AI156" s="83">
        <f t="shared" si="62"/>
        <v>0.78045265620079285</v>
      </c>
      <c r="AJ156" s="81">
        <f t="shared" si="56"/>
        <v>259.94451147523432</v>
      </c>
      <c r="AK156" s="81">
        <f t="shared" si="57"/>
        <v>201.50737323661573</v>
      </c>
      <c r="AL156" s="81">
        <f t="shared" si="46"/>
        <v>40.397167676027145</v>
      </c>
      <c r="AM156" s="83">
        <v>0.18</v>
      </c>
      <c r="AN156" s="83">
        <f t="shared" si="63"/>
        <v>0.15254237288135594</v>
      </c>
      <c r="AO156" s="83">
        <f>(AP156-AM156)/(AH156-AM156)</f>
        <v>1.1858622129480858E-3</v>
      </c>
      <c r="AP156" s="83">
        <v>0.1840020789</v>
      </c>
      <c r="AQ156" s="83">
        <f t="shared" si="53"/>
        <v>0.15540688836538832</v>
      </c>
      <c r="AR156" s="77" t="s">
        <v>339</v>
      </c>
    </row>
    <row r="157" spans="1:44" ht="15" customHeight="1" x14ac:dyDescent="0.25">
      <c r="A157" s="76">
        <v>156</v>
      </c>
      <c r="B157" s="76">
        <v>1997</v>
      </c>
      <c r="C157" s="77" t="s">
        <v>70</v>
      </c>
      <c r="D157" s="76">
        <v>4</v>
      </c>
      <c r="E157" s="78">
        <v>24</v>
      </c>
      <c r="F157" s="73">
        <v>2</v>
      </c>
      <c r="G157" s="75">
        <v>60</v>
      </c>
      <c r="H157" s="75">
        <v>7.5</v>
      </c>
      <c r="I157" s="78">
        <v>4</v>
      </c>
      <c r="J157" s="81">
        <v>9.0300000000000005E-2</v>
      </c>
      <c r="K157" s="77" t="s">
        <v>306</v>
      </c>
      <c r="L157" s="77" t="s">
        <v>385</v>
      </c>
      <c r="M157" s="77" t="s">
        <v>289</v>
      </c>
      <c r="N157" s="77">
        <v>25</v>
      </c>
      <c r="O157" s="77">
        <v>180</v>
      </c>
      <c r="P157" s="78"/>
      <c r="Q157" s="81">
        <v>84</v>
      </c>
      <c r="R157" s="82"/>
      <c r="S157" s="82">
        <v>0.62158938605645553</v>
      </c>
      <c r="T157" s="82">
        <v>2010000000</v>
      </c>
      <c r="U157" s="78">
        <v>391</v>
      </c>
      <c r="V157" s="82">
        <v>0.1792</v>
      </c>
      <c r="W157" s="82">
        <v>2.3040000000000001E-2</v>
      </c>
      <c r="X157" s="82">
        <v>1.49E-2</v>
      </c>
      <c r="Y157" s="78">
        <v>29.6</v>
      </c>
      <c r="Z157" s="78">
        <v>1075</v>
      </c>
      <c r="AA157" s="78">
        <f t="shared" si="64"/>
        <v>400</v>
      </c>
      <c r="AB157" s="81">
        <f t="shared" si="65"/>
        <v>0.82189116447904176</v>
      </c>
      <c r="AC157" s="81">
        <f t="shared" si="54"/>
        <v>219.54734379920717</v>
      </c>
      <c r="AD157" s="81">
        <v>1000</v>
      </c>
      <c r="AE157" s="81">
        <f t="shared" si="55"/>
        <v>930.23255813953483</v>
      </c>
      <c r="AF157" s="81">
        <f t="shared" si="40"/>
        <v>780.45265620079283</v>
      </c>
      <c r="AG157" s="83">
        <v>1</v>
      </c>
      <c r="AH157" s="83">
        <v>3.5548262288000001</v>
      </c>
      <c r="AI157" s="83">
        <f t="shared" si="62"/>
        <v>0.78045265620079285</v>
      </c>
      <c r="AJ157" s="81">
        <f t="shared" si="56"/>
        <v>255.13099813824445</v>
      </c>
      <c r="AK157" s="81">
        <f t="shared" si="57"/>
        <v>197.77596754902672</v>
      </c>
      <c r="AL157" s="81">
        <f t="shared" si="46"/>
        <v>35.583654339037295</v>
      </c>
      <c r="AM157" s="83">
        <f>AP157</f>
        <v>0.16207736210000001</v>
      </c>
      <c r="AN157" s="83">
        <f t="shared" si="63"/>
        <v>0.13947209315488998</v>
      </c>
      <c r="AO157" s="83">
        <v>0</v>
      </c>
      <c r="AP157" s="83">
        <v>0.16207736210000001</v>
      </c>
      <c r="AQ157" s="83">
        <f t="shared" si="53"/>
        <v>0.13947209315488998</v>
      </c>
      <c r="AR157" s="77" t="s">
        <v>100</v>
      </c>
    </row>
    <row r="158" spans="1:44" ht="15" customHeight="1" x14ac:dyDescent="0.25">
      <c r="A158" s="76">
        <v>157</v>
      </c>
      <c r="B158" s="76">
        <v>1997</v>
      </c>
      <c r="C158" s="77" t="s">
        <v>70</v>
      </c>
      <c r="D158" s="76">
        <v>5</v>
      </c>
      <c r="E158" s="78">
        <v>32</v>
      </c>
      <c r="F158" s="73">
        <v>2</v>
      </c>
      <c r="G158" s="75">
        <v>50</v>
      </c>
      <c r="H158" s="75">
        <v>7.5</v>
      </c>
      <c r="I158" s="78">
        <v>6</v>
      </c>
      <c r="J158" s="81">
        <v>0.1996</v>
      </c>
      <c r="K158" s="77" t="s">
        <v>306</v>
      </c>
      <c r="L158" s="77" t="s">
        <v>385</v>
      </c>
      <c r="M158" s="77" t="s">
        <v>289</v>
      </c>
      <c r="N158" s="77">
        <v>25</v>
      </c>
      <c r="O158" s="77">
        <v>180</v>
      </c>
      <c r="P158" s="78"/>
      <c r="Q158" s="81">
        <v>86</v>
      </c>
      <c r="R158" s="82"/>
      <c r="S158" s="82">
        <v>0.59942030502536514</v>
      </c>
      <c r="T158" s="82">
        <v>2010000000</v>
      </c>
      <c r="U158" s="78">
        <v>391</v>
      </c>
      <c r="V158" s="82">
        <v>0.1792</v>
      </c>
      <c r="W158" s="82">
        <v>2.3040000000000001E-2</v>
      </c>
      <c r="X158" s="82">
        <v>1.49E-2</v>
      </c>
      <c r="Y158" s="78">
        <v>29.6</v>
      </c>
      <c r="Z158" s="78">
        <v>1075</v>
      </c>
      <c r="AA158" s="78">
        <f t="shared" si="64"/>
        <v>400</v>
      </c>
      <c r="AB158" s="81">
        <f t="shared" si="65"/>
        <v>0.82189116447904176</v>
      </c>
      <c r="AC158" s="81">
        <f t="shared" si="54"/>
        <v>220.25913693314374</v>
      </c>
      <c r="AD158" s="81">
        <v>1000</v>
      </c>
      <c r="AE158" s="81">
        <f t="shared" si="55"/>
        <v>930.23255813953483</v>
      </c>
      <c r="AF158" s="81">
        <f t="shared" ref="AF158:AF221" si="66">AD158*AI158</f>
        <v>779.74086306685626</v>
      </c>
      <c r="AG158" s="83">
        <v>1</v>
      </c>
      <c r="AH158" s="83">
        <v>3.5401067757</v>
      </c>
      <c r="AI158" s="83">
        <f t="shared" si="62"/>
        <v>0.7797408630668563</v>
      </c>
      <c r="AJ158" s="81">
        <f t="shared" si="56"/>
        <v>260.40425128938011</v>
      </c>
      <c r="AK158" s="81">
        <f t="shared" si="57"/>
        <v>201.86376068944196</v>
      </c>
      <c r="AL158" s="81">
        <f t="shared" si="46"/>
        <v>40.145114356236355</v>
      </c>
      <c r="AM158" s="83">
        <v>0.18</v>
      </c>
      <c r="AN158" s="83">
        <f t="shared" si="63"/>
        <v>0.15254237288135594</v>
      </c>
      <c r="AO158" s="83">
        <f>(AP158-AM158)/(AH158-AM158)</f>
        <v>6.7352195958967774E-4</v>
      </c>
      <c r="AP158" s="83">
        <v>0.18226310570000001</v>
      </c>
      <c r="AQ158" s="83">
        <f t="shared" si="53"/>
        <v>0.15416458893224516</v>
      </c>
      <c r="AR158" s="77" t="s">
        <v>340</v>
      </c>
    </row>
    <row r="159" spans="1:44" ht="15" customHeight="1" x14ac:dyDescent="0.25">
      <c r="A159" s="76">
        <v>158</v>
      </c>
      <c r="B159" s="76">
        <v>1997</v>
      </c>
      <c r="C159" s="77" t="s">
        <v>70</v>
      </c>
      <c r="D159" s="76">
        <v>6</v>
      </c>
      <c r="E159" s="78">
        <v>23</v>
      </c>
      <c r="F159" s="73">
        <v>2</v>
      </c>
      <c r="G159" s="75">
        <v>50</v>
      </c>
      <c r="H159" s="75">
        <v>7.5</v>
      </c>
      <c r="I159" s="78">
        <v>4</v>
      </c>
      <c r="J159" s="81">
        <v>0.37519999999999998</v>
      </c>
      <c r="K159" s="77" t="s">
        <v>306</v>
      </c>
      <c r="L159" s="77" t="s">
        <v>385</v>
      </c>
      <c r="M159" s="77" t="s">
        <v>289</v>
      </c>
      <c r="N159" s="77">
        <v>25</v>
      </c>
      <c r="O159" s="77">
        <v>180</v>
      </c>
      <c r="P159" s="78"/>
      <c r="Q159" s="81">
        <v>85.5</v>
      </c>
      <c r="R159" s="82"/>
      <c r="S159" s="82">
        <v>0.59942030502536514</v>
      </c>
      <c r="T159" s="82">
        <v>2010000000</v>
      </c>
      <c r="U159" s="78">
        <v>391</v>
      </c>
      <c r="V159" s="82">
        <v>0.1792</v>
      </c>
      <c r="W159" s="82">
        <v>2.3040000000000001E-2</v>
      </c>
      <c r="X159" s="82">
        <v>1.49E-2</v>
      </c>
      <c r="Y159" s="78">
        <v>29.6</v>
      </c>
      <c r="Z159" s="78">
        <v>1075</v>
      </c>
      <c r="AA159" s="78">
        <f t="shared" si="64"/>
        <v>400</v>
      </c>
      <c r="AB159" s="81">
        <f t="shared" si="65"/>
        <v>0.82189116447904176</v>
      </c>
      <c r="AC159" s="81">
        <f t="shared" si="54"/>
        <v>220.25913693314374</v>
      </c>
      <c r="AD159" s="81">
        <v>1000</v>
      </c>
      <c r="AE159" s="81">
        <f t="shared" si="55"/>
        <v>930.23255813953483</v>
      </c>
      <c r="AF159" s="81">
        <f t="shared" si="66"/>
        <v>779.74086306685626</v>
      </c>
      <c r="AG159" s="83">
        <v>1</v>
      </c>
      <c r="AH159" s="83">
        <v>3.5401067757</v>
      </c>
      <c r="AI159" s="83">
        <f t="shared" si="62"/>
        <v>0.7797408630668563</v>
      </c>
      <c r="AJ159" s="81">
        <f t="shared" si="56"/>
        <v>258.46591110603867</v>
      </c>
      <c r="AK159" s="81">
        <f t="shared" si="57"/>
        <v>200.36117140002997</v>
      </c>
      <c r="AL159" s="81">
        <f t="shared" si="46"/>
        <v>38.206774172894924</v>
      </c>
      <c r="AM159" s="83">
        <f>AP159</f>
        <v>0.17346283430000001</v>
      </c>
      <c r="AN159" s="83">
        <f t="shared" si="63"/>
        <v>0.14782132780837062</v>
      </c>
      <c r="AO159" s="83">
        <v>0</v>
      </c>
      <c r="AP159" s="83">
        <v>0.17346283430000001</v>
      </c>
      <c r="AQ159" s="83">
        <f t="shared" si="53"/>
        <v>0.14782132780837062</v>
      </c>
      <c r="AR159" s="77" t="s">
        <v>341</v>
      </c>
    </row>
    <row r="160" spans="1:44" ht="15" customHeight="1" x14ac:dyDescent="0.25">
      <c r="A160" s="1">
        <v>159</v>
      </c>
      <c r="B160" s="1">
        <v>1997</v>
      </c>
      <c r="C160" s="28" t="s">
        <v>70</v>
      </c>
      <c r="D160" s="1">
        <v>7</v>
      </c>
      <c r="E160" s="8">
        <v>57</v>
      </c>
      <c r="F160" s="33">
        <v>1</v>
      </c>
      <c r="G160" s="59">
        <v>40</v>
      </c>
      <c r="H160" s="59">
        <v>20</v>
      </c>
      <c r="I160" s="8">
        <v>9</v>
      </c>
      <c r="J160" s="51">
        <v>0.63480000000000003</v>
      </c>
      <c r="K160" s="28" t="s">
        <v>306</v>
      </c>
      <c r="L160" s="28" t="s">
        <v>385</v>
      </c>
      <c r="M160" s="28" t="s">
        <v>289</v>
      </c>
      <c r="N160" s="28">
        <v>25</v>
      </c>
      <c r="O160" s="28">
        <v>180</v>
      </c>
      <c r="P160" s="8"/>
      <c r="Q160" s="51">
        <v>85</v>
      </c>
      <c r="R160" s="9"/>
      <c r="S160" s="9">
        <v>0.57670274830580837</v>
      </c>
      <c r="T160" s="9">
        <v>2010000000</v>
      </c>
      <c r="U160" s="8">
        <v>391</v>
      </c>
      <c r="V160" s="9">
        <v>0.1792</v>
      </c>
      <c r="W160" s="9">
        <v>2.3040000000000001E-2</v>
      </c>
      <c r="X160" s="9">
        <v>1.49E-2</v>
      </c>
      <c r="Y160" s="8">
        <v>29.6</v>
      </c>
      <c r="Z160" s="8">
        <v>1075</v>
      </c>
      <c r="AA160" s="8">
        <f t="shared" si="64"/>
        <v>400</v>
      </c>
      <c r="AB160" s="51">
        <f t="shared" si="65"/>
        <v>0.82189116447904176</v>
      </c>
      <c r="AC160" s="51">
        <f t="shared" si="54"/>
        <v>219.31721207515318</v>
      </c>
      <c r="AD160" s="51">
        <v>1000</v>
      </c>
      <c r="AE160" s="51">
        <f t="shared" si="55"/>
        <v>930.23255813953483</v>
      </c>
      <c r="AF160" s="51">
        <f t="shared" si="66"/>
        <v>780.68278792484682</v>
      </c>
      <c r="AG160" s="52">
        <v>1</v>
      </c>
      <c r="AH160" s="52">
        <v>3.5596056531000002</v>
      </c>
      <c r="AI160" s="52">
        <f t="shared" si="62"/>
        <v>0.7806827879248468</v>
      </c>
      <c r="AJ160" s="51">
        <f t="shared" si="56"/>
        <v>255.6276281058548</v>
      </c>
      <c r="AK160" s="51">
        <f t="shared" si="57"/>
        <v>198.16095202004246</v>
      </c>
      <c r="AL160" s="51">
        <f t="shared" si="46"/>
        <v>36.310416030701631</v>
      </c>
      <c r="AM160" s="52">
        <f>AP160</f>
        <v>0.16556117819999999</v>
      </c>
      <c r="AN160" s="52">
        <f t="shared" si="63"/>
        <v>0.14204417691371596</v>
      </c>
      <c r="AO160" s="52">
        <v>0</v>
      </c>
      <c r="AP160" s="52">
        <v>0.16556117819999999</v>
      </c>
      <c r="AQ160" s="52">
        <f t="shared" si="53"/>
        <v>0.14204417691371596</v>
      </c>
      <c r="AR160" s="28" t="s">
        <v>342</v>
      </c>
    </row>
    <row r="161" spans="1:44" ht="15" hidden="1" customHeight="1" x14ac:dyDescent="0.25">
      <c r="A161" s="3">
        <v>160</v>
      </c>
      <c r="B161" s="3">
        <v>1997</v>
      </c>
      <c r="C161" s="27" t="s">
        <v>104</v>
      </c>
      <c r="D161" s="3">
        <v>1</v>
      </c>
      <c r="E161" s="11">
        <v>48</v>
      </c>
      <c r="F161" s="30">
        <v>3</v>
      </c>
      <c r="G161" s="54">
        <v>50</v>
      </c>
      <c r="H161" s="54">
        <v>32</v>
      </c>
      <c r="I161" s="11">
        <v>121</v>
      </c>
      <c r="J161" s="47">
        <v>0.2732</v>
      </c>
      <c r="K161" s="27" t="s">
        <v>105</v>
      </c>
      <c r="L161" s="27" t="s">
        <v>36</v>
      </c>
      <c r="M161" s="27" t="s">
        <v>34</v>
      </c>
      <c r="N161" s="27" t="s">
        <v>34</v>
      </c>
      <c r="O161" s="27" t="s">
        <v>34</v>
      </c>
      <c r="P161" s="11"/>
      <c r="Q161" s="47">
        <v>7</v>
      </c>
      <c r="R161" s="4"/>
      <c r="S161" s="4">
        <v>1.3293286553674562E-4</v>
      </c>
      <c r="T161" s="4">
        <v>670000000</v>
      </c>
      <c r="U161" s="11">
        <v>2755</v>
      </c>
      <c r="V161" s="4">
        <v>1.7919999999999998E-2</v>
      </c>
      <c r="W161" s="4">
        <v>2.3040000000000001E-2</v>
      </c>
      <c r="X161" s="4">
        <v>0.54900000000000004</v>
      </c>
      <c r="Y161" s="11">
        <v>29.6</v>
      </c>
      <c r="Z161" s="11">
        <v>1075</v>
      </c>
      <c r="AA161" s="11">
        <f t="shared" si="64"/>
        <v>320</v>
      </c>
      <c r="AB161" s="47">
        <f t="shared" si="65"/>
        <v>0.82189116447904176</v>
      </c>
      <c r="AC161" s="47">
        <f t="shared" si="54"/>
        <v>179.86945973959405</v>
      </c>
      <c r="AD161" s="47">
        <v>800</v>
      </c>
      <c r="AE161" s="47">
        <f t="shared" si="55"/>
        <v>744.18604651162786</v>
      </c>
      <c r="AF161" s="47">
        <f t="shared" si="66"/>
        <v>620.13054026040595</v>
      </c>
      <c r="AG161" s="53">
        <v>1</v>
      </c>
      <c r="AH161" s="53">
        <v>3.44767</v>
      </c>
      <c r="AI161" s="53">
        <f t="shared" si="62"/>
        <v>0.77516317532550738</v>
      </c>
      <c r="AJ161" s="47">
        <f t="shared" si="56"/>
        <v>264.28939197377514</v>
      </c>
      <c r="AK161" s="47">
        <f t="shared" si="57"/>
        <v>204.87549765408926</v>
      </c>
      <c r="AL161" s="47">
        <f t="shared" si="46"/>
        <v>84.41993223418109</v>
      </c>
      <c r="AM161" s="53">
        <f>AN161/(1-AN161)</f>
        <v>0.21212121212121213</v>
      </c>
      <c r="AN161" s="53">
        <v>0.17499999999999999</v>
      </c>
      <c r="AO161" s="53">
        <f>(AP161-AM161)/(AH161-AM161)</f>
        <v>7.9497731217157558E-2</v>
      </c>
      <c r="AP161" s="53">
        <v>0.46933999999999998</v>
      </c>
      <c r="AQ161" s="53">
        <f t="shared" si="53"/>
        <v>0.31942232567002876</v>
      </c>
      <c r="AR161" s="27" t="s">
        <v>106</v>
      </c>
    </row>
    <row r="162" spans="1:44" ht="15" hidden="1" customHeight="1" x14ac:dyDescent="0.25">
      <c r="A162" s="76">
        <v>161</v>
      </c>
      <c r="B162" s="76">
        <v>1997</v>
      </c>
      <c r="C162" s="77" t="s">
        <v>104</v>
      </c>
      <c r="D162" s="76">
        <v>2</v>
      </c>
      <c r="E162" s="78">
        <v>48</v>
      </c>
      <c r="F162" s="79">
        <v>3</v>
      </c>
      <c r="G162" s="56">
        <v>50</v>
      </c>
      <c r="H162" s="56">
        <v>32</v>
      </c>
      <c r="I162" s="78">
        <v>121</v>
      </c>
      <c r="J162" s="81">
        <v>0.28460000000000002</v>
      </c>
      <c r="K162" s="77" t="s">
        <v>105</v>
      </c>
      <c r="L162" s="77" t="s">
        <v>36</v>
      </c>
      <c r="M162" s="77" t="s">
        <v>34</v>
      </c>
      <c r="N162" s="77" t="s">
        <v>34</v>
      </c>
      <c r="O162" s="77" t="s">
        <v>34</v>
      </c>
      <c r="P162" s="78"/>
      <c r="Q162" s="81">
        <v>8</v>
      </c>
      <c r="R162" s="82"/>
      <c r="S162" s="82">
        <v>1.3293286553674562E-4</v>
      </c>
      <c r="T162" s="82">
        <v>670000000</v>
      </c>
      <c r="U162" s="78">
        <v>2755</v>
      </c>
      <c r="V162" s="82">
        <v>1.7919999999999998E-2</v>
      </c>
      <c r="W162" s="82">
        <v>2.3040000000000001E-2</v>
      </c>
      <c r="X162" s="82">
        <v>0.54900000000000004</v>
      </c>
      <c r="Y162" s="78">
        <v>29.6</v>
      </c>
      <c r="Z162" s="78">
        <v>1075</v>
      </c>
      <c r="AA162" s="78">
        <f t="shared" si="64"/>
        <v>320</v>
      </c>
      <c r="AB162" s="81">
        <f t="shared" si="65"/>
        <v>0.82189116447904176</v>
      </c>
      <c r="AC162" s="81">
        <f t="shared" si="54"/>
        <v>179.32555658169611</v>
      </c>
      <c r="AD162" s="81">
        <v>800</v>
      </c>
      <c r="AE162" s="81">
        <f t="shared" si="55"/>
        <v>744.18604651162786</v>
      </c>
      <c r="AF162" s="81">
        <f t="shared" si="66"/>
        <v>620.67444341830389</v>
      </c>
      <c r="AG162" s="83">
        <v>1</v>
      </c>
      <c r="AH162" s="83">
        <v>3.46116</v>
      </c>
      <c r="AI162" s="83">
        <f t="shared" si="62"/>
        <v>0.77584305427287981</v>
      </c>
      <c r="AJ162" s="81">
        <f t="shared" si="56"/>
        <v>238.51554304261654</v>
      </c>
      <c r="AK162" s="81">
        <f t="shared" si="57"/>
        <v>184.89576980047795</v>
      </c>
      <c r="AL162" s="81">
        <f t="shared" si="46"/>
        <v>59.18998646092043</v>
      </c>
      <c r="AM162" s="83">
        <f>AN162/(1-AN162)</f>
        <v>0.21212121212121213</v>
      </c>
      <c r="AN162" s="83">
        <v>0.17499999999999999</v>
      </c>
      <c r="AO162" s="83">
        <f>(AP162-AM162)/(AH162-AM162)</f>
        <v>3.6302671522057607E-2</v>
      </c>
      <c r="AP162" s="83">
        <v>0.33006999999999997</v>
      </c>
      <c r="AQ162" s="83">
        <f t="shared" si="53"/>
        <v>0.24815987128496994</v>
      </c>
      <c r="AR162" s="77" t="s">
        <v>107</v>
      </c>
    </row>
    <row r="163" spans="1:44" ht="15" customHeight="1" x14ac:dyDescent="0.25">
      <c r="A163" s="76">
        <v>162</v>
      </c>
      <c r="B163" s="76">
        <v>1997</v>
      </c>
      <c r="C163" s="77" t="s">
        <v>104</v>
      </c>
      <c r="D163" s="76">
        <v>3</v>
      </c>
      <c r="E163" s="78">
        <v>48</v>
      </c>
      <c r="F163" s="79">
        <v>3</v>
      </c>
      <c r="G163" s="56">
        <v>50</v>
      </c>
      <c r="H163" s="56">
        <v>32</v>
      </c>
      <c r="I163" s="78">
        <v>121</v>
      </c>
      <c r="J163" s="81">
        <v>0.24560000000000001</v>
      </c>
      <c r="K163" s="77" t="s">
        <v>105</v>
      </c>
      <c r="L163" s="77" t="s">
        <v>36</v>
      </c>
      <c r="M163" s="77" t="s">
        <v>289</v>
      </c>
      <c r="N163" s="77">
        <v>20</v>
      </c>
      <c r="O163" s="77">
        <v>20</v>
      </c>
      <c r="P163" s="78"/>
      <c r="Q163" s="81">
        <v>8</v>
      </c>
      <c r="R163" s="82"/>
      <c r="S163" s="82">
        <v>1.3293286553674562E-4</v>
      </c>
      <c r="T163" s="82">
        <v>670000000</v>
      </c>
      <c r="U163" s="78">
        <v>2755</v>
      </c>
      <c r="V163" s="82">
        <v>1.7919999999999998E-2</v>
      </c>
      <c r="W163" s="82">
        <v>2.3040000000000001E-2</v>
      </c>
      <c r="X163" s="82">
        <v>0.54900000000000004</v>
      </c>
      <c r="Y163" s="78">
        <v>29.6</v>
      </c>
      <c r="Z163" s="78">
        <v>1075</v>
      </c>
      <c r="AA163" s="78">
        <f t="shared" si="64"/>
        <v>320</v>
      </c>
      <c r="AB163" s="81">
        <f t="shared" si="65"/>
        <v>0.82189116447904176</v>
      </c>
      <c r="AC163" s="81">
        <f t="shared" si="54"/>
        <v>179.32555658169611</v>
      </c>
      <c r="AD163" s="81">
        <v>800</v>
      </c>
      <c r="AE163" s="81">
        <f t="shared" si="55"/>
        <v>744.18604651162786</v>
      </c>
      <c r="AF163" s="81">
        <f t="shared" si="66"/>
        <v>620.67444341830389</v>
      </c>
      <c r="AG163" s="83">
        <v>1</v>
      </c>
      <c r="AH163" s="83">
        <v>3.46116</v>
      </c>
      <c r="AI163" s="83">
        <f t="shared" si="62"/>
        <v>0.77584305427287981</v>
      </c>
      <c r="AJ163" s="81">
        <f t="shared" si="56"/>
        <v>206.00561288992085</v>
      </c>
      <c r="AK163" s="81">
        <f t="shared" si="57"/>
        <v>159.69427355807818</v>
      </c>
      <c r="AL163" s="81">
        <f t="shared" si="46"/>
        <v>26.680056308224749</v>
      </c>
      <c r="AM163" s="83">
        <v>0.14878</v>
      </c>
      <c r="AN163" s="83">
        <f>AM163/(AM163+1)</f>
        <v>0.12951130764811367</v>
      </c>
      <c r="AO163" s="83">
        <v>0</v>
      </c>
      <c r="AP163" s="83">
        <v>0.14878</v>
      </c>
      <c r="AQ163" s="83">
        <f t="shared" si="53"/>
        <v>0.12951130764811367</v>
      </c>
      <c r="AR163" s="77" t="s">
        <v>108</v>
      </c>
    </row>
    <row r="164" spans="1:44" ht="15" customHeight="1" x14ac:dyDescent="0.25">
      <c r="A164" s="76">
        <v>163</v>
      </c>
      <c r="B164" s="76">
        <v>1997</v>
      </c>
      <c r="C164" s="77" t="s">
        <v>104</v>
      </c>
      <c r="D164" s="76">
        <v>4</v>
      </c>
      <c r="E164" s="78">
        <v>43</v>
      </c>
      <c r="F164" s="79">
        <v>3</v>
      </c>
      <c r="G164" s="56">
        <v>50</v>
      </c>
      <c r="H164" s="56">
        <v>32</v>
      </c>
      <c r="I164" s="78">
        <v>96</v>
      </c>
      <c r="J164" s="81">
        <v>0.18090000000000001</v>
      </c>
      <c r="K164" s="77" t="s">
        <v>105</v>
      </c>
      <c r="L164" s="77" t="s">
        <v>36</v>
      </c>
      <c r="M164" s="77" t="s">
        <v>289</v>
      </c>
      <c r="N164" s="77">
        <v>20</v>
      </c>
      <c r="O164" s="77">
        <v>20</v>
      </c>
      <c r="P164" s="78"/>
      <c r="Q164" s="81">
        <v>10</v>
      </c>
      <c r="R164" s="82"/>
      <c r="S164" s="82">
        <v>1.3293286553674562E-4</v>
      </c>
      <c r="T164" s="82">
        <v>670000000</v>
      </c>
      <c r="U164" s="78">
        <v>2755</v>
      </c>
      <c r="V164" s="82">
        <v>1.7919999999999998E-2</v>
      </c>
      <c r="W164" s="82">
        <v>2.3040000000000001E-2</v>
      </c>
      <c r="X164" s="82">
        <v>0.54900000000000004</v>
      </c>
      <c r="Y164" s="78">
        <v>29.6</v>
      </c>
      <c r="Z164" s="78">
        <v>1075</v>
      </c>
      <c r="AA164" s="78">
        <f t="shared" si="64"/>
        <v>320</v>
      </c>
      <c r="AB164" s="81">
        <f t="shared" si="65"/>
        <v>0.82189116447904176</v>
      </c>
      <c r="AC164" s="81">
        <f t="shared" si="54"/>
        <v>179.32555658169611</v>
      </c>
      <c r="AD164" s="81">
        <v>800</v>
      </c>
      <c r="AE164" s="81">
        <f t="shared" si="55"/>
        <v>744.18604651162786</v>
      </c>
      <c r="AF164" s="81">
        <f t="shared" si="66"/>
        <v>620.67444341830389</v>
      </c>
      <c r="AG164" s="83">
        <v>1</v>
      </c>
      <c r="AH164" s="83">
        <v>3.46116</v>
      </c>
      <c r="AI164" s="83">
        <f t="shared" si="62"/>
        <v>0.77584305427287981</v>
      </c>
      <c r="AJ164" s="81">
        <f t="shared" si="56"/>
        <v>209.2478189529179</v>
      </c>
      <c r="AK164" s="81">
        <f t="shared" si="57"/>
        <v>162.20761159140923</v>
      </c>
      <c r="AL164" s="81">
        <f t="shared" si="46"/>
        <v>29.922262371221809</v>
      </c>
      <c r="AM164" s="83">
        <f>AP164</f>
        <v>0.16686000000000001</v>
      </c>
      <c r="AN164" s="83">
        <f>AM164/(AM164+1)</f>
        <v>0.14299916013917693</v>
      </c>
      <c r="AO164" s="83">
        <v>0</v>
      </c>
      <c r="AP164" s="83">
        <v>0.16686000000000001</v>
      </c>
      <c r="AQ164" s="83">
        <f t="shared" si="53"/>
        <v>0.14299916013917693</v>
      </c>
      <c r="AR164" s="77" t="s">
        <v>109</v>
      </c>
    </row>
    <row r="165" spans="1:44" ht="15" hidden="1" customHeight="1" x14ac:dyDescent="0.25">
      <c r="A165" s="76">
        <v>164</v>
      </c>
      <c r="B165" s="76">
        <v>1997</v>
      </c>
      <c r="C165" s="77" t="s">
        <v>104</v>
      </c>
      <c r="D165" s="76">
        <v>5</v>
      </c>
      <c r="E165" s="78">
        <v>51</v>
      </c>
      <c r="F165" s="79">
        <v>3</v>
      </c>
      <c r="G165" s="56">
        <v>50</v>
      </c>
      <c r="H165" s="56">
        <v>32</v>
      </c>
      <c r="I165" s="78">
        <v>88</v>
      </c>
      <c r="J165" s="81">
        <v>0.17580000000000001</v>
      </c>
      <c r="K165" s="77" t="s">
        <v>110</v>
      </c>
      <c r="L165" s="77" t="s">
        <v>36</v>
      </c>
      <c r="M165" s="77" t="s">
        <v>34</v>
      </c>
      <c r="N165" s="77" t="s">
        <v>34</v>
      </c>
      <c r="O165" s="77" t="s">
        <v>34</v>
      </c>
      <c r="P165" s="78"/>
      <c r="Q165" s="81">
        <v>12</v>
      </c>
      <c r="R165" s="82"/>
      <c r="S165" s="82">
        <v>1.3293286553674562E-4</v>
      </c>
      <c r="T165" s="82">
        <v>670000000</v>
      </c>
      <c r="U165" s="78">
        <v>2755</v>
      </c>
      <c r="V165" s="82">
        <v>1.7919999999999998E-2</v>
      </c>
      <c r="W165" s="82">
        <v>2.3040000000000001E-2</v>
      </c>
      <c r="X165" s="82">
        <v>0.54900000000000004</v>
      </c>
      <c r="Y165" s="78">
        <v>29.6</v>
      </c>
      <c r="Z165" s="78">
        <v>1075</v>
      </c>
      <c r="AA165" s="78">
        <f t="shared" si="64"/>
        <v>320</v>
      </c>
      <c r="AB165" s="81">
        <f t="shared" si="65"/>
        <v>0.82189116447904176</v>
      </c>
      <c r="AC165" s="81">
        <f t="shared" si="54"/>
        <v>199.75031210986276</v>
      </c>
      <c r="AD165" s="81">
        <v>800</v>
      </c>
      <c r="AE165" s="81">
        <f t="shared" si="55"/>
        <v>744.18604651162786</v>
      </c>
      <c r="AF165" s="81">
        <f t="shared" si="66"/>
        <v>600.24968789013724</v>
      </c>
      <c r="AG165" s="83">
        <v>1</v>
      </c>
      <c r="AH165" s="83">
        <v>3.0049999999999999</v>
      </c>
      <c r="AI165" s="83">
        <f t="shared" si="62"/>
        <v>0.75031210986267161</v>
      </c>
      <c r="AJ165" s="81">
        <f t="shared" si="56"/>
        <v>261.92858926342086</v>
      </c>
      <c r="AK165" s="81">
        <f t="shared" si="57"/>
        <v>203.04541803365959</v>
      </c>
      <c r="AL165" s="81">
        <f t="shared" si="46"/>
        <v>62.178277153558092</v>
      </c>
      <c r="AM165" s="83">
        <f t="shared" ref="AM165:AM171" si="67">AN165/(1-AN165)</f>
        <v>0.21212121212121213</v>
      </c>
      <c r="AN165" s="83">
        <v>0.17499999999999999</v>
      </c>
      <c r="AO165" s="83">
        <f t="shared" ref="AO165:AO171" si="68">(AP165-AM165)/(AH165-AM165)</f>
        <v>3.5504150165464113E-2</v>
      </c>
      <c r="AP165" s="83">
        <v>0.31128</v>
      </c>
      <c r="AQ165" s="83">
        <f t="shared" si="53"/>
        <v>0.23738637056921483</v>
      </c>
      <c r="AR165" s="77" t="s">
        <v>111</v>
      </c>
    </row>
    <row r="166" spans="1:44" ht="15" hidden="1" customHeight="1" x14ac:dyDescent="0.25">
      <c r="A166" s="76">
        <v>165</v>
      </c>
      <c r="B166" s="76">
        <v>1997</v>
      </c>
      <c r="C166" s="77" t="s">
        <v>104</v>
      </c>
      <c r="D166" s="76">
        <v>6</v>
      </c>
      <c r="E166" s="78">
        <v>51</v>
      </c>
      <c r="F166" s="79">
        <v>3</v>
      </c>
      <c r="G166" s="56">
        <v>50</v>
      </c>
      <c r="H166" s="56">
        <v>32</v>
      </c>
      <c r="I166" s="78">
        <v>88</v>
      </c>
      <c r="J166" s="81">
        <v>3.6999999999999998E-2</v>
      </c>
      <c r="K166" s="77" t="s">
        <v>110</v>
      </c>
      <c r="L166" s="77" t="s">
        <v>36</v>
      </c>
      <c r="M166" s="77" t="s">
        <v>34</v>
      </c>
      <c r="N166" s="77" t="s">
        <v>34</v>
      </c>
      <c r="O166" s="77" t="s">
        <v>34</v>
      </c>
      <c r="P166" s="78"/>
      <c r="Q166" s="81">
        <v>11</v>
      </c>
      <c r="R166" s="82"/>
      <c r="S166" s="82">
        <v>1.3293286553674562E-4</v>
      </c>
      <c r="T166" s="82">
        <v>670000000</v>
      </c>
      <c r="U166" s="78">
        <v>2755</v>
      </c>
      <c r="V166" s="82">
        <v>1.7919999999999998E-2</v>
      </c>
      <c r="W166" s="82">
        <v>2.3040000000000001E-2</v>
      </c>
      <c r="X166" s="82">
        <v>0.54900000000000004</v>
      </c>
      <c r="Y166" s="78">
        <v>29.6</v>
      </c>
      <c r="Z166" s="78">
        <v>1075</v>
      </c>
      <c r="AA166" s="78">
        <f t="shared" si="64"/>
        <v>320</v>
      </c>
      <c r="AB166" s="81">
        <f t="shared" si="65"/>
        <v>0.82189116447904176</v>
      </c>
      <c r="AC166" s="81">
        <f t="shared" si="54"/>
        <v>199.75031210986276</v>
      </c>
      <c r="AD166" s="81">
        <v>800</v>
      </c>
      <c r="AE166" s="81">
        <f t="shared" si="55"/>
        <v>744.18604651162786</v>
      </c>
      <c r="AF166" s="81">
        <f t="shared" si="66"/>
        <v>600.24968789013724</v>
      </c>
      <c r="AG166" s="83">
        <v>1</v>
      </c>
      <c r="AH166" s="83">
        <v>3.0049999999999999</v>
      </c>
      <c r="AI166" s="83">
        <f t="shared" si="62"/>
        <v>0.75031210986267161</v>
      </c>
      <c r="AJ166" s="81">
        <f t="shared" si="56"/>
        <v>254.95131086142334</v>
      </c>
      <c r="AK166" s="81">
        <f t="shared" si="57"/>
        <v>197.63667508637468</v>
      </c>
      <c r="AL166" s="81">
        <f t="shared" si="46"/>
        <v>55.200998751560576</v>
      </c>
      <c r="AM166" s="83">
        <f t="shared" si="67"/>
        <v>0.21212121212121213</v>
      </c>
      <c r="AN166" s="83">
        <v>0.17499999999999999</v>
      </c>
      <c r="AO166" s="83">
        <f t="shared" si="68"/>
        <v>2.2997341724081802E-2</v>
      </c>
      <c r="AP166" s="83">
        <v>0.27634999999999998</v>
      </c>
      <c r="AQ166" s="83">
        <f t="shared" si="53"/>
        <v>0.21651584596701531</v>
      </c>
      <c r="AR166" s="77" t="s">
        <v>112</v>
      </c>
    </row>
    <row r="167" spans="1:44" ht="15" customHeight="1" x14ac:dyDescent="0.25">
      <c r="A167" s="76">
        <v>166</v>
      </c>
      <c r="B167" s="76">
        <v>1997</v>
      </c>
      <c r="C167" s="77" t="s">
        <v>104</v>
      </c>
      <c r="D167" s="76">
        <v>7</v>
      </c>
      <c r="E167" s="78">
        <v>46</v>
      </c>
      <c r="F167" s="79">
        <v>3</v>
      </c>
      <c r="G167" s="56">
        <v>50</v>
      </c>
      <c r="H167" s="56">
        <v>32</v>
      </c>
      <c r="I167" s="78">
        <v>71</v>
      </c>
      <c r="J167" s="81">
        <v>0.27900000000000003</v>
      </c>
      <c r="K167" s="77" t="s">
        <v>110</v>
      </c>
      <c r="L167" s="77" t="s">
        <v>36</v>
      </c>
      <c r="M167" s="77" t="s">
        <v>289</v>
      </c>
      <c r="N167" s="77">
        <v>20</v>
      </c>
      <c r="O167" s="77">
        <v>20</v>
      </c>
      <c r="P167" s="78"/>
      <c r="Q167" s="81">
        <v>9</v>
      </c>
      <c r="R167" s="82"/>
      <c r="S167" s="82">
        <v>1.3293286553674562E-4</v>
      </c>
      <c r="T167" s="82">
        <v>670000000</v>
      </c>
      <c r="U167" s="78">
        <v>2755</v>
      </c>
      <c r="V167" s="82">
        <v>1.7919999999999998E-2</v>
      </c>
      <c r="W167" s="82">
        <v>2.3040000000000001E-2</v>
      </c>
      <c r="X167" s="82">
        <v>0.54900000000000004</v>
      </c>
      <c r="Y167" s="78">
        <v>29.6</v>
      </c>
      <c r="Z167" s="78">
        <v>1075</v>
      </c>
      <c r="AA167" s="78">
        <f t="shared" si="64"/>
        <v>320</v>
      </c>
      <c r="AB167" s="81">
        <f t="shared" si="65"/>
        <v>0.82189116447904176</v>
      </c>
      <c r="AC167" s="81">
        <f t="shared" si="54"/>
        <v>199.26471320826147</v>
      </c>
      <c r="AD167" s="81">
        <v>800</v>
      </c>
      <c r="AE167" s="81">
        <f t="shared" si="55"/>
        <v>744.18604651162786</v>
      </c>
      <c r="AF167" s="81">
        <f t="shared" si="66"/>
        <v>600.73528679173853</v>
      </c>
      <c r="AG167" s="83">
        <v>1</v>
      </c>
      <c r="AH167" s="83">
        <v>3.0147599999999999</v>
      </c>
      <c r="AI167" s="83">
        <f t="shared" si="62"/>
        <v>0.75091910848967314</v>
      </c>
      <c r="AJ167" s="81">
        <f t="shared" si="56"/>
        <v>252.08181809124324</v>
      </c>
      <c r="AK167" s="81">
        <f t="shared" si="57"/>
        <v>195.41226208623507</v>
      </c>
      <c r="AL167" s="81">
        <f t="shared" ref="AL167:AL230" si="69">AJ167*AQ167</f>
        <v>52.817104882981781</v>
      </c>
      <c r="AM167" s="83">
        <f t="shared" si="67"/>
        <v>0.21212121212121213</v>
      </c>
      <c r="AN167" s="83">
        <v>0.17499999999999999</v>
      </c>
      <c r="AO167" s="83">
        <f t="shared" si="68"/>
        <v>1.8888908591340545E-2</v>
      </c>
      <c r="AP167" s="83">
        <v>0.26506000000000002</v>
      </c>
      <c r="AQ167" s="83">
        <f t="shared" si="53"/>
        <v>0.20952365895688743</v>
      </c>
      <c r="AR167" s="77" t="s">
        <v>113</v>
      </c>
    </row>
    <row r="168" spans="1:44" ht="15" customHeight="1" x14ac:dyDescent="0.25">
      <c r="A168" s="76">
        <v>167</v>
      </c>
      <c r="B168" s="76">
        <v>1997</v>
      </c>
      <c r="C168" s="77" t="s">
        <v>104</v>
      </c>
      <c r="D168" s="76">
        <v>8</v>
      </c>
      <c r="E168" s="78">
        <v>41</v>
      </c>
      <c r="F168" s="79">
        <v>3</v>
      </c>
      <c r="G168" s="56">
        <v>50</v>
      </c>
      <c r="H168" s="56">
        <v>32</v>
      </c>
      <c r="I168" s="78">
        <v>55</v>
      </c>
      <c r="J168" s="81">
        <v>1.0309999999999999</v>
      </c>
      <c r="K168" s="77" t="s">
        <v>110</v>
      </c>
      <c r="L168" s="77" t="s">
        <v>36</v>
      </c>
      <c r="M168" s="77" t="s">
        <v>289</v>
      </c>
      <c r="N168" s="77">
        <v>20</v>
      </c>
      <c r="O168" s="77">
        <v>20</v>
      </c>
      <c r="P168" s="78"/>
      <c r="Q168" s="81">
        <v>9</v>
      </c>
      <c r="R168" s="82"/>
      <c r="S168" s="82">
        <v>1.3293286553674562E-4</v>
      </c>
      <c r="T168" s="82">
        <v>670000000</v>
      </c>
      <c r="U168" s="78">
        <v>2755</v>
      </c>
      <c r="V168" s="82">
        <v>1.7919999999999998E-2</v>
      </c>
      <c r="W168" s="82">
        <v>2.3040000000000001E-2</v>
      </c>
      <c r="X168" s="82">
        <v>0.54900000000000004</v>
      </c>
      <c r="Y168" s="78">
        <v>29.6</v>
      </c>
      <c r="Z168" s="78">
        <v>1075</v>
      </c>
      <c r="AA168" s="78">
        <f t="shared" si="64"/>
        <v>320</v>
      </c>
      <c r="AB168" s="81">
        <f t="shared" si="65"/>
        <v>0.82189116447904176</v>
      </c>
      <c r="AC168" s="81">
        <f t="shared" si="54"/>
        <v>197.68413041222084</v>
      </c>
      <c r="AD168" s="81">
        <v>800</v>
      </c>
      <c r="AE168" s="81">
        <f t="shared" si="55"/>
        <v>744.18604651162786</v>
      </c>
      <c r="AF168" s="81">
        <f t="shared" si="66"/>
        <v>602.31586958777916</v>
      </c>
      <c r="AG168" s="83">
        <v>1</v>
      </c>
      <c r="AH168" s="83">
        <v>3.0468600000000001</v>
      </c>
      <c r="AI168" s="83">
        <f t="shared" si="62"/>
        <v>0.75289483698472393</v>
      </c>
      <c r="AJ168" s="81">
        <f t="shared" si="56"/>
        <v>246.25314441319938</v>
      </c>
      <c r="AK168" s="81">
        <f t="shared" si="57"/>
        <v>190.89391039782896</v>
      </c>
      <c r="AL168" s="81">
        <f t="shared" si="69"/>
        <v>48.569014000978534</v>
      </c>
      <c r="AM168" s="83">
        <f t="shared" si="67"/>
        <v>0.21212121212121213</v>
      </c>
      <c r="AN168" s="83">
        <v>0.17499999999999999</v>
      </c>
      <c r="AO168" s="83">
        <f t="shared" si="68"/>
        <v>1.1841933381067225E-2</v>
      </c>
      <c r="AP168" s="83">
        <v>0.24568999999999999</v>
      </c>
      <c r="AQ168" s="83">
        <f t="shared" si="53"/>
        <v>0.19723205612953462</v>
      </c>
      <c r="AR168" s="77" t="s">
        <v>114</v>
      </c>
    </row>
    <row r="169" spans="1:44" ht="15" hidden="1" customHeight="1" x14ac:dyDescent="0.25">
      <c r="A169" s="76">
        <v>168</v>
      </c>
      <c r="B169" s="76">
        <v>1997</v>
      </c>
      <c r="C169" s="77" t="s">
        <v>104</v>
      </c>
      <c r="D169" s="76">
        <v>9</v>
      </c>
      <c r="E169" s="78">
        <v>58</v>
      </c>
      <c r="F169" s="79">
        <v>3</v>
      </c>
      <c r="G169" s="56">
        <v>50</v>
      </c>
      <c r="H169" s="56">
        <v>32</v>
      </c>
      <c r="I169" s="78">
        <v>127</v>
      </c>
      <c r="J169" s="81">
        <v>0.28870000000000001</v>
      </c>
      <c r="K169" s="77" t="s">
        <v>115</v>
      </c>
      <c r="L169" s="77" t="s">
        <v>36</v>
      </c>
      <c r="M169" s="77" t="s">
        <v>34</v>
      </c>
      <c r="N169" s="77" t="s">
        <v>34</v>
      </c>
      <c r="O169" s="77" t="s">
        <v>34</v>
      </c>
      <c r="P169" s="78"/>
      <c r="Q169" s="81">
        <v>5</v>
      </c>
      <c r="R169" s="82"/>
      <c r="S169" s="82">
        <v>1.3293286553674562E-4</v>
      </c>
      <c r="T169" s="82">
        <v>670000000</v>
      </c>
      <c r="U169" s="78">
        <v>2755</v>
      </c>
      <c r="V169" s="82">
        <v>1.7919999999999998E-2</v>
      </c>
      <c r="W169" s="82">
        <v>2.3040000000000001E-2</v>
      </c>
      <c r="X169" s="82">
        <v>0.54900000000000004</v>
      </c>
      <c r="Y169" s="78">
        <v>29.6</v>
      </c>
      <c r="Z169" s="78">
        <v>1075</v>
      </c>
      <c r="AA169" s="78">
        <f t="shared" si="64"/>
        <v>320</v>
      </c>
      <c r="AB169" s="81">
        <f t="shared" si="65"/>
        <v>0.82189116447904176</v>
      </c>
      <c r="AC169" s="81">
        <f t="shared" si="54"/>
        <v>183.97148441991487</v>
      </c>
      <c r="AD169" s="81">
        <v>800</v>
      </c>
      <c r="AE169" s="81">
        <f t="shared" si="55"/>
        <v>744.18604651162786</v>
      </c>
      <c r="AF169" s="81">
        <f t="shared" si="66"/>
        <v>616.02851558008513</v>
      </c>
      <c r="AG169" s="83">
        <v>1</v>
      </c>
      <c r="AH169" s="83">
        <v>3.3485</v>
      </c>
      <c r="AI169" s="83">
        <f t="shared" si="62"/>
        <v>0.77003564447510642</v>
      </c>
      <c r="AJ169" s="81">
        <f t="shared" si="56"/>
        <v>275.95722662987225</v>
      </c>
      <c r="AK169" s="81">
        <f t="shared" si="57"/>
        <v>213.9203307208312</v>
      </c>
      <c r="AL169" s="81">
        <f t="shared" si="69"/>
        <v>91.985742209957408</v>
      </c>
      <c r="AM169" s="83">
        <f t="shared" si="67"/>
        <v>0.21212121212121213</v>
      </c>
      <c r="AN169" s="83">
        <v>0.17499999999999999</v>
      </c>
      <c r="AO169" s="83">
        <f t="shared" si="68"/>
        <v>9.1786996198085988E-2</v>
      </c>
      <c r="AP169" s="83">
        <v>0.5</v>
      </c>
      <c r="AQ169" s="83">
        <f t="shared" si="53"/>
        <v>0.33333333333333331</v>
      </c>
      <c r="AR169" s="77" t="s">
        <v>116</v>
      </c>
    </row>
    <row r="170" spans="1:44" ht="15" hidden="1" customHeight="1" x14ac:dyDescent="0.25">
      <c r="A170" s="76">
        <v>169</v>
      </c>
      <c r="B170" s="76">
        <v>1997</v>
      </c>
      <c r="C170" s="77" t="s">
        <v>104</v>
      </c>
      <c r="D170" s="76">
        <v>10</v>
      </c>
      <c r="E170" s="78">
        <v>57</v>
      </c>
      <c r="F170" s="79">
        <v>3</v>
      </c>
      <c r="G170" s="56">
        <v>50</v>
      </c>
      <c r="H170" s="56">
        <v>32</v>
      </c>
      <c r="I170" s="78">
        <v>127</v>
      </c>
      <c r="J170" s="81">
        <v>0.46760000000000002</v>
      </c>
      <c r="K170" s="77" t="s">
        <v>115</v>
      </c>
      <c r="L170" s="77" t="s">
        <v>36</v>
      </c>
      <c r="M170" s="77" t="s">
        <v>34</v>
      </c>
      <c r="N170" s="77" t="s">
        <v>34</v>
      </c>
      <c r="O170" s="77" t="s">
        <v>34</v>
      </c>
      <c r="P170" s="78"/>
      <c r="Q170" s="81">
        <v>8</v>
      </c>
      <c r="R170" s="82"/>
      <c r="S170" s="82">
        <v>1.3293286553674562E-4</v>
      </c>
      <c r="T170" s="82">
        <v>670000000</v>
      </c>
      <c r="U170" s="78">
        <v>2755</v>
      </c>
      <c r="V170" s="82">
        <v>1.7919999999999998E-2</v>
      </c>
      <c r="W170" s="82">
        <v>2.3040000000000001E-2</v>
      </c>
      <c r="X170" s="82">
        <v>0.54900000000000004</v>
      </c>
      <c r="Y170" s="78">
        <v>29.6</v>
      </c>
      <c r="Z170" s="78">
        <v>1075</v>
      </c>
      <c r="AA170" s="78">
        <f t="shared" si="64"/>
        <v>320</v>
      </c>
      <c r="AB170" s="81">
        <f t="shared" si="65"/>
        <v>0.82189116447904176</v>
      </c>
      <c r="AC170" s="81">
        <f t="shared" si="54"/>
        <v>183.97148441991487</v>
      </c>
      <c r="AD170" s="81">
        <v>800</v>
      </c>
      <c r="AE170" s="81">
        <f t="shared" si="55"/>
        <v>744.18604651162786</v>
      </c>
      <c r="AF170" s="81">
        <f t="shared" si="66"/>
        <v>616.02851558008513</v>
      </c>
      <c r="AG170" s="83">
        <v>1</v>
      </c>
      <c r="AH170" s="83">
        <v>3.3485</v>
      </c>
      <c r="AI170" s="83">
        <f t="shared" si="62"/>
        <v>0.77003564447510642</v>
      </c>
      <c r="AJ170" s="81">
        <f t="shared" si="56"/>
        <v>241.59135334023222</v>
      </c>
      <c r="AK170" s="81">
        <f t="shared" si="57"/>
        <v>187.28011886839707</v>
      </c>
      <c r="AL170" s="81">
        <f t="shared" si="69"/>
        <v>57.619868920317337</v>
      </c>
      <c r="AM170" s="83">
        <f t="shared" si="67"/>
        <v>0.21212121212121213</v>
      </c>
      <c r="AN170" s="83">
        <v>0.17499999999999999</v>
      </c>
      <c r="AO170" s="83">
        <f t="shared" si="68"/>
        <v>3.2227863633509005E-2</v>
      </c>
      <c r="AP170" s="83">
        <v>0.31319999999999998</v>
      </c>
      <c r="AQ170" s="83">
        <f t="shared" si="53"/>
        <v>0.23850137069753274</v>
      </c>
      <c r="AR170" s="77" t="s">
        <v>117</v>
      </c>
    </row>
    <row r="171" spans="1:44" ht="15" customHeight="1" x14ac:dyDescent="0.25">
      <c r="A171" s="76">
        <v>170</v>
      </c>
      <c r="B171" s="76">
        <v>1997</v>
      </c>
      <c r="C171" s="77" t="s">
        <v>104</v>
      </c>
      <c r="D171" s="76">
        <v>11</v>
      </c>
      <c r="E171" s="78">
        <v>57</v>
      </c>
      <c r="F171" s="79">
        <v>3</v>
      </c>
      <c r="G171" s="56">
        <v>50</v>
      </c>
      <c r="H171" s="56">
        <v>32</v>
      </c>
      <c r="I171" s="78">
        <v>127</v>
      </c>
      <c r="J171" s="81">
        <v>0.2641</v>
      </c>
      <c r="K171" s="77" t="s">
        <v>115</v>
      </c>
      <c r="L171" s="77" t="s">
        <v>36</v>
      </c>
      <c r="M171" s="77" t="s">
        <v>289</v>
      </c>
      <c r="N171" s="77">
        <v>20</v>
      </c>
      <c r="O171" s="77">
        <v>20</v>
      </c>
      <c r="P171" s="78"/>
      <c r="Q171" s="81">
        <v>8</v>
      </c>
      <c r="R171" s="82"/>
      <c r="S171" s="82">
        <v>1.3293286553674562E-4</v>
      </c>
      <c r="T171" s="82">
        <v>670000000</v>
      </c>
      <c r="U171" s="78">
        <v>2755</v>
      </c>
      <c r="V171" s="82">
        <v>1.7919999999999998E-2</v>
      </c>
      <c r="W171" s="82">
        <v>2.3040000000000001E-2</v>
      </c>
      <c r="X171" s="82">
        <v>0.54900000000000004</v>
      </c>
      <c r="Y171" s="78">
        <v>29.6</v>
      </c>
      <c r="Z171" s="78">
        <v>1075</v>
      </c>
      <c r="AA171" s="78">
        <f t="shared" si="64"/>
        <v>320</v>
      </c>
      <c r="AB171" s="81">
        <f t="shared" si="65"/>
        <v>0.82189116447904176</v>
      </c>
      <c r="AC171" s="81">
        <f t="shared" si="54"/>
        <v>183.76019294820264</v>
      </c>
      <c r="AD171" s="81">
        <v>800</v>
      </c>
      <c r="AE171" s="81">
        <f t="shared" si="55"/>
        <v>744.18604651162786</v>
      </c>
      <c r="AF171" s="81">
        <f t="shared" si="66"/>
        <v>616.23980705179736</v>
      </c>
      <c r="AG171" s="83">
        <v>1</v>
      </c>
      <c r="AH171" s="83">
        <v>3.3534999999999999</v>
      </c>
      <c r="AI171" s="83">
        <f t="shared" si="62"/>
        <v>0.77029975881474666</v>
      </c>
      <c r="AJ171" s="81">
        <f t="shared" si="56"/>
        <v>235.21304697369939</v>
      </c>
      <c r="AK171" s="81">
        <f t="shared" si="57"/>
        <v>182.33569532844916</v>
      </c>
      <c r="AL171" s="81">
        <f t="shared" si="69"/>
        <v>51.452854025496748</v>
      </c>
      <c r="AM171" s="83">
        <f t="shared" si="67"/>
        <v>0.21212121212121213</v>
      </c>
      <c r="AN171" s="83">
        <v>0.17499999999999999</v>
      </c>
      <c r="AO171" s="83">
        <f t="shared" si="68"/>
        <v>2.1607960218201817E-2</v>
      </c>
      <c r="AP171" s="83">
        <v>0.28000000000000003</v>
      </c>
      <c r="AQ171" s="83">
        <f t="shared" si="53"/>
        <v>0.21875000000000003</v>
      </c>
      <c r="AR171" s="77" t="s">
        <v>118</v>
      </c>
    </row>
    <row r="172" spans="1:44" ht="15" customHeight="1" x14ac:dyDescent="0.25">
      <c r="A172" s="76">
        <v>171</v>
      </c>
      <c r="B172" s="76">
        <v>1997</v>
      </c>
      <c r="C172" s="77" t="s">
        <v>104</v>
      </c>
      <c r="D172" s="76">
        <v>12</v>
      </c>
      <c r="E172" s="78">
        <v>58</v>
      </c>
      <c r="F172" s="79">
        <v>3</v>
      </c>
      <c r="G172" s="56">
        <v>50</v>
      </c>
      <c r="H172" s="56">
        <v>32</v>
      </c>
      <c r="I172" s="78">
        <v>127</v>
      </c>
      <c r="J172" s="81">
        <v>0.27850000000000003</v>
      </c>
      <c r="K172" s="77" t="s">
        <v>115</v>
      </c>
      <c r="L172" s="77" t="s">
        <v>36</v>
      </c>
      <c r="M172" s="77" t="s">
        <v>289</v>
      </c>
      <c r="N172" s="77">
        <v>20</v>
      </c>
      <c r="O172" s="77">
        <v>20</v>
      </c>
      <c r="P172" s="78"/>
      <c r="Q172" s="81">
        <v>8</v>
      </c>
      <c r="R172" s="82"/>
      <c r="S172" s="82">
        <v>1.3293286553674562E-4</v>
      </c>
      <c r="T172" s="82">
        <v>670000000</v>
      </c>
      <c r="U172" s="78">
        <v>2755</v>
      </c>
      <c r="V172" s="82">
        <v>1.7919999999999998E-2</v>
      </c>
      <c r="W172" s="82">
        <v>2.3040000000000001E-2</v>
      </c>
      <c r="X172" s="82">
        <v>0.54900000000000004</v>
      </c>
      <c r="Y172" s="78">
        <v>29.6</v>
      </c>
      <c r="Z172" s="78">
        <v>1075</v>
      </c>
      <c r="AA172" s="78">
        <f t="shared" si="64"/>
        <v>320</v>
      </c>
      <c r="AB172" s="81">
        <f t="shared" si="65"/>
        <v>0.82189116447904176</v>
      </c>
      <c r="AC172" s="81">
        <f t="shared" si="54"/>
        <v>183.97148441991487</v>
      </c>
      <c r="AD172" s="81">
        <v>800</v>
      </c>
      <c r="AE172" s="81">
        <f t="shared" si="55"/>
        <v>744.18604651162786</v>
      </c>
      <c r="AF172" s="81">
        <f t="shared" si="66"/>
        <v>616.02851558008513</v>
      </c>
      <c r="AG172" s="83">
        <v>1</v>
      </c>
      <c r="AH172" s="83">
        <v>3.3485</v>
      </c>
      <c r="AI172" s="83">
        <f t="shared" si="62"/>
        <v>0.77003564447510642</v>
      </c>
      <c r="AJ172" s="81">
        <f t="shared" si="56"/>
        <v>210.20581809819473</v>
      </c>
      <c r="AK172" s="81">
        <f t="shared" si="57"/>
        <v>162.95024658774784</v>
      </c>
      <c r="AL172" s="81">
        <f t="shared" si="69"/>
        <v>26.23433367827986</v>
      </c>
      <c r="AM172" s="83">
        <f>AP172</f>
        <v>0.1426</v>
      </c>
      <c r="AN172" s="83">
        <f>AM172/(AM172+1)</f>
        <v>0.12480308069315596</v>
      </c>
      <c r="AO172" s="83">
        <v>0</v>
      </c>
      <c r="AP172" s="83">
        <v>0.1426</v>
      </c>
      <c r="AQ172" s="83">
        <f t="shared" si="53"/>
        <v>0.12480308069315596</v>
      </c>
      <c r="AR172" s="77" t="s">
        <v>119</v>
      </c>
    </row>
    <row r="173" spans="1:44" ht="15" hidden="1" customHeight="1" x14ac:dyDescent="0.25">
      <c r="A173" s="76">
        <v>172</v>
      </c>
      <c r="B173" s="76">
        <v>1997</v>
      </c>
      <c r="C173" s="77" t="s">
        <v>104</v>
      </c>
      <c r="D173" s="76">
        <v>13</v>
      </c>
      <c r="E173" s="78">
        <v>48</v>
      </c>
      <c r="F173" s="79">
        <v>3</v>
      </c>
      <c r="G173" s="56">
        <v>60</v>
      </c>
      <c r="H173" s="56">
        <v>27</v>
      </c>
      <c r="I173" s="78">
        <v>78</v>
      </c>
      <c r="J173" s="81">
        <v>1.7500000000000002E-2</v>
      </c>
      <c r="K173" s="77" t="s">
        <v>105</v>
      </c>
      <c r="L173" s="77" t="s">
        <v>36</v>
      </c>
      <c r="M173" s="77" t="s">
        <v>34</v>
      </c>
      <c r="N173" s="77" t="s">
        <v>34</v>
      </c>
      <c r="O173" s="77" t="s">
        <v>34</v>
      </c>
      <c r="P173" s="78"/>
      <c r="Q173" s="81">
        <v>10</v>
      </c>
      <c r="R173" s="82"/>
      <c r="S173" s="82">
        <v>1.716972850057704E-4</v>
      </c>
      <c r="T173" s="82">
        <v>670000000</v>
      </c>
      <c r="U173" s="78">
        <v>2755</v>
      </c>
      <c r="V173" s="82">
        <v>1.7919999999999998E-2</v>
      </c>
      <c r="W173" s="82">
        <v>2.3040000000000001E-2</v>
      </c>
      <c r="X173" s="82">
        <v>0.54900000000000004</v>
      </c>
      <c r="Y173" s="78">
        <v>29.6</v>
      </c>
      <c r="Z173" s="78">
        <v>1075</v>
      </c>
      <c r="AA173" s="78">
        <f t="shared" si="64"/>
        <v>320</v>
      </c>
      <c r="AB173" s="81">
        <f t="shared" si="65"/>
        <v>0.82189116447904176</v>
      </c>
      <c r="AC173" s="81">
        <f t="shared" si="54"/>
        <v>178.695079184257</v>
      </c>
      <c r="AD173" s="81">
        <v>800</v>
      </c>
      <c r="AE173" s="81">
        <f t="shared" si="55"/>
        <v>744.18604651162786</v>
      </c>
      <c r="AF173" s="81">
        <f t="shared" si="66"/>
        <v>621.304920815743</v>
      </c>
      <c r="AG173" s="83">
        <v>1</v>
      </c>
      <c r="AH173" s="83">
        <v>3.4769000000000001</v>
      </c>
      <c r="AI173" s="83">
        <f t="shared" si="62"/>
        <v>0.77663115101967872</v>
      </c>
      <c r="AJ173" s="81">
        <f t="shared" si="56"/>
        <v>228.22935513413302</v>
      </c>
      <c r="AK173" s="81">
        <f t="shared" si="57"/>
        <v>176.92198072413413</v>
      </c>
      <c r="AL173" s="81">
        <f t="shared" si="69"/>
        <v>49.534275949876033</v>
      </c>
      <c r="AM173" s="83">
        <f>AN173/(1-AN173)</f>
        <v>0.21212121212121213</v>
      </c>
      <c r="AN173" s="83">
        <v>0.17499999999999999</v>
      </c>
      <c r="AO173" s="83">
        <f>(AP173-AM173)/(AH173-AM173)</f>
        <v>1.9933597988447866E-2</v>
      </c>
      <c r="AP173" s="83">
        <v>0.2772</v>
      </c>
      <c r="AQ173" s="83">
        <f t="shared" si="53"/>
        <v>0.21703726902599435</v>
      </c>
      <c r="AR173" s="77" t="s">
        <v>106</v>
      </c>
    </row>
    <row r="174" spans="1:44" ht="15" hidden="1" customHeight="1" x14ac:dyDescent="0.25">
      <c r="A174" s="76">
        <v>173</v>
      </c>
      <c r="B174" s="76">
        <v>1997</v>
      </c>
      <c r="C174" s="77" t="s">
        <v>104</v>
      </c>
      <c r="D174" s="76">
        <v>14</v>
      </c>
      <c r="E174" s="78">
        <v>48</v>
      </c>
      <c r="F174" s="79">
        <v>3</v>
      </c>
      <c r="G174" s="56">
        <v>60</v>
      </c>
      <c r="H174" s="56">
        <v>27</v>
      </c>
      <c r="I174" s="78">
        <v>78</v>
      </c>
      <c r="J174" s="81">
        <v>6.6100000000000006E-2</v>
      </c>
      <c r="K174" s="77" t="s">
        <v>105</v>
      </c>
      <c r="L174" s="77" t="s">
        <v>36</v>
      </c>
      <c r="M174" s="77" t="s">
        <v>34</v>
      </c>
      <c r="N174" s="77" t="s">
        <v>34</v>
      </c>
      <c r="O174" s="77" t="s">
        <v>34</v>
      </c>
      <c r="P174" s="78"/>
      <c r="Q174" s="81">
        <v>11</v>
      </c>
      <c r="R174" s="82"/>
      <c r="S174" s="82">
        <v>1.716972850057704E-4</v>
      </c>
      <c r="T174" s="82">
        <v>670000000</v>
      </c>
      <c r="U174" s="78">
        <v>2755</v>
      </c>
      <c r="V174" s="82">
        <v>1.7919999999999998E-2</v>
      </c>
      <c r="W174" s="82">
        <v>2.3040000000000001E-2</v>
      </c>
      <c r="X174" s="82">
        <v>0.54900000000000004</v>
      </c>
      <c r="Y174" s="78">
        <v>29.6</v>
      </c>
      <c r="Z174" s="78">
        <v>1075</v>
      </c>
      <c r="AA174" s="78">
        <f t="shared" si="64"/>
        <v>320</v>
      </c>
      <c r="AB174" s="81">
        <f t="shared" si="65"/>
        <v>0.82189116447904176</v>
      </c>
      <c r="AC174" s="81">
        <f t="shared" si="54"/>
        <v>178.695079184257</v>
      </c>
      <c r="AD174" s="81">
        <v>800</v>
      </c>
      <c r="AE174" s="81">
        <f t="shared" si="55"/>
        <v>744.18604651162786</v>
      </c>
      <c r="AF174" s="81">
        <f t="shared" si="66"/>
        <v>621.304920815743</v>
      </c>
      <c r="AG174" s="83">
        <v>1</v>
      </c>
      <c r="AH174" s="83">
        <v>3.4769000000000001</v>
      </c>
      <c r="AI174" s="83">
        <f t="shared" si="62"/>
        <v>0.77663115101967872</v>
      </c>
      <c r="AJ174" s="81">
        <f t="shared" si="56"/>
        <v>228.22935513413302</v>
      </c>
      <c r="AK174" s="81">
        <f t="shared" si="57"/>
        <v>176.92198072413413</v>
      </c>
      <c r="AL174" s="81">
        <f t="shared" si="69"/>
        <v>49.534275949876033</v>
      </c>
      <c r="AM174" s="83">
        <f>AN174/(1-AN174)</f>
        <v>0.21212121212121213</v>
      </c>
      <c r="AN174" s="83">
        <v>0.17499999999999999</v>
      </c>
      <c r="AO174" s="83">
        <f>(AP174-AM174)/(AH174-AM174)</f>
        <v>1.9933597988447866E-2</v>
      </c>
      <c r="AP174" s="83">
        <v>0.2772</v>
      </c>
      <c r="AQ174" s="83">
        <f t="shared" si="53"/>
        <v>0.21703726902599435</v>
      </c>
      <c r="AR174" s="77" t="s">
        <v>107</v>
      </c>
    </row>
    <row r="175" spans="1:44" ht="15" customHeight="1" x14ac:dyDescent="0.25">
      <c r="A175" s="76">
        <v>174</v>
      </c>
      <c r="B175" s="76">
        <v>1997</v>
      </c>
      <c r="C175" s="77" t="s">
        <v>104</v>
      </c>
      <c r="D175" s="76">
        <v>15</v>
      </c>
      <c r="E175" s="78">
        <v>48</v>
      </c>
      <c r="F175" s="79">
        <v>3</v>
      </c>
      <c r="G175" s="56">
        <v>60</v>
      </c>
      <c r="H175" s="56">
        <v>27</v>
      </c>
      <c r="I175" s="78">
        <v>78</v>
      </c>
      <c r="J175" s="81">
        <v>6.6100000000000006E-2</v>
      </c>
      <c r="K175" s="77" t="s">
        <v>105</v>
      </c>
      <c r="L175" s="77" t="s">
        <v>36</v>
      </c>
      <c r="M175" s="77" t="s">
        <v>289</v>
      </c>
      <c r="N175" s="77">
        <v>20</v>
      </c>
      <c r="O175" s="77">
        <v>20</v>
      </c>
      <c r="P175" s="78"/>
      <c r="Q175" s="81">
        <v>11</v>
      </c>
      <c r="R175" s="82"/>
      <c r="S175" s="82">
        <v>1.716972850057704E-4</v>
      </c>
      <c r="T175" s="82">
        <v>670000000</v>
      </c>
      <c r="U175" s="78">
        <v>2755</v>
      </c>
      <c r="V175" s="82">
        <v>1.7919999999999998E-2</v>
      </c>
      <c r="W175" s="82">
        <v>2.3040000000000001E-2</v>
      </c>
      <c r="X175" s="82">
        <v>0.54900000000000004</v>
      </c>
      <c r="Y175" s="78">
        <v>29.6</v>
      </c>
      <c r="Z175" s="78">
        <v>1075</v>
      </c>
      <c r="AA175" s="78">
        <f t="shared" si="64"/>
        <v>320</v>
      </c>
      <c r="AB175" s="81">
        <f t="shared" si="65"/>
        <v>0.82189116447904176</v>
      </c>
      <c r="AC175" s="81">
        <f t="shared" si="54"/>
        <v>178.695079184257</v>
      </c>
      <c r="AD175" s="81">
        <v>800</v>
      </c>
      <c r="AE175" s="81">
        <f t="shared" si="55"/>
        <v>744.18604651162786</v>
      </c>
      <c r="AF175" s="81">
        <f t="shared" si="66"/>
        <v>621.304920815743</v>
      </c>
      <c r="AG175" s="83">
        <v>1</v>
      </c>
      <c r="AH175" s="83">
        <v>3.4769000000000001</v>
      </c>
      <c r="AI175" s="83">
        <f t="shared" si="62"/>
        <v>0.77663115101967872</v>
      </c>
      <c r="AJ175" s="81">
        <f t="shared" si="56"/>
        <v>228.22935513413302</v>
      </c>
      <c r="AK175" s="81">
        <f t="shared" si="57"/>
        <v>176.92198072413413</v>
      </c>
      <c r="AL175" s="81">
        <f t="shared" si="69"/>
        <v>49.534275949876033</v>
      </c>
      <c r="AM175" s="83">
        <f>AN175/(1-AN175)</f>
        <v>0.21212121212121213</v>
      </c>
      <c r="AN175" s="83">
        <v>0.17499999999999999</v>
      </c>
      <c r="AO175" s="83">
        <f>(AP175-AM175)/(AH175-AM175)</f>
        <v>1.9933597988447866E-2</v>
      </c>
      <c r="AP175" s="83">
        <v>0.2772</v>
      </c>
      <c r="AQ175" s="83">
        <f t="shared" si="53"/>
        <v>0.21703726902599435</v>
      </c>
      <c r="AR175" s="77" t="s">
        <v>108</v>
      </c>
    </row>
    <row r="176" spans="1:44" ht="15" customHeight="1" x14ac:dyDescent="0.25">
      <c r="A176" s="76">
        <v>175</v>
      </c>
      <c r="B176" s="76">
        <v>1997</v>
      </c>
      <c r="C176" s="77" t="s">
        <v>104</v>
      </c>
      <c r="D176" s="76">
        <v>16</v>
      </c>
      <c r="E176" s="78">
        <v>45</v>
      </c>
      <c r="F176" s="79">
        <v>3</v>
      </c>
      <c r="G176" s="56">
        <v>60</v>
      </c>
      <c r="H176" s="56">
        <v>27</v>
      </c>
      <c r="I176" s="78">
        <v>70</v>
      </c>
      <c r="J176" s="81">
        <v>4.4000000000000003E-3</v>
      </c>
      <c r="K176" s="77" t="s">
        <v>105</v>
      </c>
      <c r="L176" s="77" t="s">
        <v>36</v>
      </c>
      <c r="M176" s="77" t="s">
        <v>289</v>
      </c>
      <c r="N176" s="77">
        <v>20</v>
      </c>
      <c r="O176" s="77">
        <v>20</v>
      </c>
      <c r="P176" s="78"/>
      <c r="Q176" s="81">
        <v>15</v>
      </c>
      <c r="R176" s="82"/>
      <c r="S176" s="82">
        <v>1.716972850057704E-4</v>
      </c>
      <c r="T176" s="82">
        <v>670000000</v>
      </c>
      <c r="U176" s="78">
        <v>2755</v>
      </c>
      <c r="V176" s="82">
        <v>1.7919999999999998E-2</v>
      </c>
      <c r="W176" s="82">
        <v>2.3040000000000001E-2</v>
      </c>
      <c r="X176" s="82">
        <v>0.54900000000000004</v>
      </c>
      <c r="Y176" s="78">
        <v>29.6</v>
      </c>
      <c r="Z176" s="78">
        <v>1075</v>
      </c>
      <c r="AA176" s="78">
        <f t="shared" si="64"/>
        <v>320</v>
      </c>
      <c r="AB176" s="81">
        <f t="shared" si="65"/>
        <v>0.82189116447904176</v>
      </c>
      <c r="AC176" s="81">
        <f t="shared" si="54"/>
        <v>178.93489006687696</v>
      </c>
      <c r="AD176" s="81">
        <v>800</v>
      </c>
      <c r="AE176" s="81">
        <f t="shared" si="55"/>
        <v>744.18604651162786</v>
      </c>
      <c r="AF176" s="81">
        <f t="shared" si="66"/>
        <v>621.06510993312304</v>
      </c>
      <c r="AG176" s="83">
        <v>1</v>
      </c>
      <c r="AH176" s="83">
        <v>3.4708999999999999</v>
      </c>
      <c r="AI176" s="83">
        <f t="shared" si="62"/>
        <v>0.77633138741640373</v>
      </c>
      <c r="AJ176" s="81">
        <f t="shared" si="56"/>
        <v>217.47746538728225</v>
      </c>
      <c r="AK176" s="81">
        <f t="shared" si="57"/>
        <v>168.58718247076143</v>
      </c>
      <c r="AL176" s="81">
        <f t="shared" si="69"/>
        <v>38.542575320405298</v>
      </c>
      <c r="AM176" s="83">
        <f>AN176/(1-AN176)</f>
        <v>0.21212121212121213</v>
      </c>
      <c r="AN176" s="83">
        <v>0.17499999999999999</v>
      </c>
      <c r="AO176" s="83">
        <f>(AP176-AM176)/(AH176-AM176)</f>
        <v>1.0061400580436812E-3</v>
      </c>
      <c r="AP176" s="83">
        <v>0.21540000000000001</v>
      </c>
      <c r="AQ176" s="83">
        <f t="shared" si="53"/>
        <v>0.17722560473918053</v>
      </c>
      <c r="AR176" s="77" t="s">
        <v>109</v>
      </c>
    </row>
    <row r="177" spans="1:44" ht="15" hidden="1" customHeight="1" x14ac:dyDescent="0.25">
      <c r="A177" s="76">
        <v>176</v>
      </c>
      <c r="B177" s="76">
        <v>1997</v>
      </c>
      <c r="C177" s="77" t="s">
        <v>104</v>
      </c>
      <c r="D177" s="76">
        <v>17</v>
      </c>
      <c r="E177" s="78">
        <v>48</v>
      </c>
      <c r="F177" s="79">
        <v>3</v>
      </c>
      <c r="G177" s="56">
        <v>60</v>
      </c>
      <c r="H177" s="56">
        <v>27</v>
      </c>
      <c r="I177" s="78">
        <v>71</v>
      </c>
      <c r="J177" s="81">
        <v>7.2400000000000006E-2</v>
      </c>
      <c r="K177" s="77" t="s">
        <v>115</v>
      </c>
      <c r="L177" s="77" t="s">
        <v>36</v>
      </c>
      <c r="M177" s="77" t="s">
        <v>34</v>
      </c>
      <c r="N177" s="77" t="s">
        <v>34</v>
      </c>
      <c r="O177" s="77" t="s">
        <v>34</v>
      </c>
      <c r="P177" s="78"/>
      <c r="Q177" s="81">
        <v>8</v>
      </c>
      <c r="R177" s="82"/>
      <c r="S177" s="82">
        <v>1.716972850057704E-4</v>
      </c>
      <c r="T177" s="82">
        <v>670000000</v>
      </c>
      <c r="U177" s="78">
        <v>2755</v>
      </c>
      <c r="V177" s="82">
        <v>1.7919999999999998E-2</v>
      </c>
      <c r="W177" s="82">
        <v>2.3040000000000001E-2</v>
      </c>
      <c r="X177" s="82">
        <v>0.54900000000000004</v>
      </c>
      <c r="Y177" s="78">
        <v>29.6</v>
      </c>
      <c r="Z177" s="78">
        <v>1075</v>
      </c>
      <c r="AA177" s="78">
        <f t="shared" si="64"/>
        <v>320</v>
      </c>
      <c r="AB177" s="81">
        <f t="shared" si="65"/>
        <v>0.82189116447904176</v>
      </c>
      <c r="AC177" s="81">
        <f t="shared" si="54"/>
        <v>177.93594306049829</v>
      </c>
      <c r="AD177" s="81">
        <v>800</v>
      </c>
      <c r="AE177" s="81">
        <f t="shared" si="55"/>
        <v>744.18604651162786</v>
      </c>
      <c r="AF177" s="81">
        <f t="shared" si="66"/>
        <v>622.06405693950171</v>
      </c>
      <c r="AG177" s="83">
        <v>1</v>
      </c>
      <c r="AH177" s="83">
        <v>3.496</v>
      </c>
      <c r="AI177" s="83">
        <f t="shared" si="62"/>
        <v>0.77758007117437711</v>
      </c>
      <c r="AJ177" s="81">
        <f t="shared" si="56"/>
        <v>216.65480427046271</v>
      </c>
      <c r="AK177" s="81">
        <f t="shared" si="57"/>
        <v>167.94946067477727</v>
      </c>
      <c r="AL177" s="81">
        <f t="shared" si="69"/>
        <v>38.718861209964423</v>
      </c>
      <c r="AM177" s="83">
        <f>AN177/(1-AN177)</f>
        <v>0.21212121212121213</v>
      </c>
      <c r="AN177" s="83">
        <v>0.17499999999999999</v>
      </c>
      <c r="AO177" s="83">
        <f>(AP177-AM177)/(AH177-AM177)</f>
        <v>1.6683891923815093E-3</v>
      </c>
      <c r="AP177" s="83">
        <v>0.21759999999999999</v>
      </c>
      <c r="AQ177" s="83">
        <f t="shared" si="53"/>
        <v>0.17871222076215504</v>
      </c>
      <c r="AR177" s="77" t="s">
        <v>116</v>
      </c>
    </row>
    <row r="178" spans="1:44" ht="15" hidden="1" customHeight="1" x14ac:dyDescent="0.25">
      <c r="A178" s="76">
        <v>177</v>
      </c>
      <c r="B178" s="76">
        <v>1997</v>
      </c>
      <c r="C178" s="77" t="s">
        <v>104</v>
      </c>
      <c r="D178" s="76">
        <v>18</v>
      </c>
      <c r="E178" s="78">
        <v>48</v>
      </c>
      <c r="F178" s="79">
        <v>3</v>
      </c>
      <c r="G178" s="56">
        <v>60</v>
      </c>
      <c r="H178" s="56">
        <v>27</v>
      </c>
      <c r="I178" s="78">
        <v>71</v>
      </c>
      <c r="J178" s="81">
        <v>9.1499999999999998E-2</v>
      </c>
      <c r="K178" s="77" t="s">
        <v>115</v>
      </c>
      <c r="L178" s="77" t="s">
        <v>36</v>
      </c>
      <c r="M178" s="77" t="s">
        <v>34</v>
      </c>
      <c r="N178" s="77" t="s">
        <v>34</v>
      </c>
      <c r="O178" s="77" t="s">
        <v>34</v>
      </c>
      <c r="P178" s="78"/>
      <c r="Q178" s="81">
        <v>8</v>
      </c>
      <c r="R178" s="82"/>
      <c r="S178" s="82">
        <v>1.716972850057704E-4</v>
      </c>
      <c r="T178" s="82">
        <v>670000000</v>
      </c>
      <c r="U178" s="78">
        <v>2755</v>
      </c>
      <c r="V178" s="82">
        <v>1.7919999999999998E-2</v>
      </c>
      <c r="W178" s="82">
        <v>2.3040000000000001E-2</v>
      </c>
      <c r="X178" s="82">
        <v>0.54900000000000004</v>
      </c>
      <c r="Y178" s="78">
        <v>29.6</v>
      </c>
      <c r="Z178" s="78">
        <v>1075</v>
      </c>
      <c r="AA178" s="78">
        <f t="shared" si="64"/>
        <v>320</v>
      </c>
      <c r="AB178" s="81">
        <f t="shared" si="65"/>
        <v>0.82189116447904176</v>
      </c>
      <c r="AC178" s="81">
        <f t="shared" si="54"/>
        <v>177.93594306049829</v>
      </c>
      <c r="AD178" s="81">
        <v>800</v>
      </c>
      <c r="AE178" s="81">
        <f t="shared" si="55"/>
        <v>744.18604651162786</v>
      </c>
      <c r="AF178" s="81">
        <f t="shared" si="66"/>
        <v>622.06405693950171</v>
      </c>
      <c r="AG178" s="83">
        <v>1</v>
      </c>
      <c r="AH178" s="83">
        <v>3.496</v>
      </c>
      <c r="AI178" s="83">
        <f t="shared" si="62"/>
        <v>0.77758007117437711</v>
      </c>
      <c r="AJ178" s="81">
        <f t="shared" si="56"/>
        <v>213.16725978647696</v>
      </c>
      <c r="AK178" s="81">
        <f t="shared" si="57"/>
        <v>165.2459378189744</v>
      </c>
      <c r="AL178" s="81">
        <f t="shared" si="69"/>
        <v>35.231316725978665</v>
      </c>
      <c r="AM178" s="83">
        <f>AP178</f>
        <v>0.19800000000000001</v>
      </c>
      <c r="AN178" s="83">
        <f>AM178/(AM178+1)</f>
        <v>0.1652754590984975</v>
      </c>
      <c r="AO178" s="83">
        <v>0</v>
      </c>
      <c r="AP178" s="83">
        <v>0.19800000000000001</v>
      </c>
      <c r="AQ178" s="83">
        <f t="shared" si="53"/>
        <v>0.1652754590984975</v>
      </c>
      <c r="AR178" s="77" t="s">
        <v>117</v>
      </c>
    </row>
    <row r="179" spans="1:44" ht="15" customHeight="1" x14ac:dyDescent="0.25">
      <c r="A179" s="76">
        <v>178</v>
      </c>
      <c r="B179" s="76">
        <v>1997</v>
      </c>
      <c r="C179" s="77" t="s">
        <v>104</v>
      </c>
      <c r="D179" s="76">
        <v>19</v>
      </c>
      <c r="E179" s="78">
        <v>47</v>
      </c>
      <c r="F179" s="79">
        <v>3</v>
      </c>
      <c r="G179" s="56">
        <v>60</v>
      </c>
      <c r="H179" s="56">
        <v>27</v>
      </c>
      <c r="I179" s="78">
        <v>70</v>
      </c>
      <c r="J179" s="81">
        <v>0.18090000000000001</v>
      </c>
      <c r="K179" s="77" t="s">
        <v>115</v>
      </c>
      <c r="L179" s="77" t="s">
        <v>36</v>
      </c>
      <c r="M179" s="77" t="s">
        <v>289</v>
      </c>
      <c r="N179" s="77">
        <v>20</v>
      </c>
      <c r="O179" s="77">
        <v>20</v>
      </c>
      <c r="P179" s="78"/>
      <c r="Q179" s="81">
        <v>11</v>
      </c>
      <c r="R179" s="82"/>
      <c r="S179" s="82">
        <v>1.716972850057704E-4</v>
      </c>
      <c r="T179" s="82">
        <v>670000000</v>
      </c>
      <c r="U179" s="78">
        <v>2755</v>
      </c>
      <c r="V179" s="82">
        <v>1.7919999999999998E-2</v>
      </c>
      <c r="W179" s="82">
        <v>2.3040000000000001E-2</v>
      </c>
      <c r="X179" s="82">
        <v>0.54900000000000004</v>
      </c>
      <c r="Y179" s="78">
        <v>29.6</v>
      </c>
      <c r="Z179" s="78">
        <v>1075</v>
      </c>
      <c r="AA179" s="78">
        <f t="shared" si="64"/>
        <v>320</v>
      </c>
      <c r="AB179" s="81">
        <f t="shared" si="65"/>
        <v>0.82189116447904176</v>
      </c>
      <c r="AC179" s="81">
        <f t="shared" si="54"/>
        <v>177.93594306049829</v>
      </c>
      <c r="AD179" s="81">
        <v>800</v>
      </c>
      <c r="AE179" s="81">
        <f t="shared" si="55"/>
        <v>744.18604651162786</v>
      </c>
      <c r="AF179" s="81">
        <f t="shared" si="66"/>
        <v>622.06405693950171</v>
      </c>
      <c r="AG179" s="83">
        <v>1</v>
      </c>
      <c r="AH179" s="83">
        <v>3.496</v>
      </c>
      <c r="AI179" s="83">
        <f t="shared" si="62"/>
        <v>0.77758007117437711</v>
      </c>
      <c r="AJ179" s="81">
        <f t="shared" si="56"/>
        <v>207.98932384341643</v>
      </c>
      <c r="AK179" s="81">
        <f t="shared" si="57"/>
        <v>161.23203398714452</v>
      </c>
      <c r="AL179" s="81">
        <f t="shared" si="69"/>
        <v>30.053380782918158</v>
      </c>
      <c r="AM179" s="83">
        <f>AP179</f>
        <v>0.16889999999999999</v>
      </c>
      <c r="AN179" s="83">
        <f>AM179/(AM179+1)</f>
        <v>0.14449482419368637</v>
      </c>
      <c r="AO179" s="83">
        <v>0</v>
      </c>
      <c r="AP179" s="83">
        <v>0.16889999999999999</v>
      </c>
      <c r="AQ179" s="83">
        <f t="shared" si="53"/>
        <v>0.14449482419368637</v>
      </c>
      <c r="AR179" s="77" t="s">
        <v>118</v>
      </c>
    </row>
    <row r="180" spans="1:44" ht="15" customHeight="1" x14ac:dyDescent="0.25">
      <c r="A180" s="76">
        <v>179</v>
      </c>
      <c r="B180" s="76">
        <v>1997</v>
      </c>
      <c r="C180" s="77" t="s">
        <v>104</v>
      </c>
      <c r="D180" s="76">
        <v>20</v>
      </c>
      <c r="E180" s="78">
        <v>43</v>
      </c>
      <c r="F180" s="79">
        <v>3</v>
      </c>
      <c r="G180" s="56">
        <v>60</v>
      </c>
      <c r="H180" s="56">
        <v>27</v>
      </c>
      <c r="I180" s="78">
        <v>65</v>
      </c>
      <c r="J180" s="81">
        <v>9.9699999999999997E-2</v>
      </c>
      <c r="K180" s="77" t="s">
        <v>115</v>
      </c>
      <c r="L180" s="77" t="s">
        <v>36</v>
      </c>
      <c r="M180" s="77" t="s">
        <v>289</v>
      </c>
      <c r="N180" s="77">
        <v>20</v>
      </c>
      <c r="O180" s="77">
        <v>20</v>
      </c>
      <c r="P180" s="78"/>
      <c r="Q180" s="81">
        <v>10</v>
      </c>
      <c r="R180" s="82"/>
      <c r="S180" s="82">
        <v>1.716972850057704E-4</v>
      </c>
      <c r="T180" s="82">
        <v>670000000</v>
      </c>
      <c r="U180" s="78">
        <v>2755</v>
      </c>
      <c r="V180" s="82">
        <v>1.7919999999999998E-2</v>
      </c>
      <c r="W180" s="82">
        <v>2.3040000000000001E-2</v>
      </c>
      <c r="X180" s="82">
        <v>0.54900000000000004</v>
      </c>
      <c r="Y180" s="78">
        <v>29.6</v>
      </c>
      <c r="Z180" s="78">
        <v>1075</v>
      </c>
      <c r="AA180" s="78">
        <f t="shared" si="64"/>
        <v>320</v>
      </c>
      <c r="AB180" s="81">
        <f t="shared" si="65"/>
        <v>0.82189116447904176</v>
      </c>
      <c r="AC180" s="81">
        <f t="shared" si="54"/>
        <v>177.93594306049829</v>
      </c>
      <c r="AD180" s="81">
        <v>800</v>
      </c>
      <c r="AE180" s="81">
        <f t="shared" si="55"/>
        <v>744.18604651162786</v>
      </c>
      <c r="AF180" s="81">
        <f t="shared" si="66"/>
        <v>622.06405693950171</v>
      </c>
      <c r="AG180" s="83">
        <v>1</v>
      </c>
      <c r="AH180" s="83">
        <v>3.496</v>
      </c>
      <c r="AI180" s="83">
        <f t="shared" si="62"/>
        <v>0.77758007117437711</v>
      </c>
      <c r="AJ180" s="81">
        <f t="shared" si="56"/>
        <v>196.45907473309614</v>
      </c>
      <c r="AK180" s="81">
        <f t="shared" si="57"/>
        <v>152.29385638224508</v>
      </c>
      <c r="AL180" s="81">
        <f t="shared" si="69"/>
        <v>18.523131672597867</v>
      </c>
      <c r="AM180" s="83">
        <f>AP180</f>
        <v>0.1041</v>
      </c>
      <c r="AN180" s="83">
        <f>AM180/(AM180+1)</f>
        <v>9.4284937958518236E-2</v>
      </c>
      <c r="AO180" s="83">
        <v>0</v>
      </c>
      <c r="AP180" s="83">
        <v>0.1041</v>
      </c>
      <c r="AQ180" s="83">
        <f t="shared" si="53"/>
        <v>9.4284937958518236E-2</v>
      </c>
      <c r="AR180" s="77" t="s">
        <v>119</v>
      </c>
    </row>
    <row r="181" spans="1:44" ht="15" hidden="1" customHeight="1" x14ac:dyDescent="0.25">
      <c r="A181" s="76">
        <v>180</v>
      </c>
      <c r="B181" s="76">
        <v>1997</v>
      </c>
      <c r="C181" s="77" t="s">
        <v>104</v>
      </c>
      <c r="D181" s="76">
        <v>21</v>
      </c>
      <c r="E181" s="78">
        <v>47</v>
      </c>
      <c r="F181" s="79">
        <v>3</v>
      </c>
      <c r="G181" s="56">
        <v>60</v>
      </c>
      <c r="H181" s="56">
        <v>19</v>
      </c>
      <c r="I181" s="78">
        <v>63</v>
      </c>
      <c r="J181" s="81">
        <v>3.1800000000000002E-2</v>
      </c>
      <c r="K181" s="77" t="s">
        <v>115</v>
      </c>
      <c r="L181" s="77" t="s">
        <v>36</v>
      </c>
      <c r="M181" s="77" t="s">
        <v>34</v>
      </c>
      <c r="N181" s="77" t="s">
        <v>34</v>
      </c>
      <c r="O181" s="77" t="s">
        <v>34</v>
      </c>
      <c r="P181" s="78"/>
      <c r="Q181" s="81">
        <v>8</v>
      </c>
      <c r="R181" s="82"/>
      <c r="S181" s="82">
        <v>1.716972850057704E-4</v>
      </c>
      <c r="T181" s="82">
        <v>670000000</v>
      </c>
      <c r="U181" s="78">
        <v>2755</v>
      </c>
      <c r="V181" s="82">
        <v>1.7919999999999998E-2</v>
      </c>
      <c r="W181" s="82">
        <v>2.3040000000000001E-2</v>
      </c>
      <c r="X181" s="82">
        <v>0.54900000000000004</v>
      </c>
      <c r="Y181" s="78">
        <v>29.6</v>
      </c>
      <c r="Z181" s="78">
        <v>1075</v>
      </c>
      <c r="AA181" s="78">
        <f t="shared" si="64"/>
        <v>320</v>
      </c>
      <c r="AB181" s="81">
        <f t="shared" si="65"/>
        <v>0.82189116447904176</v>
      </c>
      <c r="AC181" s="81">
        <f t="shared" si="54"/>
        <v>177.61594991230209</v>
      </c>
      <c r="AD181" s="81">
        <v>800</v>
      </c>
      <c r="AE181" s="81">
        <f t="shared" si="55"/>
        <v>744.18604651162786</v>
      </c>
      <c r="AF181" s="81">
        <f t="shared" si="66"/>
        <v>622.38405008769791</v>
      </c>
      <c r="AG181" s="83">
        <v>1</v>
      </c>
      <c r="AH181" s="83">
        <v>3.5041000000000002</v>
      </c>
      <c r="AI181" s="83">
        <f t="shared" ref="AI181:AI205" si="70">AH181/(AH181+1)</f>
        <v>0.77798006260962238</v>
      </c>
      <c r="AJ181" s="81">
        <f t="shared" si="56"/>
        <v>230.38564863124705</v>
      </c>
      <c r="AK181" s="81">
        <f t="shared" si="57"/>
        <v>178.59352607073416</v>
      </c>
      <c r="AL181" s="81">
        <f t="shared" si="69"/>
        <v>52.769698718944952</v>
      </c>
      <c r="AM181" s="83">
        <f t="shared" ref="AM181:AM188" si="71">AN181/(1-AN181)</f>
        <v>0.21212121212121213</v>
      </c>
      <c r="AN181" s="83">
        <v>0.17499999999999999</v>
      </c>
      <c r="AO181" s="83">
        <f t="shared" ref="AO181:AO188" si="72">(AP181-AM181)/(AH181-AM181)</f>
        <v>2.5813892905897057E-2</v>
      </c>
      <c r="AP181" s="83">
        <v>0.29709999999999998</v>
      </c>
      <c r="AQ181" s="83">
        <f t="shared" si="53"/>
        <v>0.22904941793231054</v>
      </c>
      <c r="AR181" s="77" t="s">
        <v>116</v>
      </c>
    </row>
    <row r="182" spans="1:44" ht="15" hidden="1" customHeight="1" x14ac:dyDescent="0.25">
      <c r="A182" s="76">
        <v>181</v>
      </c>
      <c r="B182" s="76">
        <v>1997</v>
      </c>
      <c r="C182" s="77" t="s">
        <v>104</v>
      </c>
      <c r="D182" s="76">
        <v>22</v>
      </c>
      <c r="E182" s="78">
        <v>47</v>
      </c>
      <c r="F182" s="79">
        <v>3</v>
      </c>
      <c r="G182" s="56">
        <v>60</v>
      </c>
      <c r="H182" s="56">
        <v>19</v>
      </c>
      <c r="I182" s="78">
        <v>63</v>
      </c>
      <c r="J182" s="81">
        <v>0.21279999999999999</v>
      </c>
      <c r="K182" s="77" t="s">
        <v>115</v>
      </c>
      <c r="L182" s="77" t="s">
        <v>36</v>
      </c>
      <c r="M182" s="77" t="s">
        <v>34</v>
      </c>
      <c r="N182" s="77" t="s">
        <v>34</v>
      </c>
      <c r="O182" s="77" t="s">
        <v>34</v>
      </c>
      <c r="P182" s="78"/>
      <c r="Q182" s="81">
        <v>9</v>
      </c>
      <c r="R182" s="82"/>
      <c r="S182" s="82">
        <v>1.716972850057704E-4</v>
      </c>
      <c r="T182" s="82">
        <v>670000000</v>
      </c>
      <c r="U182" s="78">
        <v>2755</v>
      </c>
      <c r="V182" s="82">
        <v>1.7919999999999998E-2</v>
      </c>
      <c r="W182" s="82">
        <v>2.3040000000000001E-2</v>
      </c>
      <c r="X182" s="82">
        <v>0.54900000000000004</v>
      </c>
      <c r="Y182" s="78">
        <v>29.6</v>
      </c>
      <c r="Z182" s="78">
        <v>1075</v>
      </c>
      <c r="AA182" s="78">
        <f t="shared" si="64"/>
        <v>320</v>
      </c>
      <c r="AB182" s="81">
        <f t="shared" si="65"/>
        <v>0.82189116447904176</v>
      </c>
      <c r="AC182" s="81">
        <f t="shared" si="54"/>
        <v>177.61594991230209</v>
      </c>
      <c r="AD182" s="81">
        <v>800</v>
      </c>
      <c r="AE182" s="81">
        <f t="shared" si="55"/>
        <v>744.18604651162786</v>
      </c>
      <c r="AF182" s="81">
        <f t="shared" si="66"/>
        <v>622.38405008769791</v>
      </c>
      <c r="AG182" s="83">
        <v>1</v>
      </c>
      <c r="AH182" s="83">
        <v>3.5041000000000002</v>
      </c>
      <c r="AI182" s="83">
        <f t="shared" si="70"/>
        <v>0.77798006260962238</v>
      </c>
      <c r="AJ182" s="81">
        <f t="shared" si="56"/>
        <v>235.51874958371258</v>
      </c>
      <c r="AK182" s="81">
        <f t="shared" si="57"/>
        <v>182.57267409590122</v>
      </c>
      <c r="AL182" s="81">
        <f t="shared" si="69"/>
        <v>57.902799671410477</v>
      </c>
      <c r="AM182" s="83">
        <f t="shared" si="71"/>
        <v>0.21212121212121213</v>
      </c>
      <c r="AN182" s="83">
        <v>0.17499999999999999</v>
      </c>
      <c r="AO182" s="83">
        <f t="shared" si="72"/>
        <v>3.4592807310330986E-2</v>
      </c>
      <c r="AP182" s="83">
        <v>0.32600000000000001</v>
      </c>
      <c r="AQ182" s="83">
        <f t="shared" si="53"/>
        <v>0.2458521870286576</v>
      </c>
      <c r="AR182" s="77" t="s">
        <v>117</v>
      </c>
    </row>
    <row r="183" spans="1:44" ht="15" customHeight="1" x14ac:dyDescent="0.25">
      <c r="A183" s="76">
        <v>182</v>
      </c>
      <c r="B183" s="76">
        <v>1997</v>
      </c>
      <c r="C183" s="77" t="s">
        <v>104</v>
      </c>
      <c r="D183" s="76">
        <v>23</v>
      </c>
      <c r="E183" s="78">
        <v>47</v>
      </c>
      <c r="F183" s="79">
        <v>3</v>
      </c>
      <c r="G183" s="56">
        <v>60</v>
      </c>
      <c r="H183" s="56">
        <v>19</v>
      </c>
      <c r="I183" s="78">
        <v>63</v>
      </c>
      <c r="J183" s="81">
        <v>0.1095</v>
      </c>
      <c r="K183" s="77" t="s">
        <v>115</v>
      </c>
      <c r="L183" s="77" t="s">
        <v>36</v>
      </c>
      <c r="M183" s="77" t="s">
        <v>289</v>
      </c>
      <c r="N183" s="77">
        <v>20</v>
      </c>
      <c r="O183" s="77">
        <v>20</v>
      </c>
      <c r="P183" s="78"/>
      <c r="Q183" s="81">
        <v>11</v>
      </c>
      <c r="R183" s="82"/>
      <c r="S183" s="82">
        <v>1.716972850057704E-4</v>
      </c>
      <c r="T183" s="82">
        <v>670000000</v>
      </c>
      <c r="U183" s="78">
        <v>2755</v>
      </c>
      <c r="V183" s="82">
        <v>1.7919999999999998E-2</v>
      </c>
      <c r="W183" s="82">
        <v>2.3040000000000001E-2</v>
      </c>
      <c r="X183" s="82">
        <v>0.54900000000000004</v>
      </c>
      <c r="Y183" s="78">
        <v>29.6</v>
      </c>
      <c r="Z183" s="78">
        <v>1075</v>
      </c>
      <c r="AA183" s="78">
        <f t="shared" si="64"/>
        <v>320</v>
      </c>
      <c r="AB183" s="81">
        <f t="shared" si="65"/>
        <v>0.82189116447904176</v>
      </c>
      <c r="AC183" s="81">
        <f t="shared" si="54"/>
        <v>177.86473386989201</v>
      </c>
      <c r="AD183" s="81">
        <v>800</v>
      </c>
      <c r="AE183" s="81">
        <f t="shared" si="55"/>
        <v>744.18604651162786</v>
      </c>
      <c r="AF183" s="81">
        <f t="shared" si="66"/>
        <v>622.13526613010799</v>
      </c>
      <c r="AG183" s="83">
        <v>1</v>
      </c>
      <c r="AH183" s="83">
        <v>3.4977999999999998</v>
      </c>
      <c r="AI183" s="83">
        <f t="shared" si="70"/>
        <v>0.77766908266263501</v>
      </c>
      <c r="AJ183" s="81">
        <f t="shared" si="56"/>
        <v>221.83289608252932</v>
      </c>
      <c r="AK183" s="81">
        <f t="shared" si="57"/>
        <v>171.96348533529405</v>
      </c>
      <c r="AL183" s="81">
        <f t="shared" si="69"/>
        <v>43.968162212637303</v>
      </c>
      <c r="AM183" s="83">
        <f t="shared" si="71"/>
        <v>0.21212121212121213</v>
      </c>
      <c r="AN183" s="83">
        <v>0.17499999999999999</v>
      </c>
      <c r="AO183" s="83">
        <f t="shared" si="72"/>
        <v>1.0676268175756311E-2</v>
      </c>
      <c r="AP183" s="83">
        <v>0.2472</v>
      </c>
      <c r="AQ183" s="83">
        <f t="shared" si="53"/>
        <v>0.19820397690827452</v>
      </c>
      <c r="AR183" s="77" t="s">
        <v>118</v>
      </c>
    </row>
    <row r="184" spans="1:44" ht="15" customHeight="1" x14ac:dyDescent="0.25">
      <c r="A184" s="76">
        <v>183</v>
      </c>
      <c r="B184" s="76">
        <v>1997</v>
      </c>
      <c r="C184" s="77" t="s">
        <v>104</v>
      </c>
      <c r="D184" s="76">
        <v>24</v>
      </c>
      <c r="E184" s="78">
        <v>47</v>
      </c>
      <c r="F184" s="79">
        <v>3</v>
      </c>
      <c r="G184" s="56">
        <v>60</v>
      </c>
      <c r="H184" s="56">
        <v>19</v>
      </c>
      <c r="I184" s="78">
        <v>63</v>
      </c>
      <c r="J184" s="81">
        <v>3.7100000000000001E-2</v>
      </c>
      <c r="K184" s="77" t="s">
        <v>115</v>
      </c>
      <c r="L184" s="77" t="s">
        <v>36</v>
      </c>
      <c r="M184" s="77" t="s">
        <v>289</v>
      </c>
      <c r="N184" s="77">
        <v>20</v>
      </c>
      <c r="O184" s="77">
        <v>20</v>
      </c>
      <c r="P184" s="78"/>
      <c r="Q184" s="81">
        <v>12</v>
      </c>
      <c r="R184" s="82"/>
      <c r="S184" s="82">
        <v>1.716972850057704E-4</v>
      </c>
      <c r="T184" s="82">
        <v>670000000</v>
      </c>
      <c r="U184" s="78">
        <v>2755</v>
      </c>
      <c r="V184" s="82">
        <v>1.7919999999999998E-2</v>
      </c>
      <c r="W184" s="82">
        <v>2.3040000000000001E-2</v>
      </c>
      <c r="X184" s="82">
        <v>0.54900000000000004</v>
      </c>
      <c r="Y184" s="78">
        <v>29.6</v>
      </c>
      <c r="Z184" s="78">
        <v>1075</v>
      </c>
      <c r="AA184" s="78">
        <f t="shared" si="64"/>
        <v>320</v>
      </c>
      <c r="AB184" s="81">
        <f t="shared" si="65"/>
        <v>0.82189116447904176</v>
      </c>
      <c r="AC184" s="81">
        <f t="shared" si="54"/>
        <v>177.86473386989201</v>
      </c>
      <c r="AD184" s="81">
        <v>800</v>
      </c>
      <c r="AE184" s="81">
        <f t="shared" si="55"/>
        <v>744.18604651162786</v>
      </c>
      <c r="AF184" s="81">
        <f t="shared" si="66"/>
        <v>622.13526613010799</v>
      </c>
      <c r="AG184" s="83">
        <v>1</v>
      </c>
      <c r="AH184" s="83">
        <v>3.4977999999999998</v>
      </c>
      <c r="AI184" s="83">
        <f t="shared" si="70"/>
        <v>0.77766908266263501</v>
      </c>
      <c r="AJ184" s="81">
        <f t="shared" si="56"/>
        <v>216.99497532126824</v>
      </c>
      <c r="AK184" s="81">
        <f t="shared" si="57"/>
        <v>168.21315916377384</v>
      </c>
      <c r="AL184" s="81">
        <f t="shared" si="69"/>
        <v>39.130241451376243</v>
      </c>
      <c r="AM184" s="83">
        <f t="shared" si="71"/>
        <v>0.21212121212121213</v>
      </c>
      <c r="AN184" s="83">
        <v>0.17499999999999999</v>
      </c>
      <c r="AO184" s="83">
        <f t="shared" si="72"/>
        <v>2.3979178694684172E-3</v>
      </c>
      <c r="AP184" s="83">
        <v>0.22</v>
      </c>
      <c r="AQ184" s="83">
        <f t="shared" si="53"/>
        <v>0.18032786885245902</v>
      </c>
      <c r="AR184" s="77" t="s">
        <v>119</v>
      </c>
    </row>
    <row r="185" spans="1:44" ht="15" customHeight="1" x14ac:dyDescent="0.25">
      <c r="A185" s="76">
        <v>184</v>
      </c>
      <c r="B185" s="76">
        <v>1997</v>
      </c>
      <c r="C185" s="77" t="s">
        <v>104</v>
      </c>
      <c r="D185" s="76">
        <v>25</v>
      </c>
      <c r="E185" s="78">
        <v>8</v>
      </c>
      <c r="F185" s="79">
        <v>3</v>
      </c>
      <c r="G185" s="56">
        <v>60</v>
      </c>
      <c r="H185" s="56">
        <v>27</v>
      </c>
      <c r="I185" s="78">
        <v>26</v>
      </c>
      <c r="J185" s="81">
        <v>7.5999999999999998E-2</v>
      </c>
      <c r="K185" s="77" t="s">
        <v>115</v>
      </c>
      <c r="L185" s="77" t="s">
        <v>36</v>
      </c>
      <c r="M185" s="77" t="s">
        <v>289</v>
      </c>
      <c r="N185" s="77">
        <v>20</v>
      </c>
      <c r="O185" s="77">
        <v>20</v>
      </c>
      <c r="P185" s="78"/>
      <c r="Q185" s="81">
        <v>28</v>
      </c>
      <c r="R185" s="82"/>
      <c r="S185" s="82">
        <v>1.716972850057704E-4</v>
      </c>
      <c r="T185" s="82">
        <v>670000000</v>
      </c>
      <c r="U185" s="78">
        <v>2755</v>
      </c>
      <c r="V185" s="82">
        <v>1.7919999999999998E-2</v>
      </c>
      <c r="W185" s="82">
        <v>2.3040000000000001E-2</v>
      </c>
      <c r="X185" s="82">
        <v>0.54900000000000004</v>
      </c>
      <c r="Y185" s="78">
        <v>29.6</v>
      </c>
      <c r="Z185" s="78">
        <v>1075</v>
      </c>
      <c r="AA185" s="78">
        <f t="shared" si="64"/>
        <v>320</v>
      </c>
      <c r="AB185" s="81">
        <f t="shared" si="65"/>
        <v>0.82189116447904176</v>
      </c>
      <c r="AC185" s="81">
        <f t="shared" si="54"/>
        <v>184.54866317562107</v>
      </c>
      <c r="AD185" s="81">
        <v>800</v>
      </c>
      <c r="AE185" s="81">
        <f t="shared" si="55"/>
        <v>744.18604651162786</v>
      </c>
      <c r="AF185" s="81">
        <f t="shared" si="66"/>
        <v>615.45133682437893</v>
      </c>
      <c r="AG185" s="83">
        <v>1</v>
      </c>
      <c r="AH185" s="83">
        <v>3.3349000000000002</v>
      </c>
      <c r="AI185" s="83">
        <f t="shared" si="70"/>
        <v>0.76931417103047361</v>
      </c>
      <c r="AJ185" s="81">
        <f t="shared" si="56"/>
        <v>238.43687282290242</v>
      </c>
      <c r="AK185" s="81">
        <f t="shared" si="57"/>
        <v>184.83478513403287</v>
      </c>
      <c r="AL185" s="81">
        <f t="shared" si="69"/>
        <v>53.888209647281343</v>
      </c>
      <c r="AM185" s="83">
        <f t="shared" si="71"/>
        <v>0.21212121212121213</v>
      </c>
      <c r="AN185" s="83">
        <v>0.17499999999999999</v>
      </c>
      <c r="AO185" s="83">
        <f t="shared" si="72"/>
        <v>2.5579393644161123E-2</v>
      </c>
      <c r="AP185" s="83">
        <v>0.29199999999999998</v>
      </c>
      <c r="AQ185" s="83">
        <f t="shared" si="53"/>
        <v>0.22600619195046437</v>
      </c>
      <c r="AR185" s="77" t="s">
        <v>120</v>
      </c>
    </row>
    <row r="186" spans="1:44" ht="15" customHeight="1" x14ac:dyDescent="0.25">
      <c r="A186" s="76">
        <v>185</v>
      </c>
      <c r="B186" s="76">
        <v>1997</v>
      </c>
      <c r="C186" s="77" t="s">
        <v>104</v>
      </c>
      <c r="D186" s="76">
        <v>26</v>
      </c>
      <c r="E186" s="78">
        <v>10</v>
      </c>
      <c r="F186" s="79">
        <v>3</v>
      </c>
      <c r="G186" s="56">
        <v>60</v>
      </c>
      <c r="H186" s="56">
        <v>27</v>
      </c>
      <c r="I186" s="78">
        <v>26</v>
      </c>
      <c r="J186" s="81">
        <v>6.1400000000000003E-2</v>
      </c>
      <c r="K186" s="77" t="s">
        <v>115</v>
      </c>
      <c r="L186" s="77" t="s">
        <v>36</v>
      </c>
      <c r="M186" s="77" t="s">
        <v>289</v>
      </c>
      <c r="N186" s="77">
        <v>20</v>
      </c>
      <c r="O186" s="77">
        <v>60</v>
      </c>
      <c r="P186" s="78"/>
      <c r="Q186" s="81">
        <v>27</v>
      </c>
      <c r="R186" s="82"/>
      <c r="S186" s="82">
        <v>1.716972850057704E-4</v>
      </c>
      <c r="T186" s="82">
        <v>670000000</v>
      </c>
      <c r="U186" s="78">
        <v>2755</v>
      </c>
      <c r="V186" s="82">
        <v>1.7919999999999998E-2</v>
      </c>
      <c r="W186" s="82">
        <v>2.3040000000000001E-2</v>
      </c>
      <c r="X186" s="82">
        <v>0.54900000000000004</v>
      </c>
      <c r="Y186" s="78">
        <v>29.6</v>
      </c>
      <c r="Z186" s="78">
        <v>1075</v>
      </c>
      <c r="AA186" s="78">
        <f t="shared" ref="AA186:AA211" si="73">AD186/2.5</f>
        <v>320</v>
      </c>
      <c r="AB186" s="81">
        <f t="shared" ref="AB186:AB217" si="74">POWER(3/(4*PI())*AE186/AA186,1/3)</f>
        <v>0.82189116447904176</v>
      </c>
      <c r="AC186" s="81">
        <f t="shared" si="54"/>
        <v>184.54866317562107</v>
      </c>
      <c r="AD186" s="81">
        <v>800</v>
      </c>
      <c r="AE186" s="81">
        <f t="shared" si="55"/>
        <v>744.18604651162786</v>
      </c>
      <c r="AF186" s="81">
        <f t="shared" si="66"/>
        <v>615.45133682437893</v>
      </c>
      <c r="AG186" s="83">
        <v>1</v>
      </c>
      <c r="AH186" s="83">
        <v>3.3349000000000002</v>
      </c>
      <c r="AI186" s="83">
        <f t="shared" si="70"/>
        <v>0.76931417103047361</v>
      </c>
      <c r="AJ186" s="81">
        <f t="shared" si="56"/>
        <v>238.43687282290242</v>
      </c>
      <c r="AK186" s="81">
        <f t="shared" si="57"/>
        <v>184.83478513403287</v>
      </c>
      <c r="AL186" s="81">
        <f t="shared" si="69"/>
        <v>53.888209647281343</v>
      </c>
      <c r="AM186" s="83">
        <f t="shared" si="71"/>
        <v>0.21212121212121213</v>
      </c>
      <c r="AN186" s="83">
        <v>0.17499999999999999</v>
      </c>
      <c r="AO186" s="83">
        <f t="shared" si="72"/>
        <v>2.5579393644161123E-2</v>
      </c>
      <c r="AP186" s="83">
        <v>0.29199999999999998</v>
      </c>
      <c r="AQ186" s="83">
        <f t="shared" si="53"/>
        <v>0.22600619195046437</v>
      </c>
      <c r="AR186" s="77" t="s">
        <v>121</v>
      </c>
    </row>
    <row r="187" spans="1:44" ht="15" customHeight="1" x14ac:dyDescent="0.25">
      <c r="A187" s="76">
        <v>186</v>
      </c>
      <c r="B187" s="76">
        <v>1997</v>
      </c>
      <c r="C187" s="77" t="s">
        <v>104</v>
      </c>
      <c r="D187" s="76">
        <v>27</v>
      </c>
      <c r="E187" s="78">
        <v>10</v>
      </c>
      <c r="F187" s="79">
        <v>3</v>
      </c>
      <c r="G187" s="56">
        <v>60</v>
      </c>
      <c r="H187" s="56">
        <v>27</v>
      </c>
      <c r="I187" s="78">
        <v>26</v>
      </c>
      <c r="J187" s="81">
        <v>7.5999999999999998E-2</v>
      </c>
      <c r="K187" s="77" t="s">
        <v>115</v>
      </c>
      <c r="L187" s="77" t="s">
        <v>36</v>
      </c>
      <c r="M187" s="77" t="s">
        <v>289</v>
      </c>
      <c r="N187" s="77">
        <v>20</v>
      </c>
      <c r="O187" s="77">
        <v>20</v>
      </c>
      <c r="P187" s="78"/>
      <c r="Q187" s="81">
        <v>28</v>
      </c>
      <c r="R187" s="82"/>
      <c r="S187" s="82">
        <v>1.716972850057704E-4</v>
      </c>
      <c r="T187" s="82">
        <v>670000000</v>
      </c>
      <c r="U187" s="78">
        <v>2755</v>
      </c>
      <c r="V187" s="82">
        <v>1.7919999999999998E-2</v>
      </c>
      <c r="W187" s="82">
        <v>2.3040000000000001E-2</v>
      </c>
      <c r="X187" s="82">
        <v>0.54900000000000004</v>
      </c>
      <c r="Y187" s="78">
        <v>29.6</v>
      </c>
      <c r="Z187" s="78">
        <v>1075</v>
      </c>
      <c r="AA187" s="78">
        <f t="shared" si="73"/>
        <v>320</v>
      </c>
      <c r="AB187" s="81">
        <f t="shared" si="74"/>
        <v>0.82189116447904176</v>
      </c>
      <c r="AC187" s="81">
        <f t="shared" si="54"/>
        <v>184.54866317562107</v>
      </c>
      <c r="AD187" s="81">
        <v>800</v>
      </c>
      <c r="AE187" s="81">
        <f t="shared" si="55"/>
        <v>744.18604651162786</v>
      </c>
      <c r="AF187" s="81">
        <f t="shared" si="66"/>
        <v>615.45133682437893</v>
      </c>
      <c r="AG187" s="83">
        <v>1</v>
      </c>
      <c r="AH187" s="83">
        <v>3.3349000000000002</v>
      </c>
      <c r="AI187" s="83">
        <f t="shared" si="70"/>
        <v>0.76931417103047361</v>
      </c>
      <c r="AJ187" s="81">
        <f t="shared" si="56"/>
        <v>238.43687282290242</v>
      </c>
      <c r="AK187" s="81">
        <f t="shared" si="57"/>
        <v>184.83478513403287</v>
      </c>
      <c r="AL187" s="81">
        <f t="shared" si="69"/>
        <v>53.888209647281343</v>
      </c>
      <c r="AM187" s="83">
        <f t="shared" si="71"/>
        <v>0.21212121212121213</v>
      </c>
      <c r="AN187" s="83">
        <v>0.17499999999999999</v>
      </c>
      <c r="AO187" s="83">
        <f t="shared" si="72"/>
        <v>2.5579393644161123E-2</v>
      </c>
      <c r="AP187" s="83">
        <v>0.29199999999999998</v>
      </c>
      <c r="AQ187" s="83">
        <f t="shared" si="53"/>
        <v>0.22600619195046437</v>
      </c>
      <c r="AR187" s="77" t="s">
        <v>122</v>
      </c>
    </row>
    <row r="188" spans="1:44" ht="15" customHeight="1" x14ac:dyDescent="0.25">
      <c r="A188" s="76">
        <v>187</v>
      </c>
      <c r="B188" s="76">
        <v>1997</v>
      </c>
      <c r="C188" s="77" t="s">
        <v>104</v>
      </c>
      <c r="D188" s="76">
        <v>28</v>
      </c>
      <c r="E188" s="78">
        <v>10</v>
      </c>
      <c r="F188" s="79">
        <v>3</v>
      </c>
      <c r="G188" s="56">
        <v>60</v>
      </c>
      <c r="H188" s="56">
        <v>27</v>
      </c>
      <c r="I188" s="78">
        <v>26</v>
      </c>
      <c r="J188" s="81">
        <v>7.5999999999999998E-2</v>
      </c>
      <c r="K188" s="77" t="s">
        <v>115</v>
      </c>
      <c r="L188" s="77" t="s">
        <v>36</v>
      </c>
      <c r="M188" s="77" t="s">
        <v>289</v>
      </c>
      <c r="N188" s="77">
        <v>20</v>
      </c>
      <c r="O188" s="77">
        <v>60</v>
      </c>
      <c r="P188" s="78"/>
      <c r="Q188" s="81">
        <v>28</v>
      </c>
      <c r="R188" s="82"/>
      <c r="S188" s="82">
        <v>1.716972850057704E-4</v>
      </c>
      <c r="T188" s="82">
        <v>670000000</v>
      </c>
      <c r="U188" s="78">
        <v>2755</v>
      </c>
      <c r="V188" s="82">
        <v>1.7919999999999998E-2</v>
      </c>
      <c r="W188" s="82">
        <v>2.3040000000000001E-2</v>
      </c>
      <c r="X188" s="82">
        <v>0.54900000000000004</v>
      </c>
      <c r="Y188" s="78">
        <v>29.6</v>
      </c>
      <c r="Z188" s="78">
        <v>1075</v>
      </c>
      <c r="AA188" s="78">
        <f t="shared" si="73"/>
        <v>320</v>
      </c>
      <c r="AB188" s="81">
        <f t="shared" si="74"/>
        <v>0.82189116447904176</v>
      </c>
      <c r="AC188" s="81">
        <f t="shared" si="54"/>
        <v>184.54866317562107</v>
      </c>
      <c r="AD188" s="81">
        <v>800</v>
      </c>
      <c r="AE188" s="81">
        <f t="shared" si="55"/>
        <v>744.18604651162786</v>
      </c>
      <c r="AF188" s="81">
        <f t="shared" si="66"/>
        <v>615.45133682437893</v>
      </c>
      <c r="AG188" s="83">
        <v>1</v>
      </c>
      <c r="AH188" s="83">
        <v>3.3349000000000002</v>
      </c>
      <c r="AI188" s="83">
        <f t="shared" si="70"/>
        <v>0.76931417103047361</v>
      </c>
      <c r="AJ188" s="81">
        <f t="shared" si="56"/>
        <v>238.43687282290242</v>
      </c>
      <c r="AK188" s="81">
        <f t="shared" si="57"/>
        <v>184.83478513403287</v>
      </c>
      <c r="AL188" s="81">
        <f t="shared" si="69"/>
        <v>53.888209647281343</v>
      </c>
      <c r="AM188" s="83">
        <f t="shared" si="71"/>
        <v>0.21212121212121213</v>
      </c>
      <c r="AN188" s="83">
        <v>0.17499999999999999</v>
      </c>
      <c r="AO188" s="83">
        <f t="shared" si="72"/>
        <v>2.5579393644161123E-2</v>
      </c>
      <c r="AP188" s="83">
        <v>0.29199999999999998</v>
      </c>
      <c r="AQ188" s="83">
        <f t="shared" si="53"/>
        <v>0.22600619195046437</v>
      </c>
      <c r="AR188" s="77" t="s">
        <v>123</v>
      </c>
    </row>
    <row r="189" spans="1:44" ht="15" customHeight="1" x14ac:dyDescent="0.25">
      <c r="A189" s="76">
        <v>188</v>
      </c>
      <c r="B189" s="76">
        <v>1997</v>
      </c>
      <c r="C189" s="77" t="s">
        <v>104</v>
      </c>
      <c r="D189" s="76">
        <v>29</v>
      </c>
      <c r="E189" s="78">
        <v>18</v>
      </c>
      <c r="F189" s="79">
        <v>3</v>
      </c>
      <c r="G189" s="56">
        <v>60</v>
      </c>
      <c r="H189" s="56">
        <v>27</v>
      </c>
      <c r="I189" s="78">
        <v>27</v>
      </c>
      <c r="J189" s="81">
        <v>8.5199999999999998E-2</v>
      </c>
      <c r="K189" s="77" t="s">
        <v>115</v>
      </c>
      <c r="L189" s="77" t="s">
        <v>36</v>
      </c>
      <c r="M189" s="77" t="s">
        <v>289</v>
      </c>
      <c r="N189" s="77">
        <v>20</v>
      </c>
      <c r="O189" s="77">
        <v>180</v>
      </c>
      <c r="P189" s="78"/>
      <c r="Q189" s="81">
        <v>32</v>
      </c>
      <c r="R189" s="82"/>
      <c r="S189" s="82">
        <v>1.716972850057704E-4</v>
      </c>
      <c r="T189" s="82">
        <v>670000000</v>
      </c>
      <c r="U189" s="78">
        <v>2755</v>
      </c>
      <c r="V189" s="82">
        <v>1.7919999999999998E-2</v>
      </c>
      <c r="W189" s="82">
        <v>2.3040000000000001E-2</v>
      </c>
      <c r="X189" s="82">
        <v>0.54900000000000004</v>
      </c>
      <c r="Y189" s="78">
        <v>29.6</v>
      </c>
      <c r="Z189" s="78">
        <v>1075</v>
      </c>
      <c r="AA189" s="78">
        <f t="shared" si="73"/>
        <v>320</v>
      </c>
      <c r="AB189" s="81">
        <f t="shared" si="74"/>
        <v>0.82189116447904176</v>
      </c>
      <c r="AC189" s="81">
        <f t="shared" si="54"/>
        <v>184.12264409323052</v>
      </c>
      <c r="AD189" s="81">
        <v>800</v>
      </c>
      <c r="AE189" s="81">
        <f t="shared" si="55"/>
        <v>744.18604651162786</v>
      </c>
      <c r="AF189" s="81">
        <f t="shared" si="66"/>
        <v>615.87735590676948</v>
      </c>
      <c r="AG189" s="83">
        <v>1</v>
      </c>
      <c r="AH189" s="83">
        <v>3.3449300000000002</v>
      </c>
      <c r="AI189" s="83">
        <f t="shared" si="70"/>
        <v>0.76984669488346191</v>
      </c>
      <c r="AJ189" s="81">
        <f t="shared" si="56"/>
        <v>190.92413456603444</v>
      </c>
      <c r="AK189" s="81">
        <f t="shared" si="57"/>
        <v>148.00320508994918</v>
      </c>
      <c r="AL189" s="81">
        <f t="shared" si="69"/>
        <v>6.8014904728039349</v>
      </c>
      <c r="AM189" s="83">
        <f t="shared" ref="AM189:AM196" si="75">AP189</f>
        <v>3.6940000000000001E-2</v>
      </c>
      <c r="AN189" s="83">
        <f t="shared" ref="AN189:AN196" si="76">AM189/(AM189+1)</f>
        <v>3.5624047678747085E-2</v>
      </c>
      <c r="AO189" s="83">
        <v>0</v>
      </c>
      <c r="AP189" s="83">
        <v>3.6940000000000001E-2</v>
      </c>
      <c r="AQ189" s="83">
        <f t="shared" si="53"/>
        <v>3.5624047678747085E-2</v>
      </c>
      <c r="AR189" s="77" t="s">
        <v>124</v>
      </c>
    </row>
    <row r="190" spans="1:44" ht="15" customHeight="1" x14ac:dyDescent="0.25">
      <c r="A190" s="76">
        <v>189</v>
      </c>
      <c r="B190" s="76">
        <v>1997</v>
      </c>
      <c r="C190" s="77" t="s">
        <v>104</v>
      </c>
      <c r="D190" s="76">
        <v>30</v>
      </c>
      <c r="E190" s="78">
        <v>18</v>
      </c>
      <c r="F190" s="79">
        <v>3</v>
      </c>
      <c r="G190" s="56">
        <v>60</v>
      </c>
      <c r="H190" s="56">
        <v>27</v>
      </c>
      <c r="I190" s="78">
        <v>27</v>
      </c>
      <c r="J190" s="81">
        <v>4.6600000000000003E-2</v>
      </c>
      <c r="K190" s="77" t="s">
        <v>115</v>
      </c>
      <c r="L190" s="77" t="s">
        <v>36</v>
      </c>
      <c r="M190" s="77" t="s">
        <v>289</v>
      </c>
      <c r="N190" s="77">
        <v>20</v>
      </c>
      <c r="O190" s="77">
        <v>600</v>
      </c>
      <c r="P190" s="78"/>
      <c r="Q190" s="81">
        <v>29</v>
      </c>
      <c r="R190" s="82"/>
      <c r="S190" s="82">
        <v>1.716972850057704E-4</v>
      </c>
      <c r="T190" s="82">
        <v>670000000</v>
      </c>
      <c r="U190" s="78">
        <v>2755</v>
      </c>
      <c r="V190" s="82">
        <v>1.7919999999999998E-2</v>
      </c>
      <c r="W190" s="82">
        <v>2.3040000000000001E-2</v>
      </c>
      <c r="X190" s="82">
        <v>0.54900000000000004</v>
      </c>
      <c r="Y190" s="78">
        <v>29.6</v>
      </c>
      <c r="Z190" s="78">
        <v>1075</v>
      </c>
      <c r="AA190" s="78">
        <f t="shared" si="73"/>
        <v>320</v>
      </c>
      <c r="AB190" s="81">
        <f t="shared" si="74"/>
        <v>0.82189116447904176</v>
      </c>
      <c r="AC190" s="81">
        <f t="shared" si="54"/>
        <v>184.12264409323052</v>
      </c>
      <c r="AD190" s="81">
        <v>800</v>
      </c>
      <c r="AE190" s="81">
        <f t="shared" si="55"/>
        <v>744.18604651162786</v>
      </c>
      <c r="AF190" s="81">
        <f t="shared" si="66"/>
        <v>615.87735590676948</v>
      </c>
      <c r="AG190" s="83">
        <v>1</v>
      </c>
      <c r="AH190" s="83">
        <v>3.3449300000000002</v>
      </c>
      <c r="AI190" s="83">
        <f t="shared" si="70"/>
        <v>0.76984669488346191</v>
      </c>
      <c r="AJ190" s="81">
        <f t="shared" si="56"/>
        <v>190.92413456603444</v>
      </c>
      <c r="AK190" s="81">
        <f t="shared" si="57"/>
        <v>148.00320508994918</v>
      </c>
      <c r="AL190" s="81">
        <f t="shared" si="69"/>
        <v>6.8014904728039349</v>
      </c>
      <c r="AM190" s="83">
        <f t="shared" si="75"/>
        <v>3.6940000000000001E-2</v>
      </c>
      <c r="AN190" s="83">
        <f t="shared" si="76"/>
        <v>3.5624047678747085E-2</v>
      </c>
      <c r="AO190" s="83">
        <v>0</v>
      </c>
      <c r="AP190" s="83">
        <v>3.6940000000000001E-2</v>
      </c>
      <c r="AQ190" s="83">
        <f t="shared" si="53"/>
        <v>3.5624047678747085E-2</v>
      </c>
      <c r="AR190" s="77" t="s">
        <v>125</v>
      </c>
    </row>
    <row r="191" spans="1:44" ht="15" customHeight="1" x14ac:dyDescent="0.25">
      <c r="A191" s="76">
        <v>190</v>
      </c>
      <c r="B191" s="76">
        <v>1997</v>
      </c>
      <c r="C191" s="77" t="s">
        <v>104</v>
      </c>
      <c r="D191" s="76">
        <v>31</v>
      </c>
      <c r="E191" s="78">
        <v>16</v>
      </c>
      <c r="F191" s="79">
        <v>3</v>
      </c>
      <c r="G191" s="56">
        <v>60</v>
      </c>
      <c r="H191" s="56">
        <v>27</v>
      </c>
      <c r="I191" s="78">
        <v>25</v>
      </c>
      <c r="J191" s="81">
        <v>3.6799999999999999E-2</v>
      </c>
      <c r="K191" s="77" t="s">
        <v>115</v>
      </c>
      <c r="L191" s="77" t="s">
        <v>36</v>
      </c>
      <c r="M191" s="77" t="s">
        <v>289</v>
      </c>
      <c r="N191" s="77">
        <v>20</v>
      </c>
      <c r="O191" s="77">
        <v>180</v>
      </c>
      <c r="P191" s="78"/>
      <c r="Q191" s="81">
        <v>31</v>
      </c>
      <c r="R191" s="82"/>
      <c r="S191" s="82">
        <v>1.716972850057704E-4</v>
      </c>
      <c r="T191" s="82">
        <v>670000000</v>
      </c>
      <c r="U191" s="78">
        <v>2755</v>
      </c>
      <c r="V191" s="82">
        <v>1.7919999999999998E-2</v>
      </c>
      <c r="W191" s="82">
        <v>2.3040000000000001E-2</v>
      </c>
      <c r="X191" s="82">
        <v>0.54900000000000004</v>
      </c>
      <c r="Y191" s="78">
        <v>29.6</v>
      </c>
      <c r="Z191" s="78">
        <v>1075</v>
      </c>
      <c r="AA191" s="78">
        <f t="shared" si="73"/>
        <v>320</v>
      </c>
      <c r="AB191" s="81">
        <f t="shared" si="74"/>
        <v>0.82189116447904176</v>
      </c>
      <c r="AC191" s="81">
        <f t="shared" si="54"/>
        <v>184.12264409323052</v>
      </c>
      <c r="AD191" s="81">
        <v>800</v>
      </c>
      <c r="AE191" s="81">
        <f t="shared" si="55"/>
        <v>744.18604651162786</v>
      </c>
      <c r="AF191" s="81">
        <f t="shared" si="66"/>
        <v>615.87735590676948</v>
      </c>
      <c r="AG191" s="83">
        <v>1</v>
      </c>
      <c r="AH191" s="83">
        <v>3.3449300000000002</v>
      </c>
      <c r="AI191" s="83">
        <f t="shared" si="70"/>
        <v>0.76984669488346191</v>
      </c>
      <c r="AJ191" s="81">
        <f t="shared" si="56"/>
        <v>201.04535631183936</v>
      </c>
      <c r="AK191" s="81">
        <f t="shared" si="57"/>
        <v>155.84911342003053</v>
      </c>
      <c r="AL191" s="81">
        <f t="shared" si="69"/>
        <v>16.922712218608822</v>
      </c>
      <c r="AM191" s="83">
        <f t="shared" si="75"/>
        <v>9.1910000000000006E-2</v>
      </c>
      <c r="AN191" s="83">
        <f t="shared" si="76"/>
        <v>8.4173604051615988E-2</v>
      </c>
      <c r="AO191" s="83">
        <v>0</v>
      </c>
      <c r="AP191" s="83">
        <v>9.1910000000000006E-2</v>
      </c>
      <c r="AQ191" s="83">
        <f t="shared" si="53"/>
        <v>8.4173604051615988E-2</v>
      </c>
      <c r="AR191" s="77" t="s">
        <v>126</v>
      </c>
    </row>
    <row r="192" spans="1:44" ht="15" customHeight="1" x14ac:dyDescent="0.25">
      <c r="A192" s="76">
        <v>191</v>
      </c>
      <c r="B192" s="76">
        <v>1997</v>
      </c>
      <c r="C192" s="77" t="s">
        <v>104</v>
      </c>
      <c r="D192" s="76">
        <v>32</v>
      </c>
      <c r="E192" s="78">
        <v>16</v>
      </c>
      <c r="F192" s="79">
        <v>3</v>
      </c>
      <c r="G192" s="56">
        <v>60</v>
      </c>
      <c r="H192" s="56">
        <v>27</v>
      </c>
      <c r="I192" s="78">
        <v>25</v>
      </c>
      <c r="J192" s="81">
        <v>5.0299999999999997E-2</v>
      </c>
      <c r="K192" s="77" t="s">
        <v>115</v>
      </c>
      <c r="L192" s="77" t="s">
        <v>36</v>
      </c>
      <c r="M192" s="77" t="s">
        <v>289</v>
      </c>
      <c r="N192" s="77">
        <v>20</v>
      </c>
      <c r="O192" s="77">
        <v>600</v>
      </c>
      <c r="P192" s="78"/>
      <c r="Q192" s="81">
        <v>34</v>
      </c>
      <c r="R192" s="82"/>
      <c r="S192" s="82">
        <v>1.716972850057704E-4</v>
      </c>
      <c r="T192" s="82">
        <v>670000000</v>
      </c>
      <c r="U192" s="78">
        <v>2755</v>
      </c>
      <c r="V192" s="82">
        <v>1.7919999999999998E-2</v>
      </c>
      <c r="W192" s="82">
        <v>2.3040000000000001E-2</v>
      </c>
      <c r="X192" s="82">
        <v>0.54900000000000004</v>
      </c>
      <c r="Y192" s="78">
        <v>29.6</v>
      </c>
      <c r="Z192" s="78">
        <v>1075</v>
      </c>
      <c r="AA192" s="78">
        <f t="shared" si="73"/>
        <v>320</v>
      </c>
      <c r="AB192" s="81">
        <f t="shared" si="74"/>
        <v>0.82189116447904176</v>
      </c>
      <c r="AC192" s="81">
        <f t="shared" si="54"/>
        <v>184.12264409323052</v>
      </c>
      <c r="AD192" s="81">
        <v>800</v>
      </c>
      <c r="AE192" s="81">
        <f t="shared" si="55"/>
        <v>744.18604651162786</v>
      </c>
      <c r="AF192" s="81">
        <f t="shared" si="66"/>
        <v>615.87735590676948</v>
      </c>
      <c r="AG192" s="83">
        <v>1</v>
      </c>
      <c r="AH192" s="83">
        <v>3.3449300000000002</v>
      </c>
      <c r="AI192" s="83">
        <f t="shared" si="70"/>
        <v>0.76984669488346191</v>
      </c>
      <c r="AJ192" s="81">
        <f t="shared" si="56"/>
        <v>201.04535631183936</v>
      </c>
      <c r="AK192" s="81">
        <f t="shared" si="57"/>
        <v>155.84911342003053</v>
      </c>
      <c r="AL192" s="81">
        <f t="shared" si="69"/>
        <v>16.922712218608822</v>
      </c>
      <c r="AM192" s="83">
        <f t="shared" si="75"/>
        <v>9.1910000000000006E-2</v>
      </c>
      <c r="AN192" s="83">
        <f t="shared" si="76"/>
        <v>8.4173604051615988E-2</v>
      </c>
      <c r="AO192" s="83">
        <v>0</v>
      </c>
      <c r="AP192" s="83">
        <v>9.1910000000000006E-2</v>
      </c>
      <c r="AQ192" s="83">
        <f t="shared" si="53"/>
        <v>8.4173604051615988E-2</v>
      </c>
      <c r="AR192" s="77" t="s">
        <v>127</v>
      </c>
    </row>
    <row r="193" spans="1:44" ht="15" customHeight="1" x14ac:dyDescent="0.25">
      <c r="A193" s="76">
        <v>192</v>
      </c>
      <c r="B193" s="76">
        <v>1997</v>
      </c>
      <c r="C193" s="77" t="s">
        <v>104</v>
      </c>
      <c r="D193" s="76">
        <v>33</v>
      </c>
      <c r="E193" s="78">
        <v>7</v>
      </c>
      <c r="F193" s="79">
        <v>3</v>
      </c>
      <c r="G193" s="56">
        <v>60</v>
      </c>
      <c r="H193" s="56">
        <v>27</v>
      </c>
      <c r="I193" s="78">
        <v>24</v>
      </c>
      <c r="J193" s="81">
        <v>5.0999999999999997E-2</v>
      </c>
      <c r="K193" s="77" t="s">
        <v>115</v>
      </c>
      <c r="L193" s="77" t="s">
        <v>36</v>
      </c>
      <c r="M193" s="77" t="s">
        <v>289</v>
      </c>
      <c r="N193" s="77">
        <v>40</v>
      </c>
      <c r="O193" s="77">
        <v>180</v>
      </c>
      <c r="P193" s="78"/>
      <c r="Q193" s="81">
        <v>28</v>
      </c>
      <c r="R193" s="82"/>
      <c r="S193" s="82">
        <v>1.716972850057704E-4</v>
      </c>
      <c r="T193" s="82">
        <v>670000000</v>
      </c>
      <c r="U193" s="78">
        <v>2755</v>
      </c>
      <c r="V193" s="82">
        <v>1.7919999999999998E-2</v>
      </c>
      <c r="W193" s="82">
        <v>2.3040000000000001E-2</v>
      </c>
      <c r="X193" s="82">
        <v>0.54900000000000004</v>
      </c>
      <c r="Y193" s="78">
        <v>29.6</v>
      </c>
      <c r="Z193" s="78">
        <v>1075</v>
      </c>
      <c r="AA193" s="78">
        <f t="shared" si="73"/>
        <v>320</v>
      </c>
      <c r="AB193" s="81">
        <f t="shared" si="74"/>
        <v>0.82189116447904176</v>
      </c>
      <c r="AC193" s="81">
        <f t="shared" si="54"/>
        <v>178.3842843445492</v>
      </c>
      <c r="AD193" s="81">
        <v>800</v>
      </c>
      <c r="AE193" s="81">
        <f t="shared" si="55"/>
        <v>744.18604651162786</v>
      </c>
      <c r="AF193" s="81">
        <f t="shared" si="66"/>
        <v>621.6157156554508</v>
      </c>
      <c r="AG193" s="83">
        <v>1</v>
      </c>
      <c r="AH193" s="83">
        <v>3.4847000000000001</v>
      </c>
      <c r="AI193" s="83">
        <f t="shared" si="70"/>
        <v>0.77701964456931349</v>
      </c>
      <c r="AJ193" s="81">
        <f t="shared" si="56"/>
        <v>215.23847749013308</v>
      </c>
      <c r="AK193" s="81">
        <f t="shared" si="57"/>
        <v>166.85153293808767</v>
      </c>
      <c r="AL193" s="81">
        <f t="shared" si="69"/>
        <v>36.854193145583871</v>
      </c>
      <c r="AM193" s="83">
        <f t="shared" si="75"/>
        <v>0.20660000000000001</v>
      </c>
      <c r="AN193" s="83">
        <f t="shared" si="76"/>
        <v>0.17122492955411903</v>
      </c>
      <c r="AO193" s="83">
        <v>0</v>
      </c>
      <c r="AP193" s="83">
        <v>0.20660000000000001</v>
      </c>
      <c r="AQ193" s="83">
        <f t="shared" ref="AQ193:AQ256" si="77">AP193/(AP193+1)</f>
        <v>0.17122492955411903</v>
      </c>
      <c r="AR193" s="77" t="s">
        <v>128</v>
      </c>
    </row>
    <row r="194" spans="1:44" ht="15" customHeight="1" x14ac:dyDescent="0.25">
      <c r="A194" s="76">
        <v>193</v>
      </c>
      <c r="B194" s="76">
        <v>1997</v>
      </c>
      <c r="C194" s="77" t="s">
        <v>104</v>
      </c>
      <c r="D194" s="76">
        <v>34</v>
      </c>
      <c r="E194" s="78">
        <v>7</v>
      </c>
      <c r="F194" s="79">
        <v>3</v>
      </c>
      <c r="G194" s="56">
        <v>60</v>
      </c>
      <c r="H194" s="56">
        <v>27</v>
      </c>
      <c r="I194" s="78">
        <v>24</v>
      </c>
      <c r="J194" s="81">
        <v>3.5000000000000003E-2</v>
      </c>
      <c r="K194" s="77" t="s">
        <v>115</v>
      </c>
      <c r="L194" s="77" t="s">
        <v>36</v>
      </c>
      <c r="M194" s="77" t="s">
        <v>289</v>
      </c>
      <c r="N194" s="77">
        <v>55</v>
      </c>
      <c r="O194" s="77">
        <v>180</v>
      </c>
      <c r="P194" s="78"/>
      <c r="Q194" s="81">
        <v>41</v>
      </c>
      <c r="R194" s="82"/>
      <c r="S194" s="82">
        <v>1.716972850057704E-4</v>
      </c>
      <c r="T194" s="82">
        <v>670000000</v>
      </c>
      <c r="U194" s="78">
        <v>2755</v>
      </c>
      <c r="V194" s="82">
        <v>1.7919999999999998E-2</v>
      </c>
      <c r="W194" s="82">
        <v>2.3040000000000001E-2</v>
      </c>
      <c r="X194" s="82">
        <v>0.54900000000000004</v>
      </c>
      <c r="Y194" s="78">
        <v>29.6</v>
      </c>
      <c r="Z194" s="78">
        <v>1075</v>
      </c>
      <c r="AA194" s="78">
        <f t="shared" si="73"/>
        <v>320</v>
      </c>
      <c r="AB194" s="81">
        <f t="shared" si="74"/>
        <v>0.82189116447904176</v>
      </c>
      <c r="AC194" s="81">
        <f t="shared" ref="AC194:AC257" si="78">AD194-AF194</f>
        <v>178.3842843445492</v>
      </c>
      <c r="AD194" s="81">
        <v>800</v>
      </c>
      <c r="AE194" s="81">
        <f t="shared" ref="AE194:AE257" si="79">AD194/Z194*1000</f>
        <v>744.18604651162786</v>
      </c>
      <c r="AF194" s="81">
        <f t="shared" si="66"/>
        <v>621.6157156554508</v>
      </c>
      <c r="AG194" s="83">
        <v>1</v>
      </c>
      <c r="AH194" s="83">
        <v>3.4847000000000001</v>
      </c>
      <c r="AI194" s="83">
        <f t="shared" si="70"/>
        <v>0.77701964456931349</v>
      </c>
      <c r="AJ194" s="81">
        <f t="shared" ref="AJ194:AJ257" si="80">AC194/(1-AQ194)</f>
        <v>215.23847749013308</v>
      </c>
      <c r="AK194" s="81">
        <f t="shared" ref="AK194:AK257" si="81">AJ194/1290*1000</f>
        <v>166.85153293808767</v>
      </c>
      <c r="AL194" s="81">
        <f t="shared" si="69"/>
        <v>36.854193145583871</v>
      </c>
      <c r="AM194" s="83">
        <f t="shared" si="75"/>
        <v>0.20660000000000001</v>
      </c>
      <c r="AN194" s="83">
        <f t="shared" si="76"/>
        <v>0.17122492955411903</v>
      </c>
      <c r="AO194" s="83">
        <v>0</v>
      </c>
      <c r="AP194" s="83">
        <v>0.20660000000000001</v>
      </c>
      <c r="AQ194" s="83">
        <f t="shared" si="77"/>
        <v>0.17122492955411903</v>
      </c>
      <c r="AR194" s="77" t="s">
        <v>129</v>
      </c>
    </row>
    <row r="195" spans="1:44" ht="15" customHeight="1" x14ac:dyDescent="0.25">
      <c r="A195" s="76">
        <v>194</v>
      </c>
      <c r="B195" s="76">
        <v>1997</v>
      </c>
      <c r="C195" s="77" t="s">
        <v>104</v>
      </c>
      <c r="D195" s="76">
        <v>35</v>
      </c>
      <c r="E195" s="78">
        <v>7</v>
      </c>
      <c r="F195" s="79">
        <v>3</v>
      </c>
      <c r="G195" s="56">
        <v>60</v>
      </c>
      <c r="H195" s="56">
        <v>27</v>
      </c>
      <c r="I195" s="78">
        <v>24</v>
      </c>
      <c r="J195" s="81">
        <v>2.3099999999999999E-2</v>
      </c>
      <c r="K195" s="77" t="s">
        <v>115</v>
      </c>
      <c r="L195" s="77" t="s">
        <v>36</v>
      </c>
      <c r="M195" s="77" t="s">
        <v>289</v>
      </c>
      <c r="N195" s="77">
        <v>40</v>
      </c>
      <c r="O195" s="77">
        <v>180</v>
      </c>
      <c r="P195" s="78"/>
      <c r="Q195" s="81">
        <v>39</v>
      </c>
      <c r="R195" s="82"/>
      <c r="S195" s="82">
        <v>1.716972850057704E-4</v>
      </c>
      <c r="T195" s="82">
        <v>670000000</v>
      </c>
      <c r="U195" s="78">
        <v>2755</v>
      </c>
      <c r="V195" s="82">
        <v>1.7919999999999998E-2</v>
      </c>
      <c r="W195" s="82">
        <v>2.3040000000000001E-2</v>
      </c>
      <c r="X195" s="82">
        <v>0.54900000000000004</v>
      </c>
      <c r="Y195" s="78">
        <v>29.6</v>
      </c>
      <c r="Z195" s="78">
        <v>1075</v>
      </c>
      <c r="AA195" s="78">
        <f t="shared" si="73"/>
        <v>320</v>
      </c>
      <c r="AB195" s="81">
        <f t="shared" si="74"/>
        <v>0.82189116447904176</v>
      </c>
      <c r="AC195" s="81">
        <f t="shared" si="78"/>
        <v>178.3842843445492</v>
      </c>
      <c r="AD195" s="81">
        <v>800</v>
      </c>
      <c r="AE195" s="81">
        <f t="shared" si="79"/>
        <v>744.18604651162786</v>
      </c>
      <c r="AF195" s="81">
        <f t="shared" si="66"/>
        <v>621.6157156554508</v>
      </c>
      <c r="AG195" s="83">
        <v>1</v>
      </c>
      <c r="AH195" s="83">
        <v>3.4847000000000001</v>
      </c>
      <c r="AI195" s="83">
        <f t="shared" si="70"/>
        <v>0.77701964456931349</v>
      </c>
      <c r="AJ195" s="81">
        <f t="shared" si="80"/>
        <v>215.23847749013308</v>
      </c>
      <c r="AK195" s="81">
        <f t="shared" si="81"/>
        <v>166.85153293808767</v>
      </c>
      <c r="AL195" s="81">
        <f t="shared" si="69"/>
        <v>36.854193145583871</v>
      </c>
      <c r="AM195" s="83">
        <f t="shared" si="75"/>
        <v>0.20660000000000001</v>
      </c>
      <c r="AN195" s="83">
        <f t="shared" si="76"/>
        <v>0.17122492955411903</v>
      </c>
      <c r="AO195" s="83">
        <v>0</v>
      </c>
      <c r="AP195" s="83">
        <v>0.20660000000000001</v>
      </c>
      <c r="AQ195" s="83">
        <f t="shared" si="77"/>
        <v>0.17122492955411903</v>
      </c>
      <c r="AR195" s="77" t="s">
        <v>130</v>
      </c>
    </row>
    <row r="196" spans="1:44" ht="15" customHeight="1" x14ac:dyDescent="0.25">
      <c r="A196" s="76">
        <v>195</v>
      </c>
      <c r="B196" s="76">
        <v>1997</v>
      </c>
      <c r="C196" s="77" t="s">
        <v>104</v>
      </c>
      <c r="D196" s="76">
        <v>36</v>
      </c>
      <c r="E196" s="78">
        <v>7</v>
      </c>
      <c r="F196" s="79">
        <v>3</v>
      </c>
      <c r="G196" s="56">
        <v>60</v>
      </c>
      <c r="H196" s="56">
        <v>27</v>
      </c>
      <c r="I196" s="78">
        <v>24</v>
      </c>
      <c r="J196" s="81">
        <v>2.3099999999999999E-2</v>
      </c>
      <c r="K196" s="77" t="s">
        <v>115</v>
      </c>
      <c r="L196" s="77" t="s">
        <v>36</v>
      </c>
      <c r="M196" s="77" t="s">
        <v>289</v>
      </c>
      <c r="N196" s="77">
        <v>55</v>
      </c>
      <c r="O196" s="77">
        <v>180</v>
      </c>
      <c r="P196" s="78"/>
      <c r="Q196" s="81">
        <v>39</v>
      </c>
      <c r="R196" s="82"/>
      <c r="S196" s="82">
        <v>1.716972850057704E-4</v>
      </c>
      <c r="T196" s="82">
        <v>670000000</v>
      </c>
      <c r="U196" s="78">
        <v>2755</v>
      </c>
      <c r="V196" s="82">
        <v>1.7919999999999998E-2</v>
      </c>
      <c r="W196" s="82">
        <v>2.3040000000000001E-2</v>
      </c>
      <c r="X196" s="82">
        <v>0.54900000000000004</v>
      </c>
      <c r="Y196" s="78">
        <v>29.6</v>
      </c>
      <c r="Z196" s="78">
        <v>1075</v>
      </c>
      <c r="AA196" s="78">
        <f t="shared" si="73"/>
        <v>320</v>
      </c>
      <c r="AB196" s="81">
        <f t="shared" si="74"/>
        <v>0.82189116447904176</v>
      </c>
      <c r="AC196" s="81">
        <f t="shared" si="78"/>
        <v>178.3842843445492</v>
      </c>
      <c r="AD196" s="81">
        <v>800</v>
      </c>
      <c r="AE196" s="81">
        <f t="shared" si="79"/>
        <v>744.18604651162786</v>
      </c>
      <c r="AF196" s="81">
        <f t="shared" si="66"/>
        <v>621.6157156554508</v>
      </c>
      <c r="AG196" s="83">
        <v>1</v>
      </c>
      <c r="AH196" s="83">
        <v>3.4847000000000001</v>
      </c>
      <c r="AI196" s="83">
        <f t="shared" si="70"/>
        <v>0.77701964456931349</v>
      </c>
      <c r="AJ196" s="81">
        <f t="shared" si="80"/>
        <v>215.23847749013308</v>
      </c>
      <c r="AK196" s="81">
        <f t="shared" si="81"/>
        <v>166.85153293808767</v>
      </c>
      <c r="AL196" s="81">
        <f t="shared" si="69"/>
        <v>36.854193145583871</v>
      </c>
      <c r="AM196" s="83">
        <f t="shared" si="75"/>
        <v>0.20660000000000001</v>
      </c>
      <c r="AN196" s="83">
        <f t="shared" si="76"/>
        <v>0.17122492955411903</v>
      </c>
      <c r="AO196" s="83">
        <v>0</v>
      </c>
      <c r="AP196" s="83">
        <v>0.20660000000000001</v>
      </c>
      <c r="AQ196" s="83">
        <f t="shared" si="77"/>
        <v>0.17122492955411903</v>
      </c>
      <c r="AR196" s="77" t="s">
        <v>131</v>
      </c>
    </row>
    <row r="197" spans="1:44" ht="15" customHeight="1" x14ac:dyDescent="0.25">
      <c r="A197" s="76">
        <v>196</v>
      </c>
      <c r="B197" s="76">
        <v>1997</v>
      </c>
      <c r="C197" s="77" t="s">
        <v>104</v>
      </c>
      <c r="D197" s="76">
        <v>37</v>
      </c>
      <c r="E197" s="78">
        <v>11</v>
      </c>
      <c r="F197" s="79">
        <v>3</v>
      </c>
      <c r="G197" s="56">
        <v>60</v>
      </c>
      <c r="H197" s="56">
        <v>27</v>
      </c>
      <c r="I197" s="78">
        <v>60</v>
      </c>
      <c r="J197" s="81">
        <v>4.6300000000000001E-2</v>
      </c>
      <c r="K197" s="77" t="s">
        <v>115</v>
      </c>
      <c r="L197" s="77" t="s">
        <v>36</v>
      </c>
      <c r="M197" s="77" t="s">
        <v>289</v>
      </c>
      <c r="N197" s="77">
        <v>20</v>
      </c>
      <c r="O197" s="77">
        <v>20</v>
      </c>
      <c r="P197" s="78"/>
      <c r="Q197" s="81">
        <v>9</v>
      </c>
      <c r="R197" s="82"/>
      <c r="S197" s="82">
        <v>1.716972850057704E-4</v>
      </c>
      <c r="T197" s="82">
        <v>670000000</v>
      </c>
      <c r="U197" s="78">
        <v>2755</v>
      </c>
      <c r="V197" s="82">
        <v>1.7919999999999998E-2</v>
      </c>
      <c r="W197" s="82">
        <v>2.3040000000000001E-2</v>
      </c>
      <c r="X197" s="82">
        <v>0.54900000000000004</v>
      </c>
      <c r="Y197" s="78">
        <v>29.6</v>
      </c>
      <c r="Z197" s="78">
        <v>1075</v>
      </c>
      <c r="AA197" s="78">
        <f t="shared" si="73"/>
        <v>320</v>
      </c>
      <c r="AB197" s="81">
        <f t="shared" si="74"/>
        <v>0.82189116447904176</v>
      </c>
      <c r="AC197" s="81">
        <f t="shared" si="78"/>
        <v>178.83888851630786</v>
      </c>
      <c r="AD197" s="81">
        <v>800</v>
      </c>
      <c r="AE197" s="81">
        <f t="shared" si="79"/>
        <v>744.18604651162786</v>
      </c>
      <c r="AF197" s="81">
        <f t="shared" si="66"/>
        <v>621.16111148369214</v>
      </c>
      <c r="AG197" s="83">
        <v>1</v>
      </c>
      <c r="AH197" s="83">
        <v>3.4733000000000001</v>
      </c>
      <c r="AI197" s="83">
        <f t="shared" si="70"/>
        <v>0.77645138935461522</v>
      </c>
      <c r="AJ197" s="81">
        <f t="shared" si="80"/>
        <v>245.68886504370374</v>
      </c>
      <c r="AK197" s="81">
        <f t="shared" si="81"/>
        <v>190.45648453000291</v>
      </c>
      <c r="AL197" s="81">
        <f t="shared" si="69"/>
        <v>66.849976527395867</v>
      </c>
      <c r="AM197" s="83">
        <f t="shared" ref="AM197:AM203" si="82">AN197/(1-AN197)</f>
        <v>0.21212121212121213</v>
      </c>
      <c r="AN197" s="83">
        <v>0.17499999999999999</v>
      </c>
      <c r="AO197" s="83">
        <f t="shared" ref="AO197:AO203" si="83">(AP197-AM197)/(AH197-AM197)</f>
        <v>4.9576793667283348E-2</v>
      </c>
      <c r="AP197" s="83">
        <v>0.37380000000000002</v>
      </c>
      <c r="AQ197" s="83">
        <f t="shared" si="77"/>
        <v>0.2720920075702431</v>
      </c>
      <c r="AR197" s="77" t="s">
        <v>343</v>
      </c>
    </row>
    <row r="198" spans="1:44" ht="15" customHeight="1" x14ac:dyDescent="0.25">
      <c r="A198" s="76">
        <v>197</v>
      </c>
      <c r="B198" s="76">
        <v>1997</v>
      </c>
      <c r="C198" s="77" t="s">
        <v>104</v>
      </c>
      <c r="D198" s="76">
        <v>38</v>
      </c>
      <c r="E198" s="78">
        <v>16</v>
      </c>
      <c r="F198" s="79">
        <v>3</v>
      </c>
      <c r="G198" s="56">
        <v>60</v>
      </c>
      <c r="H198" s="56">
        <v>27</v>
      </c>
      <c r="I198" s="78">
        <v>64</v>
      </c>
      <c r="J198" s="81">
        <v>7.4099999999999999E-2</v>
      </c>
      <c r="K198" s="77" t="s">
        <v>115</v>
      </c>
      <c r="L198" s="77" t="s">
        <v>36</v>
      </c>
      <c r="M198" s="77" t="s">
        <v>289</v>
      </c>
      <c r="N198" s="77">
        <v>20</v>
      </c>
      <c r="O198" s="77">
        <v>60</v>
      </c>
      <c r="P198" s="78"/>
      <c r="Q198" s="81">
        <v>9</v>
      </c>
      <c r="R198" s="82"/>
      <c r="S198" s="82">
        <v>1.716972850057704E-4</v>
      </c>
      <c r="T198" s="82">
        <v>670000000</v>
      </c>
      <c r="U198" s="78">
        <v>2755</v>
      </c>
      <c r="V198" s="82">
        <v>1.7919999999999998E-2</v>
      </c>
      <c r="W198" s="82">
        <v>2.3040000000000001E-2</v>
      </c>
      <c r="X198" s="82">
        <v>0.54900000000000004</v>
      </c>
      <c r="Y198" s="78">
        <v>29.6</v>
      </c>
      <c r="Z198" s="78">
        <v>1075</v>
      </c>
      <c r="AA198" s="78">
        <f t="shared" si="73"/>
        <v>320</v>
      </c>
      <c r="AB198" s="81">
        <f t="shared" si="74"/>
        <v>0.82189116447904176</v>
      </c>
      <c r="AC198" s="81">
        <f t="shared" si="78"/>
        <v>178.83888851630786</v>
      </c>
      <c r="AD198" s="81">
        <v>800</v>
      </c>
      <c r="AE198" s="81">
        <f t="shared" si="79"/>
        <v>744.18604651162786</v>
      </c>
      <c r="AF198" s="81">
        <f t="shared" si="66"/>
        <v>621.16111148369214</v>
      </c>
      <c r="AG198" s="83">
        <v>1</v>
      </c>
      <c r="AH198" s="83">
        <v>3.4733000000000001</v>
      </c>
      <c r="AI198" s="83">
        <f t="shared" si="70"/>
        <v>0.77645138935461522</v>
      </c>
      <c r="AJ198" s="81">
        <f t="shared" si="80"/>
        <v>228.59186730154471</v>
      </c>
      <c r="AK198" s="81">
        <f t="shared" si="81"/>
        <v>177.20299790817421</v>
      </c>
      <c r="AL198" s="81">
        <f t="shared" si="69"/>
        <v>49.752978785236849</v>
      </c>
      <c r="AM198" s="83">
        <f t="shared" si="82"/>
        <v>0.21212121212121213</v>
      </c>
      <c r="AN198" s="83">
        <v>0.17499999999999999</v>
      </c>
      <c r="AO198" s="83">
        <f t="shared" si="83"/>
        <v>2.0262240182718834E-2</v>
      </c>
      <c r="AP198" s="83">
        <v>0.2782</v>
      </c>
      <c r="AQ198" s="83">
        <f t="shared" si="77"/>
        <v>0.21764982005945863</v>
      </c>
      <c r="AR198" s="77" t="s">
        <v>344</v>
      </c>
    </row>
    <row r="199" spans="1:44" ht="15" customHeight="1" x14ac:dyDescent="0.25">
      <c r="A199" s="76">
        <v>198</v>
      </c>
      <c r="B199" s="76">
        <v>1997</v>
      </c>
      <c r="C199" s="77" t="s">
        <v>104</v>
      </c>
      <c r="D199" s="76">
        <v>39</v>
      </c>
      <c r="E199" s="78">
        <v>16</v>
      </c>
      <c r="F199" s="79">
        <v>3</v>
      </c>
      <c r="G199" s="56">
        <v>60</v>
      </c>
      <c r="H199" s="56">
        <v>27</v>
      </c>
      <c r="I199" s="78">
        <v>64</v>
      </c>
      <c r="J199" s="81">
        <v>7.4099999999999999E-2</v>
      </c>
      <c r="K199" s="77" t="s">
        <v>115</v>
      </c>
      <c r="L199" s="77" t="s">
        <v>36</v>
      </c>
      <c r="M199" s="77" t="s">
        <v>289</v>
      </c>
      <c r="N199" s="77">
        <v>20</v>
      </c>
      <c r="O199" s="77">
        <v>180</v>
      </c>
      <c r="P199" s="78"/>
      <c r="Q199" s="81">
        <v>9</v>
      </c>
      <c r="R199" s="82"/>
      <c r="S199" s="82">
        <v>1.716972850057704E-4</v>
      </c>
      <c r="T199" s="82">
        <v>670000000</v>
      </c>
      <c r="U199" s="78">
        <v>2755</v>
      </c>
      <c r="V199" s="82">
        <v>1.7919999999999998E-2</v>
      </c>
      <c r="W199" s="82">
        <v>2.3040000000000001E-2</v>
      </c>
      <c r="X199" s="82">
        <v>0.54900000000000004</v>
      </c>
      <c r="Y199" s="78">
        <v>29.6</v>
      </c>
      <c r="Z199" s="78">
        <v>1075</v>
      </c>
      <c r="AA199" s="78">
        <f t="shared" si="73"/>
        <v>320</v>
      </c>
      <c r="AB199" s="81">
        <f t="shared" si="74"/>
        <v>0.82189116447904176</v>
      </c>
      <c r="AC199" s="81">
        <f t="shared" si="78"/>
        <v>178.83888851630786</v>
      </c>
      <c r="AD199" s="81">
        <v>800</v>
      </c>
      <c r="AE199" s="81">
        <f t="shared" si="79"/>
        <v>744.18604651162786</v>
      </c>
      <c r="AF199" s="81">
        <f t="shared" si="66"/>
        <v>621.16111148369214</v>
      </c>
      <c r="AG199" s="83">
        <v>1</v>
      </c>
      <c r="AH199" s="83">
        <v>3.4733000000000001</v>
      </c>
      <c r="AI199" s="83">
        <f t="shared" si="70"/>
        <v>0.77645138935461522</v>
      </c>
      <c r="AJ199" s="81">
        <f t="shared" si="80"/>
        <v>228.59186730154471</v>
      </c>
      <c r="AK199" s="81">
        <f t="shared" si="81"/>
        <v>177.20299790817421</v>
      </c>
      <c r="AL199" s="81">
        <f t="shared" si="69"/>
        <v>49.752978785236849</v>
      </c>
      <c r="AM199" s="83">
        <f t="shared" si="82"/>
        <v>0.21212121212121213</v>
      </c>
      <c r="AN199" s="83">
        <v>0.17499999999999999</v>
      </c>
      <c r="AO199" s="83">
        <f t="shared" si="83"/>
        <v>2.0262240182718834E-2</v>
      </c>
      <c r="AP199" s="83">
        <v>0.2782</v>
      </c>
      <c r="AQ199" s="83">
        <f t="shared" si="77"/>
        <v>0.21764982005945863</v>
      </c>
      <c r="AR199" s="77" t="s">
        <v>345</v>
      </c>
    </row>
    <row r="200" spans="1:44" ht="15" customHeight="1" x14ac:dyDescent="0.25">
      <c r="A200" s="76">
        <v>199</v>
      </c>
      <c r="B200" s="76">
        <v>1997</v>
      </c>
      <c r="C200" s="77" t="s">
        <v>104</v>
      </c>
      <c r="D200" s="76">
        <v>40</v>
      </c>
      <c r="E200" s="78">
        <v>16</v>
      </c>
      <c r="F200" s="79">
        <v>3</v>
      </c>
      <c r="G200" s="56">
        <v>60</v>
      </c>
      <c r="H200" s="56">
        <v>27</v>
      </c>
      <c r="I200" s="78">
        <v>64</v>
      </c>
      <c r="J200" s="81">
        <v>0.40179999999999999</v>
      </c>
      <c r="K200" s="77" t="s">
        <v>115</v>
      </c>
      <c r="L200" s="77" t="s">
        <v>36</v>
      </c>
      <c r="M200" s="77" t="s">
        <v>289</v>
      </c>
      <c r="N200" s="77">
        <v>20</v>
      </c>
      <c r="O200" s="77">
        <v>600</v>
      </c>
      <c r="P200" s="78"/>
      <c r="Q200" s="81">
        <v>7</v>
      </c>
      <c r="R200" s="82"/>
      <c r="S200" s="82">
        <v>1.716972850057704E-4</v>
      </c>
      <c r="T200" s="82">
        <v>670000000</v>
      </c>
      <c r="U200" s="78">
        <v>2755</v>
      </c>
      <c r="V200" s="82">
        <v>1.7919999999999998E-2</v>
      </c>
      <c r="W200" s="82">
        <v>2.3040000000000001E-2</v>
      </c>
      <c r="X200" s="82">
        <v>0.54900000000000004</v>
      </c>
      <c r="Y200" s="78">
        <v>29.6</v>
      </c>
      <c r="Z200" s="78">
        <v>1075</v>
      </c>
      <c r="AA200" s="78">
        <f t="shared" si="73"/>
        <v>320</v>
      </c>
      <c r="AB200" s="81">
        <f t="shared" si="74"/>
        <v>0.82189116447904176</v>
      </c>
      <c r="AC200" s="81">
        <f t="shared" si="78"/>
        <v>178.83888851630786</v>
      </c>
      <c r="AD200" s="81">
        <v>800</v>
      </c>
      <c r="AE200" s="81">
        <f t="shared" si="79"/>
        <v>744.18604651162786</v>
      </c>
      <c r="AF200" s="81">
        <f t="shared" si="66"/>
        <v>621.16111148369214</v>
      </c>
      <c r="AG200" s="83">
        <v>1</v>
      </c>
      <c r="AH200" s="83">
        <v>3.4733000000000001</v>
      </c>
      <c r="AI200" s="83">
        <f t="shared" si="70"/>
        <v>0.77645138935461522</v>
      </c>
      <c r="AJ200" s="81">
        <f t="shared" si="80"/>
        <v>228.59186730154471</v>
      </c>
      <c r="AK200" s="81">
        <f t="shared" si="81"/>
        <v>177.20299790817421</v>
      </c>
      <c r="AL200" s="81">
        <f t="shared" si="69"/>
        <v>49.752978785236849</v>
      </c>
      <c r="AM200" s="83">
        <f t="shared" si="82"/>
        <v>0.21212121212121213</v>
      </c>
      <c r="AN200" s="83">
        <v>0.17499999999999999</v>
      </c>
      <c r="AO200" s="83">
        <f t="shared" si="83"/>
        <v>2.0262240182718834E-2</v>
      </c>
      <c r="AP200" s="83">
        <v>0.2782</v>
      </c>
      <c r="AQ200" s="83">
        <f t="shared" si="77"/>
        <v>0.21764982005945863</v>
      </c>
      <c r="AR200" s="77" t="s">
        <v>346</v>
      </c>
    </row>
    <row r="201" spans="1:44" ht="15" customHeight="1" x14ac:dyDescent="0.25">
      <c r="A201" s="76">
        <v>200</v>
      </c>
      <c r="B201" s="76">
        <v>1997</v>
      </c>
      <c r="C201" s="77" t="s">
        <v>104</v>
      </c>
      <c r="D201" s="76">
        <v>41</v>
      </c>
      <c r="E201" s="78">
        <v>11</v>
      </c>
      <c r="F201" s="79">
        <v>3</v>
      </c>
      <c r="G201" s="56">
        <v>60</v>
      </c>
      <c r="H201" s="56">
        <v>27</v>
      </c>
      <c r="I201" s="78">
        <v>52</v>
      </c>
      <c r="J201" s="81">
        <v>0.35980000000000001</v>
      </c>
      <c r="K201" s="77" t="s">
        <v>115</v>
      </c>
      <c r="L201" s="77" t="s">
        <v>36</v>
      </c>
      <c r="M201" s="77" t="s">
        <v>289</v>
      </c>
      <c r="N201" s="77">
        <v>60</v>
      </c>
      <c r="O201" s="77">
        <v>20</v>
      </c>
      <c r="P201" s="78"/>
      <c r="Q201" s="81">
        <v>8</v>
      </c>
      <c r="R201" s="82"/>
      <c r="S201" s="82">
        <v>1.716972850057704E-4</v>
      </c>
      <c r="T201" s="82">
        <v>670000000</v>
      </c>
      <c r="U201" s="78">
        <v>2755</v>
      </c>
      <c r="V201" s="82">
        <v>1.7919999999999998E-2</v>
      </c>
      <c r="W201" s="82">
        <v>2.3040000000000001E-2</v>
      </c>
      <c r="X201" s="82">
        <v>0.54900000000000004</v>
      </c>
      <c r="Y201" s="78">
        <v>29.6</v>
      </c>
      <c r="Z201" s="78">
        <v>1075</v>
      </c>
      <c r="AA201" s="78">
        <f t="shared" si="73"/>
        <v>320</v>
      </c>
      <c r="AB201" s="81">
        <f t="shared" si="74"/>
        <v>0.82189116447904176</v>
      </c>
      <c r="AC201" s="81">
        <f t="shared" si="78"/>
        <v>177.97948786402355</v>
      </c>
      <c r="AD201" s="81">
        <v>800</v>
      </c>
      <c r="AE201" s="81">
        <f t="shared" si="79"/>
        <v>744.18604651162786</v>
      </c>
      <c r="AF201" s="81">
        <f t="shared" si="66"/>
        <v>622.02051213597645</v>
      </c>
      <c r="AG201" s="83">
        <v>1</v>
      </c>
      <c r="AH201" s="83">
        <v>3.4948999999999999</v>
      </c>
      <c r="AI201" s="83">
        <f t="shared" si="70"/>
        <v>0.7775256401699705</v>
      </c>
      <c r="AJ201" s="81">
        <f t="shared" si="80"/>
        <v>232.01406037954109</v>
      </c>
      <c r="AK201" s="81">
        <f t="shared" si="81"/>
        <v>179.85586075933418</v>
      </c>
      <c r="AL201" s="81">
        <f t="shared" si="69"/>
        <v>54.034572515517553</v>
      </c>
      <c r="AM201" s="83">
        <f t="shared" si="82"/>
        <v>0.21212121212121213</v>
      </c>
      <c r="AN201" s="83">
        <v>0.17499999999999999</v>
      </c>
      <c r="AO201" s="83">
        <f t="shared" si="83"/>
        <v>2.7866266291399461E-2</v>
      </c>
      <c r="AP201" s="83">
        <v>0.30359999999999998</v>
      </c>
      <c r="AQ201" s="83">
        <f t="shared" si="77"/>
        <v>0.23289352562135626</v>
      </c>
      <c r="AR201" s="77" t="s">
        <v>347</v>
      </c>
    </row>
    <row r="202" spans="1:44" ht="15" customHeight="1" x14ac:dyDescent="0.25">
      <c r="A202" s="76">
        <v>201</v>
      </c>
      <c r="B202" s="76">
        <v>1997</v>
      </c>
      <c r="C202" s="77" t="s">
        <v>104</v>
      </c>
      <c r="D202" s="76">
        <v>42</v>
      </c>
      <c r="E202" s="78">
        <v>12</v>
      </c>
      <c r="F202" s="79">
        <v>3</v>
      </c>
      <c r="G202" s="56">
        <v>60</v>
      </c>
      <c r="H202" s="56">
        <v>27</v>
      </c>
      <c r="I202" s="78">
        <v>54</v>
      </c>
      <c r="J202" s="81">
        <v>6.5199999999999994E-2</v>
      </c>
      <c r="K202" s="77" t="s">
        <v>115</v>
      </c>
      <c r="L202" s="77" t="s">
        <v>36</v>
      </c>
      <c r="M202" s="77" t="s">
        <v>289</v>
      </c>
      <c r="N202" s="77">
        <v>60</v>
      </c>
      <c r="O202" s="77">
        <v>60</v>
      </c>
      <c r="P202" s="78"/>
      <c r="Q202" s="81">
        <v>12</v>
      </c>
      <c r="R202" s="82"/>
      <c r="S202" s="82">
        <v>1.716972850057704E-4</v>
      </c>
      <c r="T202" s="82">
        <v>670000000</v>
      </c>
      <c r="U202" s="78">
        <v>2755</v>
      </c>
      <c r="V202" s="82">
        <v>1.7919999999999998E-2</v>
      </c>
      <c r="W202" s="82">
        <v>2.3040000000000001E-2</v>
      </c>
      <c r="X202" s="82">
        <v>0.54900000000000004</v>
      </c>
      <c r="Y202" s="78">
        <v>29.6</v>
      </c>
      <c r="Z202" s="78">
        <v>1075</v>
      </c>
      <c r="AA202" s="78">
        <f t="shared" si="73"/>
        <v>320</v>
      </c>
      <c r="AB202" s="81">
        <f t="shared" si="74"/>
        <v>0.82189116447904176</v>
      </c>
      <c r="AC202" s="81">
        <f t="shared" si="78"/>
        <v>178.30079343853083</v>
      </c>
      <c r="AD202" s="81">
        <v>800</v>
      </c>
      <c r="AE202" s="81">
        <f t="shared" si="79"/>
        <v>744.18604651162786</v>
      </c>
      <c r="AF202" s="81">
        <f t="shared" si="66"/>
        <v>621.69920656146917</v>
      </c>
      <c r="AG202" s="83">
        <v>1</v>
      </c>
      <c r="AH202" s="83">
        <v>3.4868000000000001</v>
      </c>
      <c r="AI202" s="83">
        <f t="shared" si="70"/>
        <v>0.77712400820183647</v>
      </c>
      <c r="AJ202" s="81">
        <f t="shared" si="80"/>
        <v>218.95337434251584</v>
      </c>
      <c r="AK202" s="81">
        <f t="shared" si="81"/>
        <v>169.73129793993476</v>
      </c>
      <c r="AL202" s="81">
        <f t="shared" si="69"/>
        <v>40.652580903985026</v>
      </c>
      <c r="AM202" s="83">
        <f t="shared" si="82"/>
        <v>0.21212121212121213</v>
      </c>
      <c r="AN202" s="83">
        <v>0.17499999999999999</v>
      </c>
      <c r="AO202" s="83">
        <f t="shared" si="83"/>
        <v>4.8489604347037507E-3</v>
      </c>
      <c r="AP202" s="83">
        <v>0.22800000000000001</v>
      </c>
      <c r="AQ202" s="83">
        <f t="shared" si="77"/>
        <v>0.18566775244299674</v>
      </c>
      <c r="AR202" s="77" t="s">
        <v>348</v>
      </c>
    </row>
    <row r="203" spans="1:44" ht="15" customHeight="1" x14ac:dyDescent="0.25">
      <c r="A203" s="76">
        <v>202</v>
      </c>
      <c r="B203" s="76">
        <v>1997</v>
      </c>
      <c r="C203" s="77" t="s">
        <v>104</v>
      </c>
      <c r="D203" s="76">
        <v>43</v>
      </c>
      <c r="E203" s="78">
        <v>11</v>
      </c>
      <c r="F203" s="79">
        <v>3</v>
      </c>
      <c r="G203" s="56">
        <v>60</v>
      </c>
      <c r="H203" s="56">
        <v>27</v>
      </c>
      <c r="I203" s="78">
        <v>54</v>
      </c>
      <c r="J203" s="81">
        <v>6.6E-3</v>
      </c>
      <c r="K203" s="77" t="s">
        <v>115</v>
      </c>
      <c r="L203" s="77" t="s">
        <v>36</v>
      </c>
      <c r="M203" s="77" t="s">
        <v>289</v>
      </c>
      <c r="N203" s="77">
        <v>60</v>
      </c>
      <c r="O203" s="77">
        <v>180</v>
      </c>
      <c r="P203" s="78"/>
      <c r="Q203" s="81">
        <v>20</v>
      </c>
      <c r="R203" s="82"/>
      <c r="S203" s="82">
        <v>1.716972850057704E-4</v>
      </c>
      <c r="T203" s="82">
        <v>670000000</v>
      </c>
      <c r="U203" s="78">
        <v>2755</v>
      </c>
      <c r="V203" s="82">
        <v>1.7919999999999998E-2</v>
      </c>
      <c r="W203" s="82">
        <v>2.3040000000000001E-2</v>
      </c>
      <c r="X203" s="82">
        <v>0.54900000000000004</v>
      </c>
      <c r="Y203" s="78">
        <v>29.6</v>
      </c>
      <c r="Z203" s="78">
        <v>1075</v>
      </c>
      <c r="AA203" s="78">
        <f t="shared" si="73"/>
        <v>320</v>
      </c>
      <c r="AB203" s="81">
        <f t="shared" si="74"/>
        <v>0.82189116447904176</v>
      </c>
      <c r="AC203" s="81">
        <f t="shared" si="78"/>
        <v>178.01909254767577</v>
      </c>
      <c r="AD203" s="81">
        <v>800</v>
      </c>
      <c r="AE203" s="81">
        <f t="shared" si="79"/>
        <v>744.18604651162786</v>
      </c>
      <c r="AF203" s="81">
        <f t="shared" si="66"/>
        <v>621.98090745232423</v>
      </c>
      <c r="AG203" s="83">
        <v>1</v>
      </c>
      <c r="AH203" s="83">
        <v>3.4939</v>
      </c>
      <c r="AI203" s="83">
        <f t="shared" si="70"/>
        <v>0.7774761343154053</v>
      </c>
      <c r="AJ203" s="81">
        <f t="shared" si="80"/>
        <v>216.13298026213317</v>
      </c>
      <c r="AK203" s="81">
        <f t="shared" si="81"/>
        <v>167.54494593963813</v>
      </c>
      <c r="AL203" s="81">
        <f t="shared" si="69"/>
        <v>38.113887714457391</v>
      </c>
      <c r="AM203" s="83">
        <f t="shared" si="82"/>
        <v>0.21212121212121213</v>
      </c>
      <c r="AN203" s="83">
        <v>0.17499999999999999</v>
      </c>
      <c r="AO203" s="83">
        <f t="shared" si="83"/>
        <v>6.0296199308025134E-4</v>
      </c>
      <c r="AP203" s="83">
        <v>0.21410000000000001</v>
      </c>
      <c r="AQ203" s="83">
        <f t="shared" si="77"/>
        <v>0.1763446174120748</v>
      </c>
      <c r="AR203" s="77" t="s">
        <v>349</v>
      </c>
    </row>
    <row r="204" spans="1:44" ht="15" customHeight="1" x14ac:dyDescent="0.25">
      <c r="A204" s="1">
        <v>203</v>
      </c>
      <c r="B204" s="1">
        <v>1997</v>
      </c>
      <c r="C204" s="28" t="s">
        <v>104</v>
      </c>
      <c r="D204" s="1">
        <v>44</v>
      </c>
      <c r="E204" s="8">
        <v>13</v>
      </c>
      <c r="F204" s="31">
        <v>3</v>
      </c>
      <c r="G204" s="57">
        <v>60</v>
      </c>
      <c r="H204" s="57">
        <v>27</v>
      </c>
      <c r="I204" s="8">
        <v>54</v>
      </c>
      <c r="J204" s="51">
        <v>2.7900000000000001E-2</v>
      </c>
      <c r="K204" s="28" t="s">
        <v>115</v>
      </c>
      <c r="L204" s="28" t="s">
        <v>36</v>
      </c>
      <c r="M204" s="28" t="s">
        <v>289</v>
      </c>
      <c r="N204" s="28">
        <v>60</v>
      </c>
      <c r="O204" s="28">
        <v>600</v>
      </c>
      <c r="P204" s="8"/>
      <c r="Q204" s="51">
        <v>32</v>
      </c>
      <c r="R204" s="9"/>
      <c r="S204" s="9">
        <v>1.716972850057704E-4</v>
      </c>
      <c r="T204" s="9">
        <v>670000000</v>
      </c>
      <c r="U204" s="8">
        <v>2755</v>
      </c>
      <c r="V204" s="9">
        <v>1.7919999999999998E-2</v>
      </c>
      <c r="W204" s="9">
        <v>2.3040000000000001E-2</v>
      </c>
      <c r="X204" s="9">
        <v>0.54900000000000004</v>
      </c>
      <c r="Y204" s="8">
        <v>29.6</v>
      </c>
      <c r="Z204" s="8">
        <v>1075</v>
      </c>
      <c r="AA204" s="8">
        <f t="shared" si="73"/>
        <v>320</v>
      </c>
      <c r="AB204" s="51">
        <f t="shared" si="74"/>
        <v>0.82189116447904176</v>
      </c>
      <c r="AC204" s="51">
        <f t="shared" si="78"/>
        <v>178.05871486122555</v>
      </c>
      <c r="AD204" s="51">
        <v>800</v>
      </c>
      <c r="AE204" s="51">
        <f t="shared" si="79"/>
        <v>744.18604651162786</v>
      </c>
      <c r="AF204" s="51">
        <f t="shared" si="66"/>
        <v>621.94128513877445</v>
      </c>
      <c r="AG204" s="52">
        <v>1</v>
      </c>
      <c r="AH204" s="52">
        <v>3.4929000000000001</v>
      </c>
      <c r="AI204" s="52">
        <f t="shared" si="70"/>
        <v>0.77742660642346806</v>
      </c>
      <c r="AJ204" s="51">
        <f t="shared" si="80"/>
        <v>202.43495292572734</v>
      </c>
      <c r="AK204" s="51">
        <f t="shared" si="81"/>
        <v>156.92632009746305</v>
      </c>
      <c r="AL204" s="51">
        <f t="shared" si="69"/>
        <v>24.376238064501777</v>
      </c>
      <c r="AM204" s="52">
        <f>AP204</f>
        <v>0.13689999999999999</v>
      </c>
      <c r="AN204" s="52">
        <f>AM204/(AM204+1)</f>
        <v>0.1204151640425719</v>
      </c>
      <c r="AO204" s="52">
        <v>0</v>
      </c>
      <c r="AP204" s="52">
        <v>0.13689999999999999</v>
      </c>
      <c r="AQ204" s="52">
        <f t="shared" si="77"/>
        <v>0.1204151640425719</v>
      </c>
      <c r="AR204" s="28" t="s">
        <v>350</v>
      </c>
    </row>
    <row r="205" spans="1:44" ht="15" hidden="1" customHeight="1" x14ac:dyDescent="0.25">
      <c r="A205" s="23">
        <v>204</v>
      </c>
      <c r="B205" s="23">
        <v>1998</v>
      </c>
      <c r="C205" s="29" t="s">
        <v>132</v>
      </c>
      <c r="D205" s="23">
        <v>1</v>
      </c>
      <c r="E205" s="24">
        <v>19</v>
      </c>
      <c r="F205" s="36">
        <v>0.1</v>
      </c>
      <c r="G205" s="62">
        <v>75</v>
      </c>
      <c r="H205" s="62">
        <v>2.5</v>
      </c>
      <c r="I205" s="24">
        <v>42</v>
      </c>
      <c r="J205" s="63">
        <v>4.0800000000000003E-2</v>
      </c>
      <c r="K205" s="29" t="s">
        <v>5</v>
      </c>
      <c r="L205" s="29" t="s">
        <v>36</v>
      </c>
      <c r="M205" s="29" t="s">
        <v>34</v>
      </c>
      <c r="N205" s="29" t="s">
        <v>34</v>
      </c>
      <c r="O205" s="29" t="s">
        <v>34</v>
      </c>
      <c r="P205" s="24"/>
      <c r="Q205" s="63">
        <v>7</v>
      </c>
      <c r="R205" s="25"/>
      <c r="S205" s="25">
        <v>1.5658463933432032E-4</v>
      </c>
      <c r="T205" s="25">
        <v>760000000</v>
      </c>
      <c r="U205" s="24">
        <v>2955</v>
      </c>
      <c r="V205" s="25">
        <v>1.7919999999999998E-2</v>
      </c>
      <c r="W205" s="25">
        <v>2.3040000000000001E-2</v>
      </c>
      <c r="X205" s="25">
        <v>0.54900000000000004</v>
      </c>
      <c r="Y205" s="24">
        <v>29.6</v>
      </c>
      <c r="Z205" s="24">
        <v>1075</v>
      </c>
      <c r="AA205" s="24">
        <f t="shared" si="73"/>
        <v>400</v>
      </c>
      <c r="AB205" s="63">
        <f t="shared" si="74"/>
        <v>0.82189116447904176</v>
      </c>
      <c r="AC205" s="63">
        <f t="shared" si="78"/>
        <v>203.4992501927677</v>
      </c>
      <c r="AD205" s="63">
        <v>1000</v>
      </c>
      <c r="AE205" s="63">
        <f t="shared" si="79"/>
        <v>930.23255813953483</v>
      </c>
      <c r="AF205" s="63">
        <f t="shared" si="66"/>
        <v>796.5007498072323</v>
      </c>
      <c r="AG205" s="64">
        <v>1</v>
      </c>
      <c r="AH205" s="64">
        <v>3.9140230200000001</v>
      </c>
      <c r="AI205" s="64">
        <f t="shared" si="70"/>
        <v>0.79650074980723229</v>
      </c>
      <c r="AJ205" s="63">
        <f t="shared" si="80"/>
        <v>242.23923535873055</v>
      </c>
      <c r="AK205" s="63">
        <f t="shared" si="81"/>
        <v>187.78235299126399</v>
      </c>
      <c r="AL205" s="63">
        <f t="shared" si="69"/>
        <v>38.739985165962857</v>
      </c>
      <c r="AM205" s="64">
        <f>3/17</f>
        <v>0.17647058823529413</v>
      </c>
      <c r="AN205" s="64">
        <f>AM205/(AM205+1)</f>
        <v>0.15</v>
      </c>
      <c r="AO205" s="64">
        <f>(AP205-AM205)/(AH205-AM205)</f>
        <v>3.718634298367171E-3</v>
      </c>
      <c r="AP205" s="64">
        <v>0.19036917889999999</v>
      </c>
      <c r="AQ205" s="64">
        <f t="shared" si="77"/>
        <v>0.15992448584389335</v>
      </c>
      <c r="AR205" s="29" t="s">
        <v>34</v>
      </c>
    </row>
    <row r="206" spans="1:44" ht="15" hidden="1" customHeight="1" x14ac:dyDescent="0.25">
      <c r="A206" s="3">
        <v>205</v>
      </c>
      <c r="B206" s="3">
        <v>1999</v>
      </c>
      <c r="C206" s="27" t="s">
        <v>133</v>
      </c>
      <c r="D206" s="3">
        <v>1</v>
      </c>
      <c r="E206" s="11">
        <v>43</v>
      </c>
      <c r="F206" s="30">
        <v>2</v>
      </c>
      <c r="G206" s="54">
        <v>50</v>
      </c>
      <c r="H206" s="54">
        <v>16</v>
      </c>
      <c r="I206" s="11">
        <v>42</v>
      </c>
      <c r="J206" s="47">
        <v>9.4500000000000001E-2</v>
      </c>
      <c r="K206" s="27" t="s">
        <v>306</v>
      </c>
      <c r="L206" s="27" t="s">
        <v>36</v>
      </c>
      <c r="M206" s="27" t="s">
        <v>34</v>
      </c>
      <c r="N206" s="27" t="s">
        <v>34</v>
      </c>
      <c r="O206" s="27" t="s">
        <v>34</v>
      </c>
      <c r="P206" s="11"/>
      <c r="Q206" s="47">
        <v>38</v>
      </c>
      <c r="R206" s="4"/>
      <c r="S206" s="4">
        <v>1.0693784522180861E-4</v>
      </c>
      <c r="T206" s="4">
        <v>610000000</v>
      </c>
      <c r="U206" s="11">
        <v>2795</v>
      </c>
      <c r="V206" s="4">
        <v>1.7919999999999998E-2</v>
      </c>
      <c r="W206" s="4">
        <v>2.3040000000000001E-2</v>
      </c>
      <c r="X206" s="4">
        <v>0.54900000000000004</v>
      </c>
      <c r="Y206" s="11">
        <v>29.6</v>
      </c>
      <c r="Z206" s="11">
        <v>1075</v>
      </c>
      <c r="AA206" s="11">
        <f t="shared" si="73"/>
        <v>400</v>
      </c>
      <c r="AB206" s="47">
        <f t="shared" si="74"/>
        <v>0.82189116447904176</v>
      </c>
      <c r="AC206" s="47">
        <f t="shared" si="78"/>
        <v>150</v>
      </c>
      <c r="AD206" s="47">
        <v>1000</v>
      </c>
      <c r="AE206" s="47">
        <f t="shared" si="79"/>
        <v>930.23255813953483</v>
      </c>
      <c r="AF206" s="47">
        <f t="shared" si="66"/>
        <v>850</v>
      </c>
      <c r="AG206" s="53">
        <v>1</v>
      </c>
      <c r="AH206" s="53">
        <f>AI206/(1-AI206)</f>
        <v>5.6666666666666661</v>
      </c>
      <c r="AI206" s="53">
        <v>0.85</v>
      </c>
      <c r="AJ206" s="47">
        <f t="shared" si="80"/>
        <v>221.87176470588236</v>
      </c>
      <c r="AK206" s="47">
        <f t="shared" si="81"/>
        <v>171.9936160510716</v>
      </c>
      <c r="AL206" s="47">
        <f t="shared" si="69"/>
        <v>71.871764705882356</v>
      </c>
      <c r="AM206" s="53">
        <f>AN206/(1-AN206)</f>
        <v>0.17647058823529413</v>
      </c>
      <c r="AN206" s="53">
        <v>0.15</v>
      </c>
      <c r="AO206" s="53">
        <v>5.5129999999999998E-2</v>
      </c>
      <c r="AP206" s="53">
        <f>AO206*(AH206-AM206)+AM206</f>
        <v>0.47914509803921568</v>
      </c>
      <c r="AQ206" s="53">
        <f t="shared" si="77"/>
        <v>0.32393380384005599</v>
      </c>
      <c r="AR206" s="27" t="s">
        <v>34</v>
      </c>
    </row>
    <row r="207" spans="1:44" ht="15" hidden="1" customHeight="1" x14ac:dyDescent="0.25">
      <c r="A207" s="1">
        <v>206</v>
      </c>
      <c r="B207" s="1">
        <v>1999</v>
      </c>
      <c r="C207" s="28" t="s">
        <v>133</v>
      </c>
      <c r="D207" s="1">
        <v>2</v>
      </c>
      <c r="E207" s="8">
        <v>32</v>
      </c>
      <c r="F207" s="31">
        <v>2</v>
      </c>
      <c r="G207" s="57">
        <v>60</v>
      </c>
      <c r="H207" s="57">
        <v>16</v>
      </c>
      <c r="I207" s="8">
        <v>31</v>
      </c>
      <c r="J207" s="51">
        <v>8.0699999999999994E-2</v>
      </c>
      <c r="K207" s="28" t="s">
        <v>306</v>
      </c>
      <c r="L207" s="28" t="s">
        <v>36</v>
      </c>
      <c r="M207" s="28" t="s">
        <v>34</v>
      </c>
      <c r="N207" s="28" t="s">
        <v>34</v>
      </c>
      <c r="O207" s="28" t="s">
        <v>34</v>
      </c>
      <c r="P207" s="8"/>
      <c r="Q207" s="51">
        <v>35</v>
      </c>
      <c r="R207" s="9"/>
      <c r="S207" s="9">
        <v>1.3863599644772996E-4</v>
      </c>
      <c r="T207" s="9">
        <v>610000000</v>
      </c>
      <c r="U207" s="8">
        <v>2795</v>
      </c>
      <c r="V207" s="9">
        <v>1.7919999999999998E-2</v>
      </c>
      <c r="W207" s="9">
        <v>2.3040000000000001E-2</v>
      </c>
      <c r="X207" s="9">
        <v>0.54900000000000004</v>
      </c>
      <c r="Y207" s="8">
        <v>29.6</v>
      </c>
      <c r="Z207" s="8">
        <v>1075</v>
      </c>
      <c r="AA207" s="8">
        <f t="shared" si="73"/>
        <v>400</v>
      </c>
      <c r="AB207" s="51">
        <f t="shared" si="74"/>
        <v>0.82189116447904176</v>
      </c>
      <c r="AC207" s="51">
        <f t="shared" si="78"/>
        <v>150</v>
      </c>
      <c r="AD207" s="51">
        <v>1000</v>
      </c>
      <c r="AE207" s="51">
        <f t="shared" si="79"/>
        <v>930.23255813953483</v>
      </c>
      <c r="AF207" s="51">
        <f t="shared" si="66"/>
        <v>850</v>
      </c>
      <c r="AG207" s="52">
        <v>1</v>
      </c>
      <c r="AH207" s="52">
        <f>AI207/(1-AI207)</f>
        <v>5.6666666666666661</v>
      </c>
      <c r="AI207" s="52">
        <v>0.85</v>
      </c>
      <c r="AJ207" s="51">
        <f t="shared" si="80"/>
        <v>230.52705882352942</v>
      </c>
      <c r="AK207" s="51">
        <f t="shared" si="81"/>
        <v>178.703146374829</v>
      </c>
      <c r="AL207" s="51">
        <f t="shared" si="69"/>
        <v>80.527058823529401</v>
      </c>
      <c r="AM207" s="52">
        <f>AN207/(1-AN207)</f>
        <v>0.17647058823529413</v>
      </c>
      <c r="AN207" s="52">
        <v>0.15</v>
      </c>
      <c r="AO207" s="52">
        <v>6.5640000000000004E-2</v>
      </c>
      <c r="AP207" s="52">
        <f>AO207*(AH207-AM207)+AM207</f>
        <v>0.53684705882352934</v>
      </c>
      <c r="AQ207" s="52">
        <f t="shared" si="77"/>
        <v>0.34931716577867594</v>
      </c>
      <c r="AR207" s="28" t="s">
        <v>34</v>
      </c>
    </row>
    <row r="208" spans="1:44" ht="15" customHeight="1" x14ac:dyDescent="0.25">
      <c r="A208" s="3">
        <v>207</v>
      </c>
      <c r="B208" s="3">
        <v>1999</v>
      </c>
      <c r="C208" s="27" t="s">
        <v>134</v>
      </c>
      <c r="D208" s="3">
        <v>1</v>
      </c>
      <c r="E208" s="11">
        <v>9</v>
      </c>
      <c r="F208" s="30">
        <v>0.5</v>
      </c>
      <c r="G208" s="45">
        <v>60</v>
      </c>
      <c r="H208" s="45">
        <v>27</v>
      </c>
      <c r="I208" s="11">
        <v>177</v>
      </c>
      <c r="J208" s="47">
        <v>0.2089</v>
      </c>
      <c r="K208" s="27" t="s">
        <v>110</v>
      </c>
      <c r="L208" s="27" t="s">
        <v>36</v>
      </c>
      <c r="M208" s="27" t="s">
        <v>289</v>
      </c>
      <c r="N208" s="27">
        <v>50</v>
      </c>
      <c r="O208" s="27">
        <v>30</v>
      </c>
      <c r="P208" s="11"/>
      <c r="Q208" s="47">
        <v>2.5</v>
      </c>
      <c r="R208" s="4"/>
      <c r="S208" s="4">
        <v>1.9141658805886724E-5</v>
      </c>
      <c r="T208" s="4">
        <v>510000000</v>
      </c>
      <c r="U208" s="11">
        <v>3395</v>
      </c>
      <c r="V208" s="4">
        <v>1.7919999999999998E-2</v>
      </c>
      <c r="W208" s="4">
        <v>2.3040000000000001E-2</v>
      </c>
      <c r="X208" s="4">
        <v>0.54900000000000004</v>
      </c>
      <c r="Y208" s="11">
        <v>29.6</v>
      </c>
      <c r="Z208" s="11">
        <v>1075</v>
      </c>
      <c r="AA208" s="11">
        <f t="shared" si="73"/>
        <v>400</v>
      </c>
      <c r="AB208" s="47">
        <f t="shared" si="74"/>
        <v>0.82189116447904176</v>
      </c>
      <c r="AC208" s="47">
        <f t="shared" si="78"/>
        <v>226.24690324551182</v>
      </c>
      <c r="AD208" s="47">
        <v>1000</v>
      </c>
      <c r="AE208" s="47">
        <f t="shared" si="79"/>
        <v>930.23255813953483</v>
      </c>
      <c r="AF208" s="47">
        <f t="shared" si="66"/>
        <v>773.75309675448818</v>
      </c>
      <c r="AG208" s="53">
        <v>1</v>
      </c>
      <c r="AH208" s="53">
        <v>3.41995</v>
      </c>
      <c r="AI208" s="53">
        <f t="shared" ref="AI208:AI239" si="84">AH208/(AH208+1)</f>
        <v>0.77375309675448822</v>
      </c>
      <c r="AJ208" s="47">
        <f t="shared" si="80"/>
        <v>289.53494949037884</v>
      </c>
      <c r="AK208" s="47">
        <f t="shared" si="81"/>
        <v>224.44569727936346</v>
      </c>
      <c r="AL208" s="47">
        <f t="shared" si="69"/>
        <v>63.288046244867019</v>
      </c>
      <c r="AM208" s="53">
        <f t="shared" ref="AM208:AM219" si="85">AP208</f>
        <v>0.27972999999999998</v>
      </c>
      <c r="AN208" s="53">
        <f t="shared" ref="AN208:AN239" si="86">AM208/(AM208+1)</f>
        <v>0.21858517030936211</v>
      </c>
      <c r="AO208" s="53">
        <v>0</v>
      </c>
      <c r="AP208" s="53">
        <v>0.27972999999999998</v>
      </c>
      <c r="AQ208" s="53">
        <f t="shared" si="77"/>
        <v>0.21858517030936211</v>
      </c>
      <c r="AR208" s="27" t="s">
        <v>135</v>
      </c>
    </row>
    <row r="209" spans="1:44" ht="15" customHeight="1" x14ac:dyDescent="0.25">
      <c r="A209" s="76">
        <v>208</v>
      </c>
      <c r="B209" s="76">
        <v>1999</v>
      </c>
      <c r="C209" s="77" t="s">
        <v>134</v>
      </c>
      <c r="D209" s="76">
        <v>2</v>
      </c>
      <c r="E209" s="78">
        <v>13</v>
      </c>
      <c r="F209" s="79">
        <v>0.25</v>
      </c>
      <c r="G209" s="80">
        <v>60</v>
      </c>
      <c r="H209" s="80">
        <v>27</v>
      </c>
      <c r="I209" s="78">
        <v>250</v>
      </c>
      <c r="J209" s="81">
        <v>0.48149999999999998</v>
      </c>
      <c r="K209" s="77" t="s">
        <v>110</v>
      </c>
      <c r="L209" s="77" t="s">
        <v>36</v>
      </c>
      <c r="M209" s="77" t="s">
        <v>289</v>
      </c>
      <c r="N209" s="77">
        <v>50</v>
      </c>
      <c r="O209" s="77">
        <v>30</v>
      </c>
      <c r="P209" s="78"/>
      <c r="Q209" s="81">
        <v>2</v>
      </c>
      <c r="R209" s="82"/>
      <c r="S209" s="82">
        <v>1.9141658805886724E-5</v>
      </c>
      <c r="T209" s="82">
        <v>510000000</v>
      </c>
      <c r="U209" s="78">
        <v>3395</v>
      </c>
      <c r="V209" s="82">
        <v>1.7919999999999998E-2</v>
      </c>
      <c r="W209" s="82">
        <v>2.3040000000000001E-2</v>
      </c>
      <c r="X209" s="82">
        <v>0.54900000000000004</v>
      </c>
      <c r="Y209" s="78">
        <v>29.6</v>
      </c>
      <c r="Z209" s="78">
        <v>1075</v>
      </c>
      <c r="AA209" s="78">
        <f t="shared" si="73"/>
        <v>400</v>
      </c>
      <c r="AB209" s="81">
        <f t="shared" si="74"/>
        <v>0.82189116447904176</v>
      </c>
      <c r="AC209" s="81">
        <f t="shared" si="78"/>
        <v>190.23775915138742</v>
      </c>
      <c r="AD209" s="81">
        <v>1000</v>
      </c>
      <c r="AE209" s="81">
        <f t="shared" si="79"/>
        <v>930.23255813953483</v>
      </c>
      <c r="AF209" s="81">
        <f t="shared" si="66"/>
        <v>809.76224084861258</v>
      </c>
      <c r="AG209" s="83">
        <v>1</v>
      </c>
      <c r="AH209" s="83">
        <v>4.2565799999999996</v>
      </c>
      <c r="AI209" s="83">
        <f t="shared" si="84"/>
        <v>0.80976224084861259</v>
      </c>
      <c r="AJ209" s="81">
        <f t="shared" si="80"/>
        <v>228.54403433411079</v>
      </c>
      <c r="AK209" s="81">
        <f t="shared" si="81"/>
        <v>177.16591808845797</v>
      </c>
      <c r="AL209" s="81">
        <f t="shared" si="69"/>
        <v>38.306275182723375</v>
      </c>
      <c r="AM209" s="83">
        <f t="shared" si="85"/>
        <v>0.20136000000000001</v>
      </c>
      <c r="AN209" s="83">
        <f t="shared" si="86"/>
        <v>0.16761004195245391</v>
      </c>
      <c r="AO209" s="83">
        <v>0</v>
      </c>
      <c r="AP209" s="83">
        <v>0.20136000000000001</v>
      </c>
      <c r="AQ209" s="83">
        <f t="shared" si="77"/>
        <v>0.16761004195245391</v>
      </c>
      <c r="AR209" s="77" t="s">
        <v>136</v>
      </c>
    </row>
    <row r="210" spans="1:44" ht="15" customHeight="1" x14ac:dyDescent="0.25">
      <c r="A210" s="76">
        <v>209</v>
      </c>
      <c r="B210" s="76">
        <v>1999</v>
      </c>
      <c r="C210" s="77" t="s">
        <v>134</v>
      </c>
      <c r="D210" s="76">
        <v>3</v>
      </c>
      <c r="E210" s="78">
        <v>17</v>
      </c>
      <c r="F210" s="79">
        <v>0.1</v>
      </c>
      <c r="G210" s="80">
        <v>60</v>
      </c>
      <c r="H210" s="80">
        <v>27</v>
      </c>
      <c r="I210" s="78">
        <v>345</v>
      </c>
      <c r="J210" s="81">
        <v>0.92420000000000002</v>
      </c>
      <c r="K210" s="77" t="s">
        <v>110</v>
      </c>
      <c r="L210" s="77" t="s">
        <v>36</v>
      </c>
      <c r="M210" s="77" t="s">
        <v>289</v>
      </c>
      <c r="N210" s="77">
        <v>50</v>
      </c>
      <c r="O210" s="77">
        <v>30</v>
      </c>
      <c r="P210" s="78"/>
      <c r="Q210" s="81">
        <v>1.5</v>
      </c>
      <c r="R210" s="82"/>
      <c r="S210" s="82">
        <v>1.9141658805886724E-5</v>
      </c>
      <c r="T210" s="82">
        <v>510000000</v>
      </c>
      <c r="U210" s="78">
        <v>3395</v>
      </c>
      <c r="V210" s="82">
        <v>1.7919999999999998E-2</v>
      </c>
      <c r="W210" s="82">
        <v>2.3040000000000001E-2</v>
      </c>
      <c r="X210" s="82">
        <v>0.54900000000000004</v>
      </c>
      <c r="Y210" s="78">
        <v>29.6</v>
      </c>
      <c r="Z210" s="78">
        <v>1075</v>
      </c>
      <c r="AA210" s="78">
        <f t="shared" si="73"/>
        <v>400</v>
      </c>
      <c r="AB210" s="81">
        <f t="shared" si="74"/>
        <v>0.82189116447904176</v>
      </c>
      <c r="AC210" s="81">
        <f t="shared" si="78"/>
        <v>190.00245103161831</v>
      </c>
      <c r="AD210" s="81">
        <v>1000</v>
      </c>
      <c r="AE210" s="81">
        <f t="shared" si="79"/>
        <v>930.23255813953483</v>
      </c>
      <c r="AF210" s="81">
        <f t="shared" si="66"/>
        <v>809.99754896838169</v>
      </c>
      <c r="AG210" s="83">
        <v>1</v>
      </c>
      <c r="AH210" s="83">
        <v>4.26309</v>
      </c>
      <c r="AI210" s="83">
        <f t="shared" si="84"/>
        <v>0.80999754896838172</v>
      </c>
      <c r="AJ210" s="81">
        <f t="shared" si="80"/>
        <v>246.64408170865403</v>
      </c>
      <c r="AK210" s="81">
        <f t="shared" si="81"/>
        <v>191.19696256484809</v>
      </c>
      <c r="AL210" s="81">
        <f t="shared" si="69"/>
        <v>56.641630677035735</v>
      </c>
      <c r="AM210" s="83">
        <f t="shared" si="85"/>
        <v>0.29810999999999999</v>
      </c>
      <c r="AN210" s="83">
        <f t="shared" si="86"/>
        <v>0.22964925930776284</v>
      </c>
      <c r="AO210" s="83">
        <v>0</v>
      </c>
      <c r="AP210" s="83">
        <v>0.29810999999999999</v>
      </c>
      <c r="AQ210" s="83">
        <f t="shared" si="77"/>
        <v>0.22964925930776284</v>
      </c>
      <c r="AR210" s="77" t="s">
        <v>137</v>
      </c>
    </row>
    <row r="211" spans="1:44" ht="15" customHeight="1" x14ac:dyDescent="0.25">
      <c r="A211" s="1">
        <v>210</v>
      </c>
      <c r="B211" s="1">
        <v>1999</v>
      </c>
      <c r="C211" s="28" t="s">
        <v>134</v>
      </c>
      <c r="D211" s="1">
        <v>4</v>
      </c>
      <c r="E211" s="8">
        <v>17</v>
      </c>
      <c r="F211" s="31">
        <v>0.1</v>
      </c>
      <c r="G211" s="49">
        <v>60</v>
      </c>
      <c r="H211" s="49">
        <v>27</v>
      </c>
      <c r="I211" s="8">
        <v>342</v>
      </c>
      <c r="J211" s="51">
        <v>0.17230000000000001</v>
      </c>
      <c r="K211" s="28" t="s">
        <v>110</v>
      </c>
      <c r="L211" s="28" t="s">
        <v>36</v>
      </c>
      <c r="M211" s="28" t="s">
        <v>289</v>
      </c>
      <c r="N211" s="28">
        <v>50</v>
      </c>
      <c r="O211" s="28">
        <v>30</v>
      </c>
      <c r="P211" s="8"/>
      <c r="Q211" s="51">
        <v>1.3</v>
      </c>
      <c r="R211" s="9"/>
      <c r="S211" s="9">
        <v>1.9141658805886724E-5</v>
      </c>
      <c r="T211" s="9">
        <v>510000000</v>
      </c>
      <c r="U211" s="8">
        <v>3395</v>
      </c>
      <c r="V211" s="9">
        <v>1.7919999999999998E-2</v>
      </c>
      <c r="W211" s="9">
        <v>2.3040000000000001E-2</v>
      </c>
      <c r="X211" s="9">
        <v>0.54900000000000004</v>
      </c>
      <c r="Y211" s="8">
        <v>29.6</v>
      </c>
      <c r="Z211" s="8">
        <v>1075</v>
      </c>
      <c r="AA211" s="8">
        <f t="shared" si="73"/>
        <v>400</v>
      </c>
      <c r="AB211" s="51">
        <f t="shared" si="74"/>
        <v>0.82189116447904176</v>
      </c>
      <c r="AC211" s="51">
        <f t="shared" si="78"/>
        <v>212.93539965845162</v>
      </c>
      <c r="AD211" s="51">
        <v>1000</v>
      </c>
      <c r="AE211" s="51">
        <f t="shared" si="79"/>
        <v>930.23255813953483</v>
      </c>
      <c r="AF211" s="51">
        <f t="shared" si="66"/>
        <v>787.06460034154838</v>
      </c>
      <c r="AG211" s="52">
        <v>1</v>
      </c>
      <c r="AH211" s="52">
        <v>3.6962600000000001</v>
      </c>
      <c r="AI211" s="52">
        <f t="shared" si="84"/>
        <v>0.78706460034154835</v>
      </c>
      <c r="AJ211" s="51">
        <f t="shared" si="80"/>
        <v>313.34934607538764</v>
      </c>
      <c r="AK211" s="51">
        <f t="shared" si="81"/>
        <v>242.90646982588191</v>
      </c>
      <c r="AL211" s="51">
        <f t="shared" si="69"/>
        <v>100.41394641693603</v>
      </c>
      <c r="AM211" s="52">
        <f t="shared" si="85"/>
        <v>0.47156999999999999</v>
      </c>
      <c r="AN211" s="52">
        <f t="shared" si="86"/>
        <v>0.3204536651331571</v>
      </c>
      <c r="AO211" s="52">
        <v>0</v>
      </c>
      <c r="AP211" s="52">
        <v>0.47156999999999999</v>
      </c>
      <c r="AQ211" s="52">
        <f t="shared" si="77"/>
        <v>0.3204536651331571</v>
      </c>
      <c r="AR211" s="28" t="s">
        <v>138</v>
      </c>
    </row>
    <row r="212" spans="1:44" ht="15" customHeight="1" x14ac:dyDescent="0.25">
      <c r="A212" s="3">
        <v>211</v>
      </c>
      <c r="B212" s="3">
        <v>1999</v>
      </c>
      <c r="C212" s="27" t="s">
        <v>139</v>
      </c>
      <c r="D212" s="3">
        <v>1</v>
      </c>
      <c r="E212" s="11">
        <v>9</v>
      </c>
      <c r="F212" s="30">
        <v>0.5</v>
      </c>
      <c r="G212" s="58">
        <v>60</v>
      </c>
      <c r="H212" s="58">
        <v>29</v>
      </c>
      <c r="I212" s="11">
        <v>8</v>
      </c>
      <c r="J212" s="47">
        <v>0.1052</v>
      </c>
      <c r="K212" s="27" t="s">
        <v>306</v>
      </c>
      <c r="L212" s="27" t="s">
        <v>36</v>
      </c>
      <c r="M212" s="27" t="s">
        <v>289</v>
      </c>
      <c r="N212" s="27">
        <v>25</v>
      </c>
      <c r="O212" s="27">
        <v>180</v>
      </c>
      <c r="P212" s="11"/>
      <c r="Q212" s="47">
        <v>133.5</v>
      </c>
      <c r="R212" s="4"/>
      <c r="S212" s="4">
        <v>2.341427307145147E-4</v>
      </c>
      <c r="T212" s="4">
        <v>830000000</v>
      </c>
      <c r="U212" s="11">
        <v>2723</v>
      </c>
      <c r="V212" s="4">
        <v>1.7919999999999998E-2</v>
      </c>
      <c r="W212" s="4">
        <v>2.3040000000000001E-2</v>
      </c>
      <c r="X212" s="4">
        <v>0.14899999999999999</v>
      </c>
      <c r="Y212" s="11">
        <v>29.6</v>
      </c>
      <c r="Z212" s="11">
        <v>1075</v>
      </c>
      <c r="AA212" s="11">
        <f t="shared" ref="AA212:AA234" si="87">INT(AD212/2.5)</f>
        <v>30</v>
      </c>
      <c r="AB212" s="47">
        <f t="shared" si="74"/>
        <v>0.82913286946170273</v>
      </c>
      <c r="AC212" s="47">
        <f t="shared" si="78"/>
        <v>22.394136807817588</v>
      </c>
      <c r="AD212" s="47">
        <v>77</v>
      </c>
      <c r="AE212" s="47">
        <f t="shared" si="79"/>
        <v>71.627906976744185</v>
      </c>
      <c r="AF212" s="47">
        <f t="shared" si="66"/>
        <v>54.605863192182412</v>
      </c>
      <c r="AG212" s="53">
        <v>1</v>
      </c>
      <c r="AH212" s="53">
        <v>2.4384000000000001</v>
      </c>
      <c r="AI212" s="53">
        <f t="shared" si="84"/>
        <v>0.70916705444392747</v>
      </c>
      <c r="AJ212" s="47">
        <f t="shared" si="80"/>
        <v>24.794788273615634</v>
      </c>
      <c r="AK212" s="47">
        <f t="shared" si="81"/>
        <v>19.220766103578011</v>
      </c>
      <c r="AL212" s="47">
        <f t="shared" si="69"/>
        <v>2.4006514657980458</v>
      </c>
      <c r="AM212" s="53">
        <f t="shared" si="85"/>
        <v>0.1072</v>
      </c>
      <c r="AN212" s="53">
        <f t="shared" si="86"/>
        <v>9.682080924855492E-2</v>
      </c>
      <c r="AO212" s="53">
        <v>0</v>
      </c>
      <c r="AP212" s="53">
        <v>0.1072</v>
      </c>
      <c r="AQ212" s="53">
        <f t="shared" si="77"/>
        <v>9.682080924855492E-2</v>
      </c>
      <c r="AR212" s="27" t="s">
        <v>338</v>
      </c>
    </row>
    <row r="213" spans="1:44" ht="15" customHeight="1" x14ac:dyDescent="0.25">
      <c r="A213" s="76">
        <v>212</v>
      </c>
      <c r="B213" s="76">
        <v>1999</v>
      </c>
      <c r="C213" s="77" t="s">
        <v>139</v>
      </c>
      <c r="D213" s="76">
        <v>2</v>
      </c>
      <c r="E213" s="78">
        <v>27</v>
      </c>
      <c r="F213" s="79">
        <v>0.5</v>
      </c>
      <c r="G213" s="75">
        <v>60</v>
      </c>
      <c r="H213" s="75">
        <v>29</v>
      </c>
      <c r="I213" s="78">
        <v>26</v>
      </c>
      <c r="J213" s="81">
        <v>1.83E-2</v>
      </c>
      <c r="K213" s="77" t="s">
        <v>306</v>
      </c>
      <c r="L213" s="77" t="s">
        <v>36</v>
      </c>
      <c r="M213" s="77" t="s">
        <v>289</v>
      </c>
      <c r="N213" s="77">
        <v>25</v>
      </c>
      <c r="O213" s="77">
        <v>180</v>
      </c>
      <c r="P213" s="78"/>
      <c r="Q213" s="81">
        <v>39.5</v>
      </c>
      <c r="R213" s="82"/>
      <c r="S213" s="82">
        <v>2.341427307145147E-4</v>
      </c>
      <c r="T213" s="82">
        <v>830000000</v>
      </c>
      <c r="U213" s="78">
        <v>2723</v>
      </c>
      <c r="V213" s="82">
        <v>1.7919999999999998E-2</v>
      </c>
      <c r="W213" s="82">
        <v>2.3040000000000001E-2</v>
      </c>
      <c r="X213" s="82">
        <v>0.14899999999999999</v>
      </c>
      <c r="Y213" s="78">
        <v>29.6</v>
      </c>
      <c r="Z213" s="78">
        <v>1075</v>
      </c>
      <c r="AA213" s="78">
        <f t="shared" si="87"/>
        <v>30</v>
      </c>
      <c r="AB213" s="81">
        <f t="shared" si="74"/>
        <v>0.82913286946170273</v>
      </c>
      <c r="AC213" s="81">
        <f t="shared" si="78"/>
        <v>16.189735287315244</v>
      </c>
      <c r="AD213" s="81">
        <v>77</v>
      </c>
      <c r="AE213" s="81">
        <f t="shared" si="79"/>
        <v>71.627906976744185</v>
      </c>
      <c r="AF213" s="81">
        <f t="shared" si="66"/>
        <v>60.810264712684756</v>
      </c>
      <c r="AG213" s="83">
        <v>1</v>
      </c>
      <c r="AH213" s="83">
        <v>3.7561</v>
      </c>
      <c r="AI213" s="83">
        <f t="shared" si="84"/>
        <v>0.78974369756733453</v>
      </c>
      <c r="AJ213" s="81">
        <f t="shared" si="80"/>
        <v>18.521057168688639</v>
      </c>
      <c r="AK213" s="81">
        <f t="shared" si="81"/>
        <v>14.357408657898171</v>
      </c>
      <c r="AL213" s="81">
        <f t="shared" si="69"/>
        <v>2.3313218813733951</v>
      </c>
      <c r="AM213" s="83">
        <f t="shared" si="85"/>
        <v>0.14399999999999999</v>
      </c>
      <c r="AN213" s="83">
        <f t="shared" si="86"/>
        <v>0.12587412587412589</v>
      </c>
      <c r="AO213" s="83">
        <v>0</v>
      </c>
      <c r="AP213" s="83">
        <v>0.14399999999999999</v>
      </c>
      <c r="AQ213" s="83">
        <f t="shared" si="77"/>
        <v>0.12587412587412589</v>
      </c>
      <c r="AR213" s="77" t="s">
        <v>140</v>
      </c>
    </row>
    <row r="214" spans="1:44" ht="15" customHeight="1" x14ac:dyDescent="0.25">
      <c r="A214" s="76">
        <v>213</v>
      </c>
      <c r="B214" s="76">
        <v>1999</v>
      </c>
      <c r="C214" s="77" t="s">
        <v>139</v>
      </c>
      <c r="D214" s="76">
        <v>3</v>
      </c>
      <c r="E214" s="78">
        <v>28</v>
      </c>
      <c r="F214" s="79">
        <v>0.5</v>
      </c>
      <c r="G214" s="75">
        <v>60</v>
      </c>
      <c r="H214" s="75">
        <v>29</v>
      </c>
      <c r="I214" s="78">
        <v>27</v>
      </c>
      <c r="J214" s="81">
        <v>2.46E-2</v>
      </c>
      <c r="K214" s="77" t="s">
        <v>306</v>
      </c>
      <c r="L214" s="77" t="s">
        <v>36</v>
      </c>
      <c r="M214" s="77" t="s">
        <v>289</v>
      </c>
      <c r="N214" s="77">
        <v>25</v>
      </c>
      <c r="O214" s="77">
        <v>180</v>
      </c>
      <c r="P214" s="78"/>
      <c r="Q214" s="81">
        <v>37.5</v>
      </c>
      <c r="R214" s="82"/>
      <c r="S214" s="82">
        <v>2.341427307145147E-4</v>
      </c>
      <c r="T214" s="82">
        <v>830000000</v>
      </c>
      <c r="U214" s="78">
        <v>2723</v>
      </c>
      <c r="V214" s="82">
        <v>1.7919999999999998E-2</v>
      </c>
      <c r="W214" s="82">
        <v>2.3040000000000001E-2</v>
      </c>
      <c r="X214" s="82">
        <v>0.14899999999999999</v>
      </c>
      <c r="Y214" s="78">
        <v>29.6</v>
      </c>
      <c r="Z214" s="78">
        <v>1075</v>
      </c>
      <c r="AA214" s="78">
        <f t="shared" si="87"/>
        <v>30</v>
      </c>
      <c r="AB214" s="81">
        <f t="shared" si="74"/>
        <v>0.82913286946170273</v>
      </c>
      <c r="AC214" s="81">
        <f t="shared" si="78"/>
        <v>16.439643024894316</v>
      </c>
      <c r="AD214" s="81">
        <v>77</v>
      </c>
      <c r="AE214" s="81">
        <f t="shared" si="79"/>
        <v>71.627906976744185</v>
      </c>
      <c r="AF214" s="81">
        <f t="shared" si="66"/>
        <v>60.560356975105684</v>
      </c>
      <c r="AG214" s="83">
        <v>1</v>
      </c>
      <c r="AH214" s="83">
        <v>3.6838000000000002</v>
      </c>
      <c r="AI214" s="83">
        <f t="shared" si="84"/>
        <v>0.78649814253384009</v>
      </c>
      <c r="AJ214" s="81">
        <f t="shared" si="80"/>
        <v>18.971348050728039</v>
      </c>
      <c r="AK214" s="81">
        <f t="shared" si="81"/>
        <v>14.70647135715352</v>
      </c>
      <c r="AL214" s="81">
        <f t="shared" si="69"/>
        <v>2.5317050258337246</v>
      </c>
      <c r="AM214" s="83">
        <f t="shared" si="85"/>
        <v>0.154</v>
      </c>
      <c r="AN214" s="83">
        <f t="shared" si="86"/>
        <v>0.13344887348353554</v>
      </c>
      <c r="AO214" s="83">
        <v>0</v>
      </c>
      <c r="AP214" s="83">
        <v>0.154</v>
      </c>
      <c r="AQ214" s="83">
        <f t="shared" si="77"/>
        <v>0.13344887348353554</v>
      </c>
      <c r="AR214" s="77" t="s">
        <v>58</v>
      </c>
    </row>
    <row r="215" spans="1:44" ht="15" customHeight="1" x14ac:dyDescent="0.25">
      <c r="A215" s="76">
        <v>214</v>
      </c>
      <c r="B215" s="76">
        <v>1999</v>
      </c>
      <c r="C215" s="77" t="s">
        <v>139</v>
      </c>
      <c r="D215" s="76">
        <v>4</v>
      </c>
      <c r="E215" s="78">
        <v>31</v>
      </c>
      <c r="F215" s="79">
        <v>0.5</v>
      </c>
      <c r="G215" s="75">
        <v>60</v>
      </c>
      <c r="H215" s="75">
        <v>29</v>
      </c>
      <c r="I215" s="78">
        <v>30</v>
      </c>
      <c r="J215" s="81">
        <v>6.2799999999999995E-2</v>
      </c>
      <c r="K215" s="77" t="s">
        <v>306</v>
      </c>
      <c r="L215" s="77" t="s">
        <v>36</v>
      </c>
      <c r="M215" s="77" t="s">
        <v>289</v>
      </c>
      <c r="N215" s="77">
        <v>25</v>
      </c>
      <c r="O215" s="77">
        <v>180</v>
      </c>
      <c r="P215" s="78"/>
      <c r="Q215" s="81">
        <v>34</v>
      </c>
      <c r="R215" s="82"/>
      <c r="S215" s="82">
        <v>2.341427307145147E-4</v>
      </c>
      <c r="T215" s="82">
        <v>830000000</v>
      </c>
      <c r="U215" s="78">
        <v>2723</v>
      </c>
      <c r="V215" s="82">
        <v>1.7919999999999998E-2</v>
      </c>
      <c r="W215" s="82">
        <v>2.3040000000000001E-2</v>
      </c>
      <c r="X215" s="82">
        <v>0.14899999999999999</v>
      </c>
      <c r="Y215" s="78">
        <v>29.6</v>
      </c>
      <c r="Z215" s="78">
        <v>1075</v>
      </c>
      <c r="AA215" s="78">
        <f t="shared" si="87"/>
        <v>30</v>
      </c>
      <c r="AB215" s="81">
        <f t="shared" si="74"/>
        <v>0.82913286946170273</v>
      </c>
      <c r="AC215" s="81">
        <f t="shared" si="78"/>
        <v>16.249525176212387</v>
      </c>
      <c r="AD215" s="81">
        <v>77</v>
      </c>
      <c r="AE215" s="81">
        <f t="shared" si="79"/>
        <v>71.627906976744185</v>
      </c>
      <c r="AF215" s="81">
        <f t="shared" si="66"/>
        <v>60.750474823787613</v>
      </c>
      <c r="AG215" s="83">
        <v>1</v>
      </c>
      <c r="AH215" s="83">
        <v>3.7385999999999999</v>
      </c>
      <c r="AI215" s="83">
        <f t="shared" si="84"/>
        <v>0.78896720550373522</v>
      </c>
      <c r="AJ215" s="81">
        <f t="shared" si="80"/>
        <v>18.654454902291821</v>
      </c>
      <c r="AK215" s="81">
        <f t="shared" si="81"/>
        <v>14.46081775371459</v>
      </c>
      <c r="AL215" s="81">
        <f t="shared" si="69"/>
        <v>2.4049297260794331</v>
      </c>
      <c r="AM215" s="83">
        <f t="shared" si="85"/>
        <v>0.14799999999999999</v>
      </c>
      <c r="AN215" s="83">
        <f t="shared" si="86"/>
        <v>0.1289198606271777</v>
      </c>
      <c r="AO215" s="83">
        <v>0</v>
      </c>
      <c r="AP215" s="83">
        <v>0.14799999999999999</v>
      </c>
      <c r="AQ215" s="83">
        <f t="shared" si="77"/>
        <v>0.1289198606271777</v>
      </c>
      <c r="AR215" s="77" t="s">
        <v>57</v>
      </c>
    </row>
    <row r="216" spans="1:44" ht="15" hidden="1" customHeight="1" x14ac:dyDescent="0.25">
      <c r="A216" s="76">
        <v>215</v>
      </c>
      <c r="B216" s="76">
        <v>1999</v>
      </c>
      <c r="C216" s="77" t="s">
        <v>139</v>
      </c>
      <c r="D216" s="76">
        <v>5</v>
      </c>
      <c r="E216" s="78">
        <v>47</v>
      </c>
      <c r="F216" s="79">
        <v>0.5</v>
      </c>
      <c r="G216" s="75">
        <v>60</v>
      </c>
      <c r="H216" s="75">
        <v>29</v>
      </c>
      <c r="I216" s="78">
        <v>46</v>
      </c>
      <c r="J216" s="81">
        <v>3.95E-2</v>
      </c>
      <c r="K216" s="77" t="s">
        <v>306</v>
      </c>
      <c r="L216" s="77" t="s">
        <v>36</v>
      </c>
      <c r="M216" s="77" t="s">
        <v>34</v>
      </c>
      <c r="N216" s="77" t="s">
        <v>34</v>
      </c>
      <c r="O216" s="77" t="s">
        <v>34</v>
      </c>
      <c r="P216" s="78"/>
      <c r="Q216" s="81">
        <v>16</v>
      </c>
      <c r="R216" s="82"/>
      <c r="S216" s="82">
        <v>2.341427307145147E-4</v>
      </c>
      <c r="T216" s="82">
        <v>830000000</v>
      </c>
      <c r="U216" s="78">
        <v>2723</v>
      </c>
      <c r="V216" s="82">
        <v>1.7919999999999998E-2</v>
      </c>
      <c r="W216" s="82">
        <v>2.3040000000000001E-2</v>
      </c>
      <c r="X216" s="82">
        <v>0.14899999999999999</v>
      </c>
      <c r="Y216" s="78">
        <v>29.6</v>
      </c>
      <c r="Z216" s="78">
        <v>1075</v>
      </c>
      <c r="AA216" s="78">
        <f t="shared" si="87"/>
        <v>30</v>
      </c>
      <c r="AB216" s="81">
        <f t="shared" si="74"/>
        <v>0.82913286946170273</v>
      </c>
      <c r="AC216" s="81">
        <f t="shared" si="78"/>
        <v>15.644047135310856</v>
      </c>
      <c r="AD216" s="81">
        <v>77</v>
      </c>
      <c r="AE216" s="81">
        <f t="shared" si="79"/>
        <v>71.627906976744185</v>
      </c>
      <c r="AF216" s="81">
        <f t="shared" si="66"/>
        <v>61.355952864689144</v>
      </c>
      <c r="AG216" s="83">
        <v>1</v>
      </c>
      <c r="AH216" s="83">
        <v>3.9220000000000002</v>
      </c>
      <c r="AI216" s="83">
        <f t="shared" si="84"/>
        <v>0.7968305566842746</v>
      </c>
      <c r="AJ216" s="81">
        <f t="shared" si="80"/>
        <v>18.125193010971159</v>
      </c>
      <c r="AK216" s="81">
        <f t="shared" si="81"/>
        <v>14.050537217807101</v>
      </c>
      <c r="AL216" s="81">
        <f t="shared" si="69"/>
        <v>2.4811458756603018</v>
      </c>
      <c r="AM216" s="83">
        <f t="shared" si="85"/>
        <v>0.15859999999999999</v>
      </c>
      <c r="AN216" s="83">
        <f t="shared" si="86"/>
        <v>0.1368893492145693</v>
      </c>
      <c r="AO216" s="83">
        <v>0</v>
      </c>
      <c r="AP216" s="83">
        <v>0.15859999999999999</v>
      </c>
      <c r="AQ216" s="83">
        <f t="shared" si="77"/>
        <v>0.1368893492145693</v>
      </c>
      <c r="AR216" s="77" t="s">
        <v>34</v>
      </c>
    </row>
    <row r="217" spans="1:44" ht="15" customHeight="1" x14ac:dyDescent="0.25">
      <c r="A217" s="76">
        <v>216</v>
      </c>
      <c r="B217" s="76">
        <v>1999</v>
      </c>
      <c r="C217" s="77" t="s">
        <v>139</v>
      </c>
      <c r="D217" s="76">
        <v>6</v>
      </c>
      <c r="E217" s="78">
        <v>48</v>
      </c>
      <c r="F217" s="79">
        <v>0.5</v>
      </c>
      <c r="G217" s="75">
        <v>50</v>
      </c>
      <c r="H217" s="75">
        <v>47</v>
      </c>
      <c r="I217" s="78">
        <v>47</v>
      </c>
      <c r="J217" s="81">
        <v>0.1046</v>
      </c>
      <c r="K217" s="77" t="s">
        <v>306</v>
      </c>
      <c r="L217" s="77" t="s">
        <v>36</v>
      </c>
      <c r="M217" s="77" t="s">
        <v>289</v>
      </c>
      <c r="N217" s="77">
        <v>25</v>
      </c>
      <c r="O217" s="77">
        <v>180</v>
      </c>
      <c r="P217" s="78"/>
      <c r="Q217" s="81">
        <v>55.5</v>
      </c>
      <c r="R217" s="82"/>
      <c r="S217" s="82">
        <v>1.8181948877765187E-4</v>
      </c>
      <c r="T217" s="82">
        <v>830000000</v>
      </c>
      <c r="U217" s="78">
        <v>2723</v>
      </c>
      <c r="V217" s="82">
        <v>1.7919999999999998E-2</v>
      </c>
      <c r="W217" s="82">
        <v>2.3040000000000001E-2</v>
      </c>
      <c r="X217" s="82">
        <v>0.14899999999999999</v>
      </c>
      <c r="Y217" s="78">
        <v>29.6</v>
      </c>
      <c r="Z217" s="78">
        <v>1075</v>
      </c>
      <c r="AA217" s="78">
        <f t="shared" si="87"/>
        <v>30</v>
      </c>
      <c r="AB217" s="81">
        <f t="shared" si="74"/>
        <v>0.82913286946170273</v>
      </c>
      <c r="AC217" s="81">
        <f t="shared" si="78"/>
        <v>16.189735287315244</v>
      </c>
      <c r="AD217" s="81">
        <v>77</v>
      </c>
      <c r="AE217" s="81">
        <f t="shared" si="79"/>
        <v>71.627906976744185</v>
      </c>
      <c r="AF217" s="81">
        <f t="shared" si="66"/>
        <v>60.810264712684756</v>
      </c>
      <c r="AG217" s="83">
        <v>1</v>
      </c>
      <c r="AH217" s="83">
        <v>3.7561</v>
      </c>
      <c r="AI217" s="83">
        <f t="shared" si="84"/>
        <v>0.78974369756733453</v>
      </c>
      <c r="AJ217" s="81">
        <f t="shared" si="80"/>
        <v>18.757427303883443</v>
      </c>
      <c r="AK217" s="81">
        <f t="shared" si="81"/>
        <v>14.540641320839876</v>
      </c>
      <c r="AL217" s="81">
        <f t="shared" si="69"/>
        <v>2.5676920165681976</v>
      </c>
      <c r="AM217" s="83">
        <f t="shared" si="85"/>
        <v>0.15859999999999999</v>
      </c>
      <c r="AN217" s="83">
        <f t="shared" si="86"/>
        <v>0.1368893492145693</v>
      </c>
      <c r="AO217" s="83">
        <v>0</v>
      </c>
      <c r="AP217" s="83">
        <v>0.15859999999999999</v>
      </c>
      <c r="AQ217" s="83">
        <f t="shared" si="77"/>
        <v>0.1368893492145693</v>
      </c>
      <c r="AR217" s="77" t="s">
        <v>140</v>
      </c>
    </row>
    <row r="218" spans="1:44" ht="15" customHeight="1" x14ac:dyDescent="0.25">
      <c r="A218" s="76">
        <v>217</v>
      </c>
      <c r="B218" s="76">
        <v>1999</v>
      </c>
      <c r="C218" s="77" t="s">
        <v>139</v>
      </c>
      <c r="D218" s="76">
        <v>7</v>
      </c>
      <c r="E218" s="78">
        <v>20</v>
      </c>
      <c r="F218" s="79">
        <v>0.5</v>
      </c>
      <c r="G218" s="75">
        <v>70</v>
      </c>
      <c r="H218" s="75">
        <v>18.600000000000001</v>
      </c>
      <c r="I218" s="78">
        <v>19</v>
      </c>
      <c r="J218" s="81">
        <v>2.9899999999999999E-2</v>
      </c>
      <c r="K218" s="77" t="s">
        <v>306</v>
      </c>
      <c r="L218" s="77" t="s">
        <v>36</v>
      </c>
      <c r="M218" s="77" t="s">
        <v>289</v>
      </c>
      <c r="N218" s="77">
        <v>25</v>
      </c>
      <c r="O218" s="77">
        <v>180</v>
      </c>
      <c r="P218" s="78"/>
      <c r="Q218" s="81">
        <v>35</v>
      </c>
      <c r="R218" s="82"/>
      <c r="S218" s="82">
        <v>2.9711134330243636E-4</v>
      </c>
      <c r="T218" s="82">
        <v>830000000</v>
      </c>
      <c r="U218" s="78">
        <v>2723</v>
      </c>
      <c r="V218" s="82">
        <v>1.7919999999999998E-2</v>
      </c>
      <c r="W218" s="82">
        <v>2.3040000000000001E-2</v>
      </c>
      <c r="X218" s="82">
        <v>0.14899999999999999</v>
      </c>
      <c r="Y218" s="78">
        <v>29.6</v>
      </c>
      <c r="Z218" s="78">
        <v>1075</v>
      </c>
      <c r="AA218" s="78">
        <f t="shared" si="87"/>
        <v>30</v>
      </c>
      <c r="AB218" s="81">
        <f t="shared" ref="AB218:AB249" si="88">POWER(3/(4*PI())*AE218/AA218,1/3)</f>
        <v>0.82913286946170273</v>
      </c>
      <c r="AC218" s="81">
        <f t="shared" si="78"/>
        <v>16.189735287315244</v>
      </c>
      <c r="AD218" s="81">
        <v>77</v>
      </c>
      <c r="AE218" s="81">
        <f t="shared" si="79"/>
        <v>71.627906976744185</v>
      </c>
      <c r="AF218" s="81">
        <f t="shared" si="66"/>
        <v>60.810264712684756</v>
      </c>
      <c r="AG218" s="83">
        <v>1</v>
      </c>
      <c r="AH218" s="83">
        <v>3.7561</v>
      </c>
      <c r="AI218" s="83">
        <f t="shared" si="84"/>
        <v>0.78974369756733453</v>
      </c>
      <c r="AJ218" s="81">
        <f t="shared" si="80"/>
        <v>18.917705683227862</v>
      </c>
      <c r="AK218" s="81">
        <f t="shared" si="81"/>
        <v>14.664888126533226</v>
      </c>
      <c r="AL218" s="81">
        <f t="shared" si="69"/>
        <v>2.7279703959126187</v>
      </c>
      <c r="AM218" s="83">
        <f t="shared" si="85"/>
        <v>0.16850000000000001</v>
      </c>
      <c r="AN218" s="83">
        <f t="shared" si="86"/>
        <v>0.14420196833547283</v>
      </c>
      <c r="AO218" s="83">
        <v>0</v>
      </c>
      <c r="AP218" s="83">
        <v>0.16850000000000001</v>
      </c>
      <c r="AQ218" s="83">
        <f t="shared" si="77"/>
        <v>0.14420196833547283</v>
      </c>
      <c r="AR218" s="77" t="s">
        <v>140</v>
      </c>
    </row>
    <row r="219" spans="1:44" ht="15" customHeight="1" x14ac:dyDescent="0.25">
      <c r="A219" s="1">
        <v>218</v>
      </c>
      <c r="B219" s="1">
        <v>1999</v>
      </c>
      <c r="C219" s="28" t="s">
        <v>139</v>
      </c>
      <c r="D219" s="1">
        <v>8</v>
      </c>
      <c r="E219" s="8">
        <v>11</v>
      </c>
      <c r="F219" s="31">
        <v>0.5</v>
      </c>
      <c r="G219" s="59">
        <v>80</v>
      </c>
      <c r="H219" s="59">
        <v>12.2</v>
      </c>
      <c r="I219" s="8">
        <v>10</v>
      </c>
      <c r="J219" s="51">
        <v>2.5999999999999999E-3</v>
      </c>
      <c r="K219" s="28" t="s">
        <v>306</v>
      </c>
      <c r="L219" s="28" t="s">
        <v>36</v>
      </c>
      <c r="M219" s="28" t="s">
        <v>289</v>
      </c>
      <c r="N219" s="28">
        <v>25</v>
      </c>
      <c r="O219" s="28">
        <v>180</v>
      </c>
      <c r="P219" s="8"/>
      <c r="Q219" s="51">
        <v>39</v>
      </c>
      <c r="R219" s="9"/>
      <c r="S219" s="9">
        <v>3.7196313599198E-4</v>
      </c>
      <c r="T219" s="9">
        <v>830000000</v>
      </c>
      <c r="U219" s="8">
        <v>2723</v>
      </c>
      <c r="V219" s="9">
        <v>1.7919999999999998E-2</v>
      </c>
      <c r="W219" s="9">
        <v>2.3040000000000001E-2</v>
      </c>
      <c r="X219" s="9">
        <v>0.14899999999999999</v>
      </c>
      <c r="Y219" s="8">
        <v>29.6</v>
      </c>
      <c r="Z219" s="8">
        <v>1075</v>
      </c>
      <c r="AA219" s="8">
        <f t="shared" si="87"/>
        <v>30</v>
      </c>
      <c r="AB219" s="51">
        <f t="shared" si="88"/>
        <v>0.82913286946170273</v>
      </c>
      <c r="AC219" s="51">
        <f t="shared" si="78"/>
        <v>16.189735287315244</v>
      </c>
      <c r="AD219" s="51">
        <v>77</v>
      </c>
      <c r="AE219" s="51">
        <f t="shared" si="79"/>
        <v>71.627906976744185</v>
      </c>
      <c r="AF219" s="51">
        <f t="shared" si="66"/>
        <v>60.810264712684756</v>
      </c>
      <c r="AG219" s="52">
        <v>1</v>
      </c>
      <c r="AH219" s="52">
        <v>3.7561</v>
      </c>
      <c r="AI219" s="52">
        <f t="shared" si="84"/>
        <v>0.78974369756733453</v>
      </c>
      <c r="AJ219" s="51">
        <f t="shared" si="80"/>
        <v>18.274973192321447</v>
      </c>
      <c r="AK219" s="51">
        <f t="shared" si="81"/>
        <v>14.1666458855205</v>
      </c>
      <c r="AL219" s="51">
        <f t="shared" si="69"/>
        <v>2.0852379050062031</v>
      </c>
      <c r="AM219" s="52">
        <f t="shared" si="85"/>
        <v>0.1288</v>
      </c>
      <c r="AN219" s="52">
        <f t="shared" si="86"/>
        <v>0.11410347271438695</v>
      </c>
      <c r="AO219" s="52">
        <v>0</v>
      </c>
      <c r="AP219" s="52">
        <v>0.1288</v>
      </c>
      <c r="AQ219" s="52">
        <f t="shared" si="77"/>
        <v>0.11410347271438695</v>
      </c>
      <c r="AR219" s="28" t="s">
        <v>140</v>
      </c>
    </row>
    <row r="220" spans="1:44" ht="15" customHeight="1" x14ac:dyDescent="0.25">
      <c r="A220" s="3">
        <v>219</v>
      </c>
      <c r="B220" s="3">
        <v>1999</v>
      </c>
      <c r="C220" s="27" t="s">
        <v>141</v>
      </c>
      <c r="D220" s="3">
        <v>1</v>
      </c>
      <c r="E220" s="11">
        <v>48</v>
      </c>
      <c r="F220" s="34">
        <v>0.5</v>
      </c>
      <c r="G220" s="58">
        <v>50</v>
      </c>
      <c r="H220" s="58">
        <v>12.5</v>
      </c>
      <c r="I220" s="11">
        <v>47</v>
      </c>
      <c r="J220" s="47">
        <v>8.8000000000000005E-3</v>
      </c>
      <c r="K220" s="27" t="s">
        <v>306</v>
      </c>
      <c r="L220" s="27" t="s">
        <v>36</v>
      </c>
      <c r="M220" s="27" t="s">
        <v>289</v>
      </c>
      <c r="N220" s="27">
        <v>25</v>
      </c>
      <c r="O220" s="27">
        <v>180</v>
      </c>
      <c r="P220" s="11"/>
      <c r="Q220" s="47">
        <v>21</v>
      </c>
      <c r="R220" s="4"/>
      <c r="S220" s="4">
        <v>8.3686145789876087E-5</v>
      </c>
      <c r="T220" s="4">
        <v>750000000</v>
      </c>
      <c r="U220" s="11">
        <v>2941</v>
      </c>
      <c r="V220" s="4">
        <v>1.7919999999999998E-2</v>
      </c>
      <c r="W220" s="4">
        <v>2.3040000000000001E-2</v>
      </c>
      <c r="X220" s="4">
        <v>0.14899999999999999</v>
      </c>
      <c r="Y220" s="11">
        <v>29.6</v>
      </c>
      <c r="Z220" s="11">
        <v>1075</v>
      </c>
      <c r="AA220" s="11">
        <f t="shared" si="87"/>
        <v>30</v>
      </c>
      <c r="AB220" s="47">
        <f t="shared" si="88"/>
        <v>0.82913286946170273</v>
      </c>
      <c r="AC220" s="47">
        <f t="shared" si="78"/>
        <v>15.572228851093094</v>
      </c>
      <c r="AD220" s="47">
        <v>77</v>
      </c>
      <c r="AE220" s="47">
        <f t="shared" si="79"/>
        <v>71.627906976744185</v>
      </c>
      <c r="AF220" s="47">
        <f t="shared" si="66"/>
        <v>61.427771148906906</v>
      </c>
      <c r="AG220" s="53">
        <v>1</v>
      </c>
      <c r="AH220" s="53">
        <v>3.9447000000000001</v>
      </c>
      <c r="AI220" s="53">
        <f t="shared" si="84"/>
        <v>0.79776326167411571</v>
      </c>
      <c r="AJ220" s="47">
        <f t="shared" si="80"/>
        <v>18.254783307784098</v>
      </c>
      <c r="AK220" s="47">
        <f t="shared" si="81"/>
        <v>14.150994812235735</v>
      </c>
      <c r="AL220" s="47">
        <f t="shared" si="69"/>
        <v>2.6825544566910038</v>
      </c>
      <c r="AM220" s="53">
        <v>1.2500000000000001E-2</v>
      </c>
      <c r="AN220" s="53">
        <f t="shared" si="86"/>
        <v>1.234567901234568E-2</v>
      </c>
      <c r="AO220" s="53">
        <v>4.0629999999999999E-2</v>
      </c>
      <c r="AP220" s="53">
        <f t="shared" ref="AP220:AP231" si="89">AO220*(AH220-AM220)+AM220</f>
        <v>0.17226528600000002</v>
      </c>
      <c r="AQ220" s="53">
        <f t="shared" si="77"/>
        <v>0.14695076964003864</v>
      </c>
      <c r="AR220" s="27" t="s">
        <v>140</v>
      </c>
    </row>
    <row r="221" spans="1:44" ht="15" customHeight="1" x14ac:dyDescent="0.25">
      <c r="A221" s="76">
        <v>220</v>
      </c>
      <c r="B221" s="76">
        <v>1999</v>
      </c>
      <c r="C221" s="77" t="s">
        <v>141</v>
      </c>
      <c r="D221" s="76">
        <v>2</v>
      </c>
      <c r="E221" s="78">
        <v>27</v>
      </c>
      <c r="F221" s="74">
        <v>0.5</v>
      </c>
      <c r="G221" s="75">
        <v>60</v>
      </c>
      <c r="H221" s="75">
        <v>8.5</v>
      </c>
      <c r="I221" s="78">
        <v>26</v>
      </c>
      <c r="J221" s="81">
        <v>2.8500000000000001E-2</v>
      </c>
      <c r="K221" s="77" t="s">
        <v>306</v>
      </c>
      <c r="L221" s="77" t="s">
        <v>36</v>
      </c>
      <c r="M221" s="77" t="s">
        <v>289</v>
      </c>
      <c r="N221" s="77">
        <v>25</v>
      </c>
      <c r="O221" s="77">
        <v>180</v>
      </c>
      <c r="P221" s="78"/>
      <c r="Q221" s="81">
        <v>24</v>
      </c>
      <c r="R221" s="82"/>
      <c r="S221" s="82">
        <v>1.0997335822817323E-4</v>
      </c>
      <c r="T221" s="82">
        <v>750000000</v>
      </c>
      <c r="U221" s="78">
        <v>2941</v>
      </c>
      <c r="V221" s="82">
        <v>1.7919999999999998E-2</v>
      </c>
      <c r="W221" s="82">
        <v>2.3040000000000001E-2</v>
      </c>
      <c r="X221" s="82">
        <v>0.14899999999999999</v>
      </c>
      <c r="Y221" s="78">
        <v>29.6</v>
      </c>
      <c r="Z221" s="78">
        <v>1075</v>
      </c>
      <c r="AA221" s="78">
        <f t="shared" si="87"/>
        <v>30</v>
      </c>
      <c r="AB221" s="81">
        <f t="shared" si="88"/>
        <v>0.82913286946170273</v>
      </c>
      <c r="AC221" s="81">
        <f t="shared" si="78"/>
        <v>16.190416114720669</v>
      </c>
      <c r="AD221" s="81">
        <v>77</v>
      </c>
      <c r="AE221" s="81">
        <f t="shared" si="79"/>
        <v>71.627906976744185</v>
      </c>
      <c r="AF221" s="81">
        <f t="shared" si="66"/>
        <v>60.809583885279331</v>
      </c>
      <c r="AG221" s="83">
        <v>1</v>
      </c>
      <c r="AH221" s="83">
        <v>3.7559</v>
      </c>
      <c r="AI221" s="83">
        <f t="shared" si="84"/>
        <v>0.7897348556529783</v>
      </c>
      <c r="AJ221" s="81">
        <f t="shared" si="80"/>
        <v>18.665566454298876</v>
      </c>
      <c r="AK221" s="81">
        <f t="shared" si="81"/>
        <v>14.469431359921609</v>
      </c>
      <c r="AL221" s="81">
        <f t="shared" si="69"/>
        <v>2.4751503395782088</v>
      </c>
      <c r="AM221" s="83">
        <v>1.2500000000000001E-2</v>
      </c>
      <c r="AN221" s="83">
        <f t="shared" si="86"/>
        <v>1.234567901234568E-2</v>
      </c>
      <c r="AO221" s="83">
        <v>3.7499999999999999E-2</v>
      </c>
      <c r="AP221" s="83">
        <f t="shared" si="89"/>
        <v>0.1528775</v>
      </c>
      <c r="AQ221" s="83">
        <f t="shared" si="77"/>
        <v>0.13260515536125911</v>
      </c>
      <c r="AR221" s="77" t="s">
        <v>140</v>
      </c>
    </row>
    <row r="222" spans="1:44" ht="15" customHeight="1" x14ac:dyDescent="0.25">
      <c r="A222" s="76">
        <v>221</v>
      </c>
      <c r="B222" s="76">
        <v>1999</v>
      </c>
      <c r="C222" s="77" t="s">
        <v>141</v>
      </c>
      <c r="D222" s="76">
        <v>3</v>
      </c>
      <c r="E222" s="78">
        <v>20</v>
      </c>
      <c r="F222" s="74">
        <v>0.5</v>
      </c>
      <c r="G222" s="75">
        <v>70</v>
      </c>
      <c r="H222" s="75">
        <v>5</v>
      </c>
      <c r="I222" s="78">
        <v>19</v>
      </c>
      <c r="J222" s="81">
        <v>3.0700000000000002E-2</v>
      </c>
      <c r="K222" s="77" t="s">
        <v>306</v>
      </c>
      <c r="L222" s="77" t="s">
        <v>36</v>
      </c>
      <c r="M222" s="77" t="s">
        <v>289</v>
      </c>
      <c r="N222" s="77">
        <v>25</v>
      </c>
      <c r="O222" s="77">
        <v>180</v>
      </c>
      <c r="P222" s="78"/>
      <c r="Q222" s="81">
        <v>20</v>
      </c>
      <c r="R222" s="82"/>
      <c r="S222" s="82">
        <v>1.4223523782076449E-4</v>
      </c>
      <c r="T222" s="82">
        <v>750000000</v>
      </c>
      <c r="U222" s="78">
        <v>2941</v>
      </c>
      <c r="V222" s="82">
        <v>1.7919999999999998E-2</v>
      </c>
      <c r="W222" s="82">
        <v>2.3040000000000001E-2</v>
      </c>
      <c r="X222" s="82">
        <v>0.14899999999999999</v>
      </c>
      <c r="Y222" s="78">
        <v>29.6</v>
      </c>
      <c r="Z222" s="78">
        <v>1075</v>
      </c>
      <c r="AA222" s="78">
        <f t="shared" si="87"/>
        <v>30</v>
      </c>
      <c r="AB222" s="81">
        <f t="shared" si="88"/>
        <v>0.82913286946170273</v>
      </c>
      <c r="AC222" s="81">
        <f t="shared" si="78"/>
        <v>16.933125151188612</v>
      </c>
      <c r="AD222" s="81">
        <v>77</v>
      </c>
      <c r="AE222" s="81">
        <f t="shared" si="79"/>
        <v>71.627906976744185</v>
      </c>
      <c r="AF222" s="81">
        <f t="shared" ref="AF222:AF285" si="90">AD222*AI222</f>
        <v>60.066874848811388</v>
      </c>
      <c r="AG222" s="83">
        <v>1</v>
      </c>
      <c r="AH222" s="83">
        <v>3.5472999999999999</v>
      </c>
      <c r="AI222" s="83">
        <f t="shared" si="84"/>
        <v>0.78008928375079722</v>
      </c>
      <c r="AJ222" s="81">
        <f t="shared" si="80"/>
        <v>19.53899764695533</v>
      </c>
      <c r="AK222" s="81">
        <f t="shared" si="81"/>
        <v>15.146509803841342</v>
      </c>
      <c r="AL222" s="81">
        <f t="shared" si="69"/>
        <v>2.6058724957667185</v>
      </c>
      <c r="AM222" s="83">
        <v>1.2500000000000001E-2</v>
      </c>
      <c r="AN222" s="83">
        <f t="shared" si="86"/>
        <v>1.234567901234568E-2</v>
      </c>
      <c r="AO222" s="83">
        <v>0.04</v>
      </c>
      <c r="AP222" s="83">
        <f t="shared" si="89"/>
        <v>0.153892</v>
      </c>
      <c r="AQ222" s="83">
        <f t="shared" si="77"/>
        <v>0.13336776752070387</v>
      </c>
      <c r="AR222" s="77" t="s">
        <v>140</v>
      </c>
    </row>
    <row r="223" spans="1:44" ht="15" customHeight="1" x14ac:dyDescent="0.25">
      <c r="A223" s="76">
        <v>222</v>
      </c>
      <c r="B223" s="76">
        <v>1999</v>
      </c>
      <c r="C223" s="77" t="s">
        <v>141</v>
      </c>
      <c r="D223" s="76">
        <v>4</v>
      </c>
      <c r="E223" s="78">
        <v>11</v>
      </c>
      <c r="F223" s="74">
        <v>0.5</v>
      </c>
      <c r="G223" s="75">
        <v>80</v>
      </c>
      <c r="H223" s="75">
        <v>3.5</v>
      </c>
      <c r="I223" s="78">
        <v>10</v>
      </c>
      <c r="J223" s="81">
        <v>7.1999999999999998E-3</v>
      </c>
      <c r="K223" s="77" t="s">
        <v>306</v>
      </c>
      <c r="L223" s="77" t="s">
        <v>36</v>
      </c>
      <c r="M223" s="77" t="s">
        <v>289</v>
      </c>
      <c r="N223" s="77">
        <v>25</v>
      </c>
      <c r="O223" s="77">
        <v>180</v>
      </c>
      <c r="P223" s="78"/>
      <c r="Q223" s="81">
        <v>37</v>
      </c>
      <c r="R223" s="82"/>
      <c r="S223" s="82">
        <v>1.8130094093649795E-4</v>
      </c>
      <c r="T223" s="82">
        <v>750000000</v>
      </c>
      <c r="U223" s="78">
        <v>2941</v>
      </c>
      <c r="V223" s="82">
        <v>1.7919999999999998E-2</v>
      </c>
      <c r="W223" s="82">
        <v>2.3040000000000001E-2</v>
      </c>
      <c r="X223" s="82">
        <v>0.14899999999999999</v>
      </c>
      <c r="Y223" s="78">
        <v>29.6</v>
      </c>
      <c r="Z223" s="78">
        <v>1075</v>
      </c>
      <c r="AA223" s="78">
        <f t="shared" si="87"/>
        <v>30</v>
      </c>
      <c r="AB223" s="81">
        <f t="shared" si="88"/>
        <v>0.82913286946170273</v>
      </c>
      <c r="AC223" s="81">
        <f t="shared" si="78"/>
        <v>19.243264857299948</v>
      </c>
      <c r="AD223" s="81">
        <v>77</v>
      </c>
      <c r="AE223" s="81">
        <f t="shared" si="79"/>
        <v>71.627906976744185</v>
      </c>
      <c r="AF223" s="81">
        <f t="shared" si="90"/>
        <v>57.756735142700052</v>
      </c>
      <c r="AG223" s="83">
        <v>1</v>
      </c>
      <c r="AH223" s="83">
        <v>3.0013999999999998</v>
      </c>
      <c r="AI223" s="83">
        <f t="shared" si="84"/>
        <v>0.75008746938571491</v>
      </c>
      <c r="AJ223" s="81">
        <f t="shared" si="80"/>
        <v>21.818963157894739</v>
      </c>
      <c r="AK223" s="81">
        <f t="shared" si="81"/>
        <v>16.913924928600572</v>
      </c>
      <c r="AL223" s="81">
        <f t="shared" si="69"/>
        <v>2.5756983005947918</v>
      </c>
      <c r="AM223" s="83">
        <v>1.2500000000000001E-2</v>
      </c>
      <c r="AN223" s="83">
        <f t="shared" si="86"/>
        <v>1.234567901234568E-2</v>
      </c>
      <c r="AO223" s="83">
        <v>4.0599999999999997E-2</v>
      </c>
      <c r="AP223" s="83">
        <f t="shared" si="89"/>
        <v>0.13384933999999998</v>
      </c>
      <c r="AQ223" s="83">
        <f t="shared" si="77"/>
        <v>0.11804861129080869</v>
      </c>
      <c r="AR223" s="77" t="s">
        <v>140</v>
      </c>
    </row>
    <row r="224" spans="1:44" ht="15" customHeight="1" x14ac:dyDescent="0.25">
      <c r="A224" s="76">
        <v>223</v>
      </c>
      <c r="B224" s="76">
        <v>1999</v>
      </c>
      <c r="C224" s="77" t="s">
        <v>141</v>
      </c>
      <c r="D224" s="76">
        <v>5</v>
      </c>
      <c r="E224" s="78">
        <v>30</v>
      </c>
      <c r="F224" s="74">
        <v>0.25</v>
      </c>
      <c r="G224" s="75">
        <v>60</v>
      </c>
      <c r="H224" s="75">
        <v>8</v>
      </c>
      <c r="I224" s="78">
        <v>29</v>
      </c>
      <c r="J224" s="81">
        <v>1.01E-2</v>
      </c>
      <c r="K224" s="77" t="s">
        <v>306</v>
      </c>
      <c r="L224" s="77" t="s">
        <v>36</v>
      </c>
      <c r="M224" s="77" t="s">
        <v>289</v>
      </c>
      <c r="N224" s="77">
        <v>25</v>
      </c>
      <c r="O224" s="77">
        <v>180</v>
      </c>
      <c r="P224" s="78"/>
      <c r="Q224" s="81">
        <v>23</v>
      </c>
      <c r="R224" s="82"/>
      <c r="S224" s="82">
        <v>1.0997335822817323E-4</v>
      </c>
      <c r="T224" s="82">
        <v>750000000</v>
      </c>
      <c r="U224" s="78">
        <v>2941</v>
      </c>
      <c r="V224" s="82">
        <v>1.7919999999999998E-2</v>
      </c>
      <c r="W224" s="82">
        <v>2.3040000000000001E-2</v>
      </c>
      <c r="X224" s="82">
        <v>0.14899999999999999</v>
      </c>
      <c r="Y224" s="78">
        <v>29.6</v>
      </c>
      <c r="Z224" s="78">
        <v>1075</v>
      </c>
      <c r="AA224" s="78">
        <f t="shared" si="87"/>
        <v>30</v>
      </c>
      <c r="AB224" s="81">
        <f t="shared" si="88"/>
        <v>0.82913286946170273</v>
      </c>
      <c r="AC224" s="81">
        <f t="shared" si="78"/>
        <v>16.190416114720669</v>
      </c>
      <c r="AD224" s="81">
        <v>77</v>
      </c>
      <c r="AE224" s="81">
        <f t="shared" si="79"/>
        <v>71.627906976744185</v>
      </c>
      <c r="AF224" s="81">
        <f t="shared" si="90"/>
        <v>60.809583885279331</v>
      </c>
      <c r="AG224" s="83">
        <v>1</v>
      </c>
      <c r="AH224" s="83">
        <v>3.7559</v>
      </c>
      <c r="AI224" s="83">
        <f t="shared" si="84"/>
        <v>0.7897348556529783</v>
      </c>
      <c r="AJ224" s="81">
        <f t="shared" si="80"/>
        <v>18.817084463508493</v>
      </c>
      <c r="AK224" s="81">
        <f t="shared" si="81"/>
        <v>14.586887181014335</v>
      </c>
      <c r="AL224" s="81">
        <f t="shared" si="69"/>
        <v>2.6266683487878231</v>
      </c>
      <c r="AM224" s="83">
        <v>1.2500000000000001E-2</v>
      </c>
      <c r="AN224" s="83">
        <f t="shared" si="86"/>
        <v>1.234567901234568E-2</v>
      </c>
      <c r="AO224" s="83">
        <v>0.04</v>
      </c>
      <c r="AP224" s="83">
        <f t="shared" si="89"/>
        <v>0.16223600000000002</v>
      </c>
      <c r="AQ224" s="83">
        <f t="shared" si="77"/>
        <v>0.13958954979883606</v>
      </c>
      <c r="AR224" s="77" t="s">
        <v>140</v>
      </c>
    </row>
    <row r="225" spans="1:44" ht="15" customHeight="1" x14ac:dyDescent="0.25">
      <c r="A225" s="76">
        <v>224</v>
      </c>
      <c r="B225" s="76">
        <v>1999</v>
      </c>
      <c r="C225" s="77" t="s">
        <v>141</v>
      </c>
      <c r="D225" s="76">
        <v>6</v>
      </c>
      <c r="E225" s="78">
        <v>27</v>
      </c>
      <c r="F225" s="74">
        <v>0.75</v>
      </c>
      <c r="G225" s="75">
        <v>60</v>
      </c>
      <c r="H225" s="75">
        <v>9</v>
      </c>
      <c r="I225" s="78">
        <v>26</v>
      </c>
      <c r="J225" s="81">
        <v>2.0299999999999999E-2</v>
      </c>
      <c r="K225" s="77" t="s">
        <v>306</v>
      </c>
      <c r="L225" s="77" t="s">
        <v>36</v>
      </c>
      <c r="M225" s="77" t="s">
        <v>289</v>
      </c>
      <c r="N225" s="77">
        <v>25</v>
      </c>
      <c r="O225" s="77">
        <v>180</v>
      </c>
      <c r="P225" s="78"/>
      <c r="Q225" s="81">
        <v>25</v>
      </c>
      <c r="R225" s="82"/>
      <c r="S225" s="82">
        <v>1.0997335822817323E-4</v>
      </c>
      <c r="T225" s="82">
        <v>750000000</v>
      </c>
      <c r="U225" s="78">
        <v>2941</v>
      </c>
      <c r="V225" s="82">
        <v>1.7919999999999998E-2</v>
      </c>
      <c r="W225" s="82">
        <v>2.3040000000000001E-2</v>
      </c>
      <c r="X225" s="82">
        <v>0.14899999999999999</v>
      </c>
      <c r="Y225" s="78">
        <v>29.6</v>
      </c>
      <c r="Z225" s="78">
        <v>1075</v>
      </c>
      <c r="AA225" s="78">
        <f t="shared" si="87"/>
        <v>30</v>
      </c>
      <c r="AB225" s="81">
        <f t="shared" si="88"/>
        <v>0.82913286946170273</v>
      </c>
      <c r="AC225" s="81">
        <f t="shared" si="78"/>
        <v>16.190416114720669</v>
      </c>
      <c r="AD225" s="81">
        <v>77</v>
      </c>
      <c r="AE225" s="81">
        <f t="shared" si="79"/>
        <v>71.627906976744185</v>
      </c>
      <c r="AF225" s="81">
        <f t="shared" si="90"/>
        <v>60.809583885279331</v>
      </c>
      <c r="AG225" s="83">
        <v>1</v>
      </c>
      <c r="AH225" s="83">
        <v>3.7559</v>
      </c>
      <c r="AI225" s="83">
        <f t="shared" si="84"/>
        <v>0.7897348556529783</v>
      </c>
      <c r="AJ225" s="81">
        <f t="shared" si="80"/>
        <v>18.665566454298876</v>
      </c>
      <c r="AK225" s="81">
        <f t="shared" si="81"/>
        <v>14.469431359921609</v>
      </c>
      <c r="AL225" s="81">
        <f t="shared" si="69"/>
        <v>2.4751503395782088</v>
      </c>
      <c r="AM225" s="83">
        <v>1.2500000000000001E-2</v>
      </c>
      <c r="AN225" s="83">
        <f t="shared" si="86"/>
        <v>1.234567901234568E-2</v>
      </c>
      <c r="AO225" s="83">
        <v>3.7499999999999999E-2</v>
      </c>
      <c r="AP225" s="83">
        <f t="shared" si="89"/>
        <v>0.1528775</v>
      </c>
      <c r="AQ225" s="83">
        <f t="shared" si="77"/>
        <v>0.13260515536125911</v>
      </c>
      <c r="AR225" s="77" t="s">
        <v>140</v>
      </c>
    </row>
    <row r="226" spans="1:44" ht="15" customHeight="1" x14ac:dyDescent="0.25">
      <c r="A226" s="76">
        <v>225</v>
      </c>
      <c r="B226" s="76">
        <v>1999</v>
      </c>
      <c r="C226" s="77" t="s">
        <v>141</v>
      </c>
      <c r="D226" s="76">
        <v>7</v>
      </c>
      <c r="E226" s="78">
        <v>22</v>
      </c>
      <c r="F226" s="74">
        <v>1</v>
      </c>
      <c r="G226" s="75">
        <v>60</v>
      </c>
      <c r="H226" s="75">
        <v>8.5</v>
      </c>
      <c r="I226" s="78">
        <v>21</v>
      </c>
      <c r="J226" s="81">
        <v>1.6E-2</v>
      </c>
      <c r="K226" s="77" t="s">
        <v>306</v>
      </c>
      <c r="L226" s="77" t="s">
        <v>36</v>
      </c>
      <c r="M226" s="77" t="s">
        <v>289</v>
      </c>
      <c r="N226" s="77">
        <v>25</v>
      </c>
      <c r="O226" s="77">
        <v>180</v>
      </c>
      <c r="P226" s="78"/>
      <c r="Q226" s="81">
        <v>35</v>
      </c>
      <c r="R226" s="82"/>
      <c r="S226" s="82">
        <v>1.0997335822817323E-4</v>
      </c>
      <c r="T226" s="82">
        <v>750000000</v>
      </c>
      <c r="U226" s="78">
        <v>2941</v>
      </c>
      <c r="V226" s="82">
        <v>1.7919999999999998E-2</v>
      </c>
      <c r="W226" s="82">
        <v>2.3040000000000001E-2</v>
      </c>
      <c r="X226" s="82">
        <v>0.14899999999999999</v>
      </c>
      <c r="Y226" s="78">
        <v>29.6</v>
      </c>
      <c r="Z226" s="78">
        <v>1075</v>
      </c>
      <c r="AA226" s="78">
        <f t="shared" si="87"/>
        <v>30</v>
      </c>
      <c r="AB226" s="81">
        <f t="shared" si="88"/>
        <v>0.82913286946170273</v>
      </c>
      <c r="AC226" s="81">
        <f t="shared" si="78"/>
        <v>16.190416114720669</v>
      </c>
      <c r="AD226" s="81">
        <v>77</v>
      </c>
      <c r="AE226" s="81">
        <f t="shared" si="79"/>
        <v>71.627906976744185</v>
      </c>
      <c r="AF226" s="81">
        <f t="shared" si="90"/>
        <v>60.809583885279331</v>
      </c>
      <c r="AG226" s="83">
        <v>1</v>
      </c>
      <c r="AH226" s="83">
        <v>3.7559</v>
      </c>
      <c r="AI226" s="83">
        <f t="shared" si="84"/>
        <v>0.7897348556529783</v>
      </c>
      <c r="AJ226" s="81">
        <f t="shared" si="80"/>
        <v>19.038348860892093</v>
      </c>
      <c r="AK226" s="81">
        <f t="shared" si="81"/>
        <v>14.758409969683793</v>
      </c>
      <c r="AL226" s="81">
        <f t="shared" si="69"/>
        <v>2.8479327461714221</v>
      </c>
      <c r="AM226" s="83">
        <v>1.2500000000000001E-2</v>
      </c>
      <c r="AN226" s="83">
        <f t="shared" si="86"/>
        <v>1.234567901234568E-2</v>
      </c>
      <c r="AO226" s="83">
        <v>4.3650793700000003E-2</v>
      </c>
      <c r="AP226" s="83">
        <f t="shared" si="89"/>
        <v>0.17590238113658002</v>
      </c>
      <c r="AQ226" s="83">
        <f t="shared" si="77"/>
        <v>0.14958927199939831</v>
      </c>
      <c r="AR226" s="77" t="s">
        <v>140</v>
      </c>
    </row>
    <row r="227" spans="1:44" ht="15" customHeight="1" x14ac:dyDescent="0.25">
      <c r="A227" s="76">
        <v>226</v>
      </c>
      <c r="B227" s="76">
        <v>1999</v>
      </c>
      <c r="C227" s="77" t="s">
        <v>141</v>
      </c>
      <c r="D227" s="76">
        <v>8</v>
      </c>
      <c r="E227" s="78">
        <v>45</v>
      </c>
      <c r="F227" s="74">
        <v>1</v>
      </c>
      <c r="G227" s="75">
        <v>50</v>
      </c>
      <c r="H227" s="75">
        <v>13</v>
      </c>
      <c r="I227" s="78">
        <v>44</v>
      </c>
      <c r="J227" s="81">
        <v>5.5999999999999999E-3</v>
      </c>
      <c r="K227" s="77" t="s">
        <v>306</v>
      </c>
      <c r="L227" s="77" t="s">
        <v>36</v>
      </c>
      <c r="M227" s="77" t="s">
        <v>289</v>
      </c>
      <c r="N227" s="77">
        <v>25</v>
      </c>
      <c r="O227" s="77">
        <v>180</v>
      </c>
      <c r="P227" s="78"/>
      <c r="Q227" s="81">
        <v>24</v>
      </c>
      <c r="R227" s="82"/>
      <c r="S227" s="82">
        <v>8.3686145789876087E-5</v>
      </c>
      <c r="T227" s="82">
        <v>750000000</v>
      </c>
      <c r="U227" s="78">
        <v>2941</v>
      </c>
      <c r="V227" s="82">
        <v>1.7919999999999998E-2</v>
      </c>
      <c r="W227" s="82">
        <v>2.3040000000000001E-2</v>
      </c>
      <c r="X227" s="82">
        <v>0.14899999999999999</v>
      </c>
      <c r="Y227" s="78">
        <v>29.6</v>
      </c>
      <c r="Z227" s="78">
        <v>1075</v>
      </c>
      <c r="AA227" s="78">
        <f t="shared" si="87"/>
        <v>30</v>
      </c>
      <c r="AB227" s="81">
        <f t="shared" si="88"/>
        <v>0.82913286946170273</v>
      </c>
      <c r="AC227" s="81">
        <f t="shared" si="78"/>
        <v>15.572228851093094</v>
      </c>
      <c r="AD227" s="81">
        <v>77</v>
      </c>
      <c r="AE227" s="81">
        <f t="shared" si="79"/>
        <v>71.627906976744185</v>
      </c>
      <c r="AF227" s="81">
        <f t="shared" si="90"/>
        <v>61.427771148906906</v>
      </c>
      <c r="AG227" s="83">
        <v>1</v>
      </c>
      <c r="AH227" s="83">
        <v>3.9447000000000001</v>
      </c>
      <c r="AI227" s="83">
        <f t="shared" si="84"/>
        <v>0.79776326167411571</v>
      </c>
      <c r="AJ227" s="81">
        <f t="shared" si="80"/>
        <v>18.196764928205962</v>
      </c>
      <c r="AK227" s="81">
        <f t="shared" si="81"/>
        <v>14.106019324190669</v>
      </c>
      <c r="AL227" s="81">
        <f t="shared" si="69"/>
        <v>2.624536077112869</v>
      </c>
      <c r="AM227" s="83">
        <v>1.2500000000000001E-2</v>
      </c>
      <c r="AN227" s="83">
        <f t="shared" si="86"/>
        <v>1.234567901234568E-2</v>
      </c>
      <c r="AO227" s="83">
        <v>3.9682500000000002E-2</v>
      </c>
      <c r="AP227" s="83">
        <f t="shared" si="89"/>
        <v>0.16853952650000001</v>
      </c>
      <c r="AQ227" s="83">
        <f t="shared" si="77"/>
        <v>0.14423091618030945</v>
      </c>
      <c r="AR227" s="77" t="s">
        <v>140</v>
      </c>
    </row>
    <row r="228" spans="1:44" ht="15" customHeight="1" x14ac:dyDescent="0.25">
      <c r="A228" s="76">
        <v>227</v>
      </c>
      <c r="B228" s="76">
        <v>1999</v>
      </c>
      <c r="C228" s="77" t="s">
        <v>141</v>
      </c>
      <c r="D228" s="76">
        <v>9</v>
      </c>
      <c r="E228" s="78">
        <v>17</v>
      </c>
      <c r="F228" s="74">
        <v>1</v>
      </c>
      <c r="G228" s="75">
        <v>70</v>
      </c>
      <c r="H228" s="75">
        <v>5</v>
      </c>
      <c r="I228" s="78">
        <v>16</v>
      </c>
      <c r="J228" s="81">
        <v>1.84E-2</v>
      </c>
      <c r="K228" s="77" t="s">
        <v>306</v>
      </c>
      <c r="L228" s="77" t="s">
        <v>36</v>
      </c>
      <c r="M228" s="77" t="s">
        <v>289</v>
      </c>
      <c r="N228" s="77">
        <v>25</v>
      </c>
      <c r="O228" s="77">
        <v>180</v>
      </c>
      <c r="P228" s="78"/>
      <c r="Q228" s="81">
        <v>32</v>
      </c>
      <c r="R228" s="82"/>
      <c r="S228" s="82">
        <v>1.4223523782076449E-4</v>
      </c>
      <c r="T228" s="82">
        <v>750000000</v>
      </c>
      <c r="U228" s="78">
        <v>2941</v>
      </c>
      <c r="V228" s="82">
        <v>1.7919999999999998E-2</v>
      </c>
      <c r="W228" s="82">
        <v>2.3040000000000001E-2</v>
      </c>
      <c r="X228" s="82">
        <v>0.14899999999999999</v>
      </c>
      <c r="Y228" s="78">
        <v>29.6</v>
      </c>
      <c r="Z228" s="78">
        <v>1075</v>
      </c>
      <c r="AA228" s="78">
        <f t="shared" si="87"/>
        <v>30</v>
      </c>
      <c r="AB228" s="81">
        <f t="shared" si="88"/>
        <v>0.82913286946170273</v>
      </c>
      <c r="AC228" s="81">
        <f t="shared" si="78"/>
        <v>16.933125151188612</v>
      </c>
      <c r="AD228" s="81">
        <v>77</v>
      </c>
      <c r="AE228" s="81">
        <f t="shared" si="79"/>
        <v>71.627906976744185</v>
      </c>
      <c r="AF228" s="81">
        <f t="shared" si="90"/>
        <v>60.066874848811388</v>
      </c>
      <c r="AG228" s="83">
        <v>1</v>
      </c>
      <c r="AH228" s="83">
        <v>3.5472999999999999</v>
      </c>
      <c r="AI228" s="83">
        <f t="shared" si="84"/>
        <v>0.78008928375079722</v>
      </c>
      <c r="AJ228" s="81">
        <f t="shared" si="80"/>
        <v>19.995034497921839</v>
      </c>
      <c r="AK228" s="81">
        <f t="shared" si="81"/>
        <v>15.50002674257507</v>
      </c>
      <c r="AL228" s="81">
        <f t="shared" si="69"/>
        <v>3.0619093467332257</v>
      </c>
      <c r="AM228" s="83">
        <v>1.2500000000000001E-2</v>
      </c>
      <c r="AN228" s="83">
        <f t="shared" si="86"/>
        <v>1.234567901234568E-2</v>
      </c>
      <c r="AO228" s="83">
        <v>4.7619000000000002E-2</v>
      </c>
      <c r="AP228" s="83">
        <f t="shared" si="89"/>
        <v>0.1808236412</v>
      </c>
      <c r="AQ228" s="83">
        <f t="shared" si="77"/>
        <v>0.15313348656895098</v>
      </c>
      <c r="AR228" s="77" t="s">
        <v>140</v>
      </c>
    </row>
    <row r="229" spans="1:44" ht="15" customHeight="1" x14ac:dyDescent="0.25">
      <c r="A229" s="76">
        <v>228</v>
      </c>
      <c r="B229" s="76">
        <v>1999</v>
      </c>
      <c r="C229" s="77" t="s">
        <v>141</v>
      </c>
      <c r="D229" s="76">
        <v>10</v>
      </c>
      <c r="E229" s="78">
        <v>10</v>
      </c>
      <c r="F229" s="74">
        <v>1</v>
      </c>
      <c r="G229" s="75">
        <v>80</v>
      </c>
      <c r="H229" s="75">
        <v>4</v>
      </c>
      <c r="I229" s="78">
        <v>9</v>
      </c>
      <c r="J229" s="81">
        <v>1.44E-2</v>
      </c>
      <c r="K229" s="77" t="s">
        <v>306</v>
      </c>
      <c r="L229" s="77" t="s">
        <v>36</v>
      </c>
      <c r="M229" s="77" t="s">
        <v>289</v>
      </c>
      <c r="N229" s="77">
        <v>25</v>
      </c>
      <c r="O229" s="77">
        <v>180</v>
      </c>
      <c r="P229" s="78"/>
      <c r="Q229" s="81">
        <v>37</v>
      </c>
      <c r="R229" s="82"/>
      <c r="S229" s="82">
        <v>1.8130094093649795E-4</v>
      </c>
      <c r="T229" s="82">
        <v>750000000</v>
      </c>
      <c r="U229" s="78">
        <v>2941</v>
      </c>
      <c r="V229" s="82">
        <v>1.7919999999999998E-2</v>
      </c>
      <c r="W229" s="82">
        <v>2.3040000000000001E-2</v>
      </c>
      <c r="X229" s="82">
        <v>0.14899999999999999</v>
      </c>
      <c r="Y229" s="78">
        <v>29.6</v>
      </c>
      <c r="Z229" s="78">
        <v>1075</v>
      </c>
      <c r="AA229" s="78">
        <f t="shared" si="87"/>
        <v>30</v>
      </c>
      <c r="AB229" s="81">
        <f t="shared" si="88"/>
        <v>0.82913286946170273</v>
      </c>
      <c r="AC229" s="81">
        <f t="shared" si="78"/>
        <v>19.243264857299948</v>
      </c>
      <c r="AD229" s="81">
        <v>77</v>
      </c>
      <c r="AE229" s="81">
        <f t="shared" si="79"/>
        <v>71.627906976744185</v>
      </c>
      <c r="AF229" s="81">
        <f t="shared" si="90"/>
        <v>57.756735142700052</v>
      </c>
      <c r="AG229" s="83">
        <v>1</v>
      </c>
      <c r="AH229" s="83">
        <v>3.0013999999999998</v>
      </c>
      <c r="AI229" s="83">
        <f t="shared" si="84"/>
        <v>0.75008746938571491</v>
      </c>
      <c r="AJ229" s="81">
        <f t="shared" si="80"/>
        <v>21.766192049595144</v>
      </c>
      <c r="AK229" s="81">
        <f t="shared" si="81"/>
        <v>16.873017092709414</v>
      </c>
      <c r="AL229" s="81">
        <f t="shared" si="69"/>
        <v>2.5229271922951968</v>
      </c>
      <c r="AM229" s="83">
        <v>1.2500000000000001E-2</v>
      </c>
      <c r="AN229" s="83">
        <f t="shared" si="86"/>
        <v>1.234567901234568E-2</v>
      </c>
      <c r="AO229" s="83">
        <v>3.9682500000000002E-2</v>
      </c>
      <c r="AP229" s="83">
        <f t="shared" si="89"/>
        <v>0.13110702425000001</v>
      </c>
      <c r="AQ229" s="83">
        <f t="shared" si="77"/>
        <v>0.11591036165382561</v>
      </c>
      <c r="AR229" s="77" t="s">
        <v>140</v>
      </c>
    </row>
    <row r="230" spans="1:44" ht="15" customHeight="1" x14ac:dyDescent="0.25">
      <c r="A230" s="76">
        <v>229</v>
      </c>
      <c r="B230" s="76">
        <v>1999</v>
      </c>
      <c r="C230" s="77" t="s">
        <v>141</v>
      </c>
      <c r="D230" s="76">
        <v>11</v>
      </c>
      <c r="E230" s="78">
        <v>20</v>
      </c>
      <c r="F230" s="74">
        <v>0.25</v>
      </c>
      <c r="G230" s="75">
        <v>70</v>
      </c>
      <c r="H230" s="75">
        <v>4.5</v>
      </c>
      <c r="I230" s="78">
        <v>19</v>
      </c>
      <c r="J230" s="81">
        <v>1.21E-2</v>
      </c>
      <c r="K230" s="77" t="s">
        <v>306</v>
      </c>
      <c r="L230" s="77" t="s">
        <v>36</v>
      </c>
      <c r="M230" s="77" t="s">
        <v>289</v>
      </c>
      <c r="N230" s="77">
        <v>25</v>
      </c>
      <c r="O230" s="77">
        <v>180</v>
      </c>
      <c r="P230" s="78"/>
      <c r="Q230" s="81">
        <v>19</v>
      </c>
      <c r="R230" s="82"/>
      <c r="S230" s="82">
        <v>1.4223523782076449E-4</v>
      </c>
      <c r="T230" s="82">
        <v>750000000</v>
      </c>
      <c r="U230" s="78">
        <v>2941</v>
      </c>
      <c r="V230" s="82">
        <v>1.7919999999999998E-2</v>
      </c>
      <c r="W230" s="82">
        <v>2.3040000000000001E-2</v>
      </c>
      <c r="X230" s="82">
        <v>0.14899999999999999</v>
      </c>
      <c r="Y230" s="78">
        <v>29.6</v>
      </c>
      <c r="Z230" s="78">
        <v>1075</v>
      </c>
      <c r="AA230" s="78">
        <f t="shared" si="87"/>
        <v>30</v>
      </c>
      <c r="AB230" s="81">
        <f t="shared" si="88"/>
        <v>0.82913286946170273</v>
      </c>
      <c r="AC230" s="81">
        <f t="shared" si="78"/>
        <v>16.933125151188612</v>
      </c>
      <c r="AD230" s="81">
        <v>77</v>
      </c>
      <c r="AE230" s="81">
        <f t="shared" si="79"/>
        <v>71.627906976744185</v>
      </c>
      <c r="AF230" s="81">
        <f t="shared" si="90"/>
        <v>60.066874848811388</v>
      </c>
      <c r="AG230" s="83">
        <v>1</v>
      </c>
      <c r="AH230" s="83">
        <v>3.5472999999999999</v>
      </c>
      <c r="AI230" s="83">
        <f t="shared" si="84"/>
        <v>0.78008928375079722</v>
      </c>
      <c r="AJ230" s="81">
        <f t="shared" si="80"/>
        <v>19.713391789096818</v>
      </c>
      <c r="AK230" s="81">
        <f t="shared" si="81"/>
        <v>15.281699061315361</v>
      </c>
      <c r="AL230" s="81">
        <f t="shared" si="69"/>
        <v>2.7802666379082077</v>
      </c>
      <c r="AM230" s="83">
        <v>1.2500000000000001E-2</v>
      </c>
      <c r="AN230" s="83">
        <f t="shared" si="86"/>
        <v>1.234567901234568E-2</v>
      </c>
      <c r="AO230" s="83">
        <v>4.2913600000000003E-2</v>
      </c>
      <c r="AP230" s="83">
        <f t="shared" si="89"/>
        <v>0.16419099328</v>
      </c>
      <c r="AQ230" s="83">
        <f t="shared" si="77"/>
        <v>0.14103441293374647</v>
      </c>
      <c r="AR230" s="77" t="s">
        <v>140</v>
      </c>
    </row>
    <row r="231" spans="1:44" ht="15" customHeight="1" x14ac:dyDescent="0.25">
      <c r="A231" s="1">
        <v>230</v>
      </c>
      <c r="B231" s="1">
        <v>1999</v>
      </c>
      <c r="C231" s="28" t="s">
        <v>141</v>
      </c>
      <c r="D231" s="1">
        <v>12</v>
      </c>
      <c r="E231" s="8">
        <v>17</v>
      </c>
      <c r="F231" s="35">
        <v>0.75</v>
      </c>
      <c r="G231" s="59">
        <v>70</v>
      </c>
      <c r="H231" s="59">
        <v>5.5</v>
      </c>
      <c r="I231" s="8">
        <v>16</v>
      </c>
      <c r="J231" s="51">
        <v>1.47E-2</v>
      </c>
      <c r="K231" s="28" t="s">
        <v>306</v>
      </c>
      <c r="L231" s="28" t="s">
        <v>36</v>
      </c>
      <c r="M231" s="28" t="s">
        <v>289</v>
      </c>
      <c r="N231" s="28">
        <v>25</v>
      </c>
      <c r="O231" s="28">
        <v>180</v>
      </c>
      <c r="P231" s="8"/>
      <c r="Q231" s="51">
        <v>25</v>
      </c>
      <c r="R231" s="9"/>
      <c r="S231" s="9">
        <v>1.4223523782076449E-4</v>
      </c>
      <c r="T231" s="9">
        <v>750000000</v>
      </c>
      <c r="U231" s="8">
        <v>2941</v>
      </c>
      <c r="V231" s="9">
        <v>1.7919999999999998E-2</v>
      </c>
      <c r="W231" s="9">
        <v>2.3040000000000001E-2</v>
      </c>
      <c r="X231" s="9">
        <v>0.14899999999999999</v>
      </c>
      <c r="Y231" s="8">
        <v>29.6</v>
      </c>
      <c r="Z231" s="8">
        <v>1075</v>
      </c>
      <c r="AA231" s="8">
        <f t="shared" si="87"/>
        <v>30</v>
      </c>
      <c r="AB231" s="51">
        <f t="shared" si="88"/>
        <v>0.82913286946170273</v>
      </c>
      <c r="AC231" s="51">
        <f t="shared" si="78"/>
        <v>16.933125151188612</v>
      </c>
      <c r="AD231" s="51">
        <v>77</v>
      </c>
      <c r="AE231" s="51">
        <f t="shared" si="79"/>
        <v>71.627906976744185</v>
      </c>
      <c r="AF231" s="51">
        <f t="shared" si="90"/>
        <v>60.066874848811388</v>
      </c>
      <c r="AG231" s="52">
        <v>1</v>
      </c>
      <c r="AH231" s="52">
        <v>3.5472999999999999</v>
      </c>
      <c r="AI231" s="52">
        <f t="shared" si="84"/>
        <v>0.78008928375079722</v>
      </c>
      <c r="AJ231" s="51">
        <f t="shared" si="80"/>
        <v>19.170702549477706</v>
      </c>
      <c r="AK231" s="51">
        <f t="shared" si="81"/>
        <v>14.861009728277292</v>
      </c>
      <c r="AL231" s="51">
        <f t="shared" ref="AL231:AL294" si="91">AJ231*AQ231</f>
        <v>2.2375773982890936</v>
      </c>
      <c r="AM231" s="52">
        <v>1.2500000000000001E-2</v>
      </c>
      <c r="AN231" s="52">
        <f t="shared" si="86"/>
        <v>1.234567901234568E-2</v>
      </c>
      <c r="AO231" s="52">
        <v>3.3846899999999999E-2</v>
      </c>
      <c r="AP231" s="52">
        <f t="shared" si="89"/>
        <v>0.13214202211999998</v>
      </c>
      <c r="AQ231" s="52">
        <f t="shared" si="77"/>
        <v>0.11671859142950684</v>
      </c>
      <c r="AR231" s="28" t="s">
        <v>140</v>
      </c>
    </row>
    <row r="232" spans="1:44" ht="15" customHeight="1" x14ac:dyDescent="0.25">
      <c r="A232" s="76">
        <v>231</v>
      </c>
      <c r="B232" s="76">
        <v>2000</v>
      </c>
      <c r="C232" s="77" t="s">
        <v>142</v>
      </c>
      <c r="D232" s="76">
        <v>1</v>
      </c>
      <c r="E232" s="78">
        <v>10</v>
      </c>
      <c r="F232" s="79">
        <v>0.1</v>
      </c>
      <c r="G232" s="80">
        <v>60</v>
      </c>
      <c r="H232" s="80">
        <v>27</v>
      </c>
      <c r="I232" s="78">
        <v>15</v>
      </c>
      <c r="J232" s="81">
        <v>4.0099999999999997E-2</v>
      </c>
      <c r="K232" s="77" t="s">
        <v>306</v>
      </c>
      <c r="L232" s="77" t="s">
        <v>36</v>
      </c>
      <c r="M232" s="77" t="s">
        <v>289</v>
      </c>
      <c r="N232" s="77">
        <v>80</v>
      </c>
      <c r="O232" s="77">
        <v>15</v>
      </c>
      <c r="P232" s="78"/>
      <c r="Q232" s="81">
        <v>68.5</v>
      </c>
      <c r="R232" s="82"/>
      <c r="S232" s="82">
        <v>5.7383136756574988E-4</v>
      </c>
      <c r="T232" s="82">
        <v>760000000</v>
      </c>
      <c r="U232" s="78">
        <v>2395</v>
      </c>
      <c r="V232" s="82">
        <v>1.7919999999999998E-2</v>
      </c>
      <c r="W232" s="82">
        <v>2.3040000000000001E-2</v>
      </c>
      <c r="X232" s="82">
        <v>0.54900000000000004</v>
      </c>
      <c r="Y232" s="78">
        <v>29.6</v>
      </c>
      <c r="Z232" s="78">
        <v>1075</v>
      </c>
      <c r="AA232" s="78">
        <f t="shared" si="87"/>
        <v>400</v>
      </c>
      <c r="AB232" s="81">
        <f t="shared" si="88"/>
        <v>0.82189116447904176</v>
      </c>
      <c r="AC232" s="81">
        <f t="shared" si="78"/>
        <v>204.86</v>
      </c>
      <c r="AD232" s="81">
        <v>1000</v>
      </c>
      <c r="AE232" s="81">
        <f t="shared" si="79"/>
        <v>930.23255813953483</v>
      </c>
      <c r="AF232" s="81">
        <f t="shared" si="90"/>
        <v>795.14</v>
      </c>
      <c r="AG232" s="83">
        <v>1</v>
      </c>
      <c r="AH232" s="83">
        <f>79.514/20.486</f>
        <v>3.8813824074978029</v>
      </c>
      <c r="AI232" s="83">
        <f t="shared" si="84"/>
        <v>0.79513999999999996</v>
      </c>
      <c r="AJ232" s="81">
        <f t="shared" si="80"/>
        <v>237.90224245450639</v>
      </c>
      <c r="AK232" s="81">
        <f t="shared" si="81"/>
        <v>184.42034298798944</v>
      </c>
      <c r="AL232" s="81">
        <f t="shared" si="91"/>
        <v>33.042242454506386</v>
      </c>
      <c r="AM232" s="83">
        <f>AP232</f>
        <v>0.16129182102170453</v>
      </c>
      <c r="AN232" s="83">
        <f t="shared" si="86"/>
        <v>0.13888999999999999</v>
      </c>
      <c r="AO232" s="83">
        <v>0</v>
      </c>
      <c r="AP232" s="83">
        <f>13.889/86.111</f>
        <v>0.16129182102170453</v>
      </c>
      <c r="AQ232" s="83">
        <f t="shared" si="77"/>
        <v>0.13888999999999999</v>
      </c>
      <c r="AR232" s="77" t="s">
        <v>351</v>
      </c>
    </row>
    <row r="233" spans="1:44" ht="15" customHeight="1" x14ac:dyDescent="0.25">
      <c r="A233" s="76">
        <v>232</v>
      </c>
      <c r="B233" s="76">
        <v>2000</v>
      </c>
      <c r="C233" s="77" t="s">
        <v>142</v>
      </c>
      <c r="D233" s="76">
        <v>2</v>
      </c>
      <c r="E233" s="78">
        <v>10</v>
      </c>
      <c r="F233" s="79">
        <v>0.1</v>
      </c>
      <c r="G233" s="80">
        <v>60</v>
      </c>
      <c r="H233" s="80">
        <v>27</v>
      </c>
      <c r="I233" s="78">
        <v>15</v>
      </c>
      <c r="J233" s="81">
        <v>2.4299999999999999E-2</v>
      </c>
      <c r="K233" s="77" t="s">
        <v>306</v>
      </c>
      <c r="L233" s="77" t="s">
        <v>36</v>
      </c>
      <c r="M233" s="77" t="s">
        <v>289</v>
      </c>
      <c r="N233" s="77">
        <v>80</v>
      </c>
      <c r="O233" s="77">
        <v>15</v>
      </c>
      <c r="P233" s="78"/>
      <c r="Q233" s="81">
        <v>65</v>
      </c>
      <c r="R233" s="82"/>
      <c r="S233" s="82">
        <v>5.7383136756574988E-4</v>
      </c>
      <c r="T233" s="82">
        <v>760000000</v>
      </c>
      <c r="U233" s="78">
        <v>2395</v>
      </c>
      <c r="V233" s="82">
        <v>1.7919999999999998E-2</v>
      </c>
      <c r="W233" s="82">
        <v>2.3040000000000001E-2</v>
      </c>
      <c r="X233" s="82">
        <v>0.54900000000000004</v>
      </c>
      <c r="Y233" s="78">
        <v>29.6</v>
      </c>
      <c r="Z233" s="78">
        <v>1075</v>
      </c>
      <c r="AA233" s="78">
        <f t="shared" si="87"/>
        <v>400</v>
      </c>
      <c r="AB233" s="81">
        <f t="shared" si="88"/>
        <v>0.82189116447904176</v>
      </c>
      <c r="AC233" s="81">
        <f t="shared" si="78"/>
        <v>329.28999999999996</v>
      </c>
      <c r="AD233" s="81">
        <v>1000</v>
      </c>
      <c r="AE233" s="81">
        <f t="shared" si="79"/>
        <v>930.23255813953483</v>
      </c>
      <c r="AF233" s="81">
        <f t="shared" si="90"/>
        <v>670.71</v>
      </c>
      <c r="AG233" s="83">
        <v>1</v>
      </c>
      <c r="AH233" s="83">
        <f>67.071/32.929</f>
        <v>2.0368368307570832</v>
      </c>
      <c r="AI233" s="83">
        <f t="shared" si="84"/>
        <v>0.67071000000000003</v>
      </c>
      <c r="AJ233" s="81">
        <f t="shared" si="80"/>
        <v>367.50705907300141</v>
      </c>
      <c r="AK233" s="81">
        <f t="shared" si="81"/>
        <v>284.88919307984605</v>
      </c>
      <c r="AL233" s="81">
        <f t="shared" si="91"/>
        <v>38.217059073001415</v>
      </c>
      <c r="AM233" s="83">
        <f>AP233</f>
        <v>0.11605897255610986</v>
      </c>
      <c r="AN233" s="83">
        <f t="shared" si="86"/>
        <v>0.10399</v>
      </c>
      <c r="AO233" s="83">
        <v>0</v>
      </c>
      <c r="AP233" s="83">
        <f>10.399/89.601</f>
        <v>0.11605897255610986</v>
      </c>
      <c r="AQ233" s="83">
        <f t="shared" si="77"/>
        <v>0.10399</v>
      </c>
      <c r="AR233" s="77" t="s">
        <v>352</v>
      </c>
    </row>
    <row r="234" spans="1:44" s="10" customFormat="1" ht="15" customHeight="1" x14ac:dyDescent="0.25">
      <c r="A234" s="1">
        <v>233</v>
      </c>
      <c r="B234" s="1">
        <v>2000</v>
      </c>
      <c r="C234" s="28" t="s">
        <v>142</v>
      </c>
      <c r="D234" s="1">
        <v>3</v>
      </c>
      <c r="E234" s="8">
        <v>10</v>
      </c>
      <c r="F234" s="31">
        <v>0.1</v>
      </c>
      <c r="G234" s="49">
        <v>60</v>
      </c>
      <c r="H234" s="49">
        <v>27</v>
      </c>
      <c r="I234" s="8">
        <v>15</v>
      </c>
      <c r="J234" s="51">
        <v>5.4600000000000003E-2</v>
      </c>
      <c r="K234" s="28" t="s">
        <v>306</v>
      </c>
      <c r="L234" s="28" t="s">
        <v>36</v>
      </c>
      <c r="M234" s="28" t="s">
        <v>289</v>
      </c>
      <c r="N234" s="28">
        <v>80</v>
      </c>
      <c r="O234" s="28">
        <v>15</v>
      </c>
      <c r="P234" s="8"/>
      <c r="Q234" s="51">
        <v>75.5</v>
      </c>
      <c r="R234" s="9"/>
      <c r="S234" s="9">
        <v>5.7383136756574988E-4</v>
      </c>
      <c r="T234" s="9">
        <v>760000000</v>
      </c>
      <c r="U234" s="8">
        <v>2395</v>
      </c>
      <c r="V234" s="9">
        <v>1.7919999999999998E-2</v>
      </c>
      <c r="W234" s="9">
        <v>2.3040000000000001E-2</v>
      </c>
      <c r="X234" s="9">
        <v>0.54900000000000004</v>
      </c>
      <c r="Y234" s="8">
        <v>29.6</v>
      </c>
      <c r="Z234" s="8">
        <v>1075</v>
      </c>
      <c r="AA234" s="8">
        <f t="shared" si="87"/>
        <v>400</v>
      </c>
      <c r="AB234" s="51">
        <f t="shared" si="88"/>
        <v>0.82189116447904176</v>
      </c>
      <c r="AC234" s="51">
        <f t="shared" si="78"/>
        <v>313.69000000000005</v>
      </c>
      <c r="AD234" s="51">
        <v>1000</v>
      </c>
      <c r="AE234" s="51">
        <f t="shared" si="79"/>
        <v>930.23255813953483</v>
      </c>
      <c r="AF234" s="51">
        <f t="shared" si="90"/>
        <v>686.31</v>
      </c>
      <c r="AG234" s="52">
        <v>1</v>
      </c>
      <c r="AH234" s="52">
        <f>68.631/31.369</f>
        <v>2.1878606267333991</v>
      </c>
      <c r="AI234" s="52">
        <f t="shared" si="84"/>
        <v>0.68630999999999998</v>
      </c>
      <c r="AJ234" s="51">
        <f t="shared" si="80"/>
        <v>337.05462672454559</v>
      </c>
      <c r="AK234" s="51">
        <f t="shared" si="81"/>
        <v>261.28265637561668</v>
      </c>
      <c r="AL234" s="51">
        <f t="shared" si="91"/>
        <v>23.364626724545502</v>
      </c>
      <c r="AM234" s="52">
        <f>AP234</f>
        <v>7.4483173593501525E-2</v>
      </c>
      <c r="AN234" s="52">
        <f t="shared" si="86"/>
        <v>6.9320000000000007E-2</v>
      </c>
      <c r="AO234" s="52">
        <v>0</v>
      </c>
      <c r="AP234" s="52">
        <f>6.932/93.068</f>
        <v>7.4483173593501525E-2</v>
      </c>
      <c r="AQ234" s="52">
        <f t="shared" si="77"/>
        <v>6.9320000000000007E-2</v>
      </c>
      <c r="AR234" s="28" t="s">
        <v>353</v>
      </c>
    </row>
    <row r="235" spans="1:44" ht="15" hidden="1" customHeight="1" x14ac:dyDescent="0.25">
      <c r="A235" s="76">
        <v>234</v>
      </c>
      <c r="B235" s="76">
        <v>2000</v>
      </c>
      <c r="C235" s="77" t="s">
        <v>143</v>
      </c>
      <c r="D235" s="76">
        <v>1</v>
      </c>
      <c r="E235" s="78">
        <v>23</v>
      </c>
      <c r="F235" s="79">
        <v>0.5</v>
      </c>
      <c r="G235" s="80">
        <v>50</v>
      </c>
      <c r="H235" s="80">
        <v>0</v>
      </c>
      <c r="I235" s="78">
        <v>90</v>
      </c>
      <c r="J235" s="81">
        <v>0.1618</v>
      </c>
      <c r="K235" s="77" t="s">
        <v>144</v>
      </c>
      <c r="L235" s="77" t="s">
        <v>36</v>
      </c>
      <c r="M235" s="77" t="s">
        <v>34</v>
      </c>
      <c r="N235" s="77" t="s">
        <v>34</v>
      </c>
      <c r="O235" s="77" t="s">
        <v>34</v>
      </c>
      <c r="P235" s="78"/>
      <c r="Q235" s="81">
        <v>10.5</v>
      </c>
      <c r="R235" s="82"/>
      <c r="S235" s="82">
        <v>4.4729393961366132E-4</v>
      </c>
      <c r="T235" s="82">
        <v>740000000</v>
      </c>
      <c r="U235" s="78">
        <v>2395</v>
      </c>
      <c r="V235" s="82">
        <v>1.7919999999999998E-2</v>
      </c>
      <c r="W235" s="82">
        <v>2.3040000000000001E-2</v>
      </c>
      <c r="X235" s="82">
        <v>0.54900000000000004</v>
      </c>
      <c r="Y235" s="78">
        <v>29.6</v>
      </c>
      <c r="Z235" s="78">
        <v>1075</v>
      </c>
      <c r="AA235" s="78">
        <v>50</v>
      </c>
      <c r="AB235" s="81">
        <f t="shared" si="88"/>
        <v>0.82189116447904176</v>
      </c>
      <c r="AC235" s="81">
        <f t="shared" si="78"/>
        <v>20</v>
      </c>
      <c r="AD235" s="81">
        <f>AA235*2.5</f>
        <v>125</v>
      </c>
      <c r="AE235" s="81">
        <f t="shared" si="79"/>
        <v>116.27906976744185</v>
      </c>
      <c r="AF235" s="81">
        <f t="shared" si="90"/>
        <v>105</v>
      </c>
      <c r="AG235" s="83">
        <v>1</v>
      </c>
      <c r="AH235" s="83">
        <v>5.25</v>
      </c>
      <c r="AI235" s="83">
        <f t="shared" si="84"/>
        <v>0.84</v>
      </c>
      <c r="AJ235" s="81">
        <f t="shared" si="80"/>
        <v>26.468</v>
      </c>
      <c r="AK235" s="81">
        <f t="shared" si="81"/>
        <v>20.517829457364343</v>
      </c>
      <c r="AL235" s="81">
        <f t="shared" si="91"/>
        <v>6.4680000000000009</v>
      </c>
      <c r="AM235" s="83">
        <v>0.25</v>
      </c>
      <c r="AN235" s="83">
        <f t="shared" si="86"/>
        <v>0.2</v>
      </c>
      <c r="AO235" s="83">
        <f>(AP235-AM235)/(AH235-AM235)</f>
        <v>1.4680000000000004E-2</v>
      </c>
      <c r="AP235" s="83">
        <v>0.32340000000000002</v>
      </c>
      <c r="AQ235" s="83">
        <f t="shared" si="77"/>
        <v>0.24437056067704402</v>
      </c>
      <c r="AR235" s="77" t="s">
        <v>34</v>
      </c>
    </row>
    <row r="236" spans="1:44" ht="15" customHeight="1" x14ac:dyDescent="0.25">
      <c r="A236" s="76">
        <v>235</v>
      </c>
      <c r="B236" s="76">
        <v>2000</v>
      </c>
      <c r="C236" s="77" t="s">
        <v>143</v>
      </c>
      <c r="D236" s="76">
        <v>2</v>
      </c>
      <c r="E236" s="78">
        <v>18</v>
      </c>
      <c r="F236" s="79">
        <v>0.5</v>
      </c>
      <c r="G236" s="80">
        <v>50</v>
      </c>
      <c r="H236" s="80">
        <v>0</v>
      </c>
      <c r="I236" s="78">
        <v>34</v>
      </c>
      <c r="J236" s="81">
        <v>0.14599999999999999</v>
      </c>
      <c r="K236" s="77" t="s">
        <v>144</v>
      </c>
      <c r="L236" s="77" t="s">
        <v>36</v>
      </c>
      <c r="M236" s="77" t="s">
        <v>289</v>
      </c>
      <c r="N236" s="77">
        <v>25</v>
      </c>
      <c r="O236" s="77">
        <v>180</v>
      </c>
      <c r="P236" s="78"/>
      <c r="Q236" s="81">
        <v>35</v>
      </c>
      <c r="R236" s="82"/>
      <c r="S236" s="82">
        <v>4.4729393961366132E-4</v>
      </c>
      <c r="T236" s="82">
        <v>740000000</v>
      </c>
      <c r="U236" s="78">
        <v>2395</v>
      </c>
      <c r="V236" s="82">
        <v>1.7919999999999998E-2</v>
      </c>
      <c r="W236" s="82">
        <v>2.3040000000000001E-2</v>
      </c>
      <c r="X236" s="82">
        <v>0.54900000000000004</v>
      </c>
      <c r="Y236" s="78">
        <v>29.6</v>
      </c>
      <c r="Z236" s="78">
        <v>1075</v>
      </c>
      <c r="AA236" s="78">
        <v>50</v>
      </c>
      <c r="AB236" s="81">
        <f t="shared" si="88"/>
        <v>0.82189116447904176</v>
      </c>
      <c r="AC236" s="81">
        <f t="shared" si="78"/>
        <v>20</v>
      </c>
      <c r="AD236" s="81">
        <f>AA236*2.5</f>
        <v>125</v>
      </c>
      <c r="AE236" s="81">
        <f t="shared" si="79"/>
        <v>116.27906976744185</v>
      </c>
      <c r="AF236" s="81">
        <f t="shared" si="90"/>
        <v>105</v>
      </c>
      <c r="AG236" s="83">
        <v>1</v>
      </c>
      <c r="AH236" s="83">
        <v>5.25</v>
      </c>
      <c r="AI236" s="83">
        <f t="shared" si="84"/>
        <v>0.84</v>
      </c>
      <c r="AJ236" s="81">
        <f t="shared" si="80"/>
        <v>25.942</v>
      </c>
      <c r="AK236" s="81">
        <f t="shared" si="81"/>
        <v>20.110077519379846</v>
      </c>
      <c r="AL236" s="81">
        <f t="shared" si="91"/>
        <v>5.9420000000000002</v>
      </c>
      <c r="AM236" s="83">
        <v>0.25</v>
      </c>
      <c r="AN236" s="83">
        <f t="shared" si="86"/>
        <v>0.2</v>
      </c>
      <c r="AO236" s="83">
        <f>(AP236-AM236)/(AH236-AM236)</f>
        <v>9.4199999999999944E-3</v>
      </c>
      <c r="AP236" s="83">
        <v>0.29709999999999998</v>
      </c>
      <c r="AQ236" s="83">
        <f t="shared" si="77"/>
        <v>0.22904941793231054</v>
      </c>
      <c r="AR236" s="77" t="s">
        <v>58</v>
      </c>
    </row>
    <row r="237" spans="1:44" s="10" customFormat="1" ht="15" hidden="1" customHeight="1" x14ac:dyDescent="0.25">
      <c r="A237" s="1">
        <v>236</v>
      </c>
      <c r="B237" s="1">
        <v>2000</v>
      </c>
      <c r="C237" s="28" t="s">
        <v>143</v>
      </c>
      <c r="D237" s="1">
        <v>3</v>
      </c>
      <c r="E237" s="8">
        <v>18</v>
      </c>
      <c r="F237" s="31">
        <v>0.5</v>
      </c>
      <c r="G237" s="49">
        <v>50</v>
      </c>
      <c r="H237" s="49">
        <v>0</v>
      </c>
      <c r="I237" s="8">
        <v>34</v>
      </c>
      <c r="J237" s="51">
        <v>0.22800000000000001</v>
      </c>
      <c r="K237" s="28" t="s">
        <v>144</v>
      </c>
      <c r="L237" s="28" t="s">
        <v>36</v>
      </c>
      <c r="M237" s="28" t="s">
        <v>290</v>
      </c>
      <c r="N237" s="28" t="s">
        <v>329</v>
      </c>
      <c r="O237" s="28" t="s">
        <v>329</v>
      </c>
      <c r="P237" s="8"/>
      <c r="Q237" s="51">
        <v>35.5</v>
      </c>
      <c r="R237" s="9"/>
      <c r="S237" s="9">
        <v>4.4729393961366132E-4</v>
      </c>
      <c r="T237" s="9">
        <v>740000000</v>
      </c>
      <c r="U237" s="8">
        <v>2395</v>
      </c>
      <c r="V237" s="9">
        <v>1.7919999999999998E-2</v>
      </c>
      <c r="W237" s="9">
        <v>2.3040000000000001E-2</v>
      </c>
      <c r="X237" s="9">
        <v>0.54900000000000004</v>
      </c>
      <c r="Y237" s="8">
        <v>29.6</v>
      </c>
      <c r="Z237" s="8">
        <v>1075</v>
      </c>
      <c r="AA237" s="8">
        <v>50</v>
      </c>
      <c r="AB237" s="51">
        <f t="shared" si="88"/>
        <v>0.82189116447904176</v>
      </c>
      <c r="AC237" s="51">
        <f t="shared" si="78"/>
        <v>20</v>
      </c>
      <c r="AD237" s="51">
        <f>AA237*2.5</f>
        <v>125</v>
      </c>
      <c r="AE237" s="51">
        <f t="shared" si="79"/>
        <v>116.27906976744185</v>
      </c>
      <c r="AF237" s="51">
        <f t="shared" si="90"/>
        <v>105</v>
      </c>
      <c r="AG237" s="52">
        <v>1</v>
      </c>
      <c r="AH237" s="52">
        <v>5.25</v>
      </c>
      <c r="AI237" s="52">
        <f t="shared" si="84"/>
        <v>0.84</v>
      </c>
      <c r="AJ237" s="51">
        <f t="shared" si="80"/>
        <v>24.558</v>
      </c>
      <c r="AK237" s="51">
        <f t="shared" si="81"/>
        <v>19.037209302325582</v>
      </c>
      <c r="AL237" s="51">
        <f t="shared" si="91"/>
        <v>4.5579999999999998</v>
      </c>
      <c r="AM237" s="52">
        <f>AP237</f>
        <v>0.22789999999999999</v>
      </c>
      <c r="AN237" s="52">
        <f t="shared" si="86"/>
        <v>0.1856014333414773</v>
      </c>
      <c r="AO237" s="52">
        <v>0</v>
      </c>
      <c r="AP237" s="52">
        <v>0.22789999999999999</v>
      </c>
      <c r="AQ237" s="52">
        <f t="shared" si="77"/>
        <v>0.1856014333414773</v>
      </c>
      <c r="AR237" s="28" t="s">
        <v>145</v>
      </c>
    </row>
    <row r="238" spans="1:44" ht="15" customHeight="1" x14ac:dyDescent="0.25">
      <c r="A238" s="76">
        <v>237</v>
      </c>
      <c r="B238" s="76">
        <v>2000</v>
      </c>
      <c r="C238" s="77" t="s">
        <v>139</v>
      </c>
      <c r="D238" s="76">
        <v>1</v>
      </c>
      <c r="E238" s="78">
        <v>48</v>
      </c>
      <c r="F238" s="74">
        <v>0.5</v>
      </c>
      <c r="G238" s="75">
        <v>50</v>
      </c>
      <c r="H238" s="75">
        <v>13</v>
      </c>
      <c r="I238" s="78">
        <v>47</v>
      </c>
      <c r="J238" s="81">
        <v>1.84E-2</v>
      </c>
      <c r="K238" s="77" t="s">
        <v>306</v>
      </c>
      <c r="L238" s="77" t="s">
        <v>36</v>
      </c>
      <c r="M238" s="77" t="s">
        <v>289</v>
      </c>
      <c r="N238" s="77">
        <v>25</v>
      </c>
      <c r="O238" s="77">
        <v>180</v>
      </c>
      <c r="P238" s="78"/>
      <c r="Q238" s="81">
        <v>26</v>
      </c>
      <c r="R238" s="82"/>
      <c r="S238" s="82">
        <v>1.4069523002622618E-4</v>
      </c>
      <c r="T238" s="82">
        <v>600000000</v>
      </c>
      <c r="U238" s="78">
        <v>2701</v>
      </c>
      <c r="V238" s="82">
        <v>1.7919999999999998E-2</v>
      </c>
      <c r="W238" s="82">
        <v>2.3040000000000001E-2</v>
      </c>
      <c r="X238" s="82">
        <v>0.14899999999999999</v>
      </c>
      <c r="Y238" s="78">
        <v>29.6</v>
      </c>
      <c r="Z238" s="78">
        <v>1075</v>
      </c>
      <c r="AA238" s="78">
        <f t="shared" ref="AA238:AA256" si="92">INT(AD238/2.5)</f>
        <v>30</v>
      </c>
      <c r="AB238" s="81">
        <f t="shared" si="88"/>
        <v>0.82913286946170273</v>
      </c>
      <c r="AC238" s="81">
        <f t="shared" si="78"/>
        <v>17.758998853737346</v>
      </c>
      <c r="AD238" s="81">
        <v>77</v>
      </c>
      <c r="AE238" s="81">
        <f t="shared" si="79"/>
        <v>71.627906976744185</v>
      </c>
      <c r="AF238" s="81">
        <f t="shared" si="90"/>
        <v>59.241001146262654</v>
      </c>
      <c r="AG238" s="83">
        <v>1</v>
      </c>
      <c r="AH238" s="83">
        <v>3.3358300000000001</v>
      </c>
      <c r="AI238" s="83">
        <f t="shared" si="84"/>
        <v>0.76936365125016437</v>
      </c>
      <c r="AJ238" s="81">
        <f t="shared" si="80"/>
        <v>20.637137767555462</v>
      </c>
      <c r="AK238" s="81">
        <f t="shared" si="81"/>
        <v>15.997781215159272</v>
      </c>
      <c r="AL238" s="81">
        <f t="shared" si="91"/>
        <v>2.8781389138181157</v>
      </c>
      <c r="AM238" s="83">
        <v>2.5000000000000001E-3</v>
      </c>
      <c r="AN238" s="83">
        <f t="shared" si="86"/>
        <v>2.4937655860349131E-3</v>
      </c>
      <c r="AO238" s="83">
        <v>4.7870000000000003E-2</v>
      </c>
      <c r="AP238" s="83">
        <f t="shared" ref="AP238:AP256" si="93">AO238*(AH238-AM238)+AM238</f>
        <v>0.16206650710000001</v>
      </c>
      <c r="AQ238" s="83">
        <f t="shared" si="77"/>
        <v>0.13946405486244137</v>
      </c>
      <c r="AR238" s="77" t="s">
        <v>140</v>
      </c>
    </row>
    <row r="239" spans="1:44" ht="15" customHeight="1" x14ac:dyDescent="0.25">
      <c r="A239" s="76">
        <v>238</v>
      </c>
      <c r="B239" s="76">
        <v>2000</v>
      </c>
      <c r="C239" s="77" t="s">
        <v>139</v>
      </c>
      <c r="D239" s="76">
        <v>2</v>
      </c>
      <c r="E239" s="78">
        <v>27</v>
      </c>
      <c r="F239" s="74">
        <v>0.5</v>
      </c>
      <c r="G239" s="75">
        <v>60</v>
      </c>
      <c r="H239" s="75">
        <v>13</v>
      </c>
      <c r="I239" s="78">
        <v>26</v>
      </c>
      <c r="J239" s="81">
        <v>1.12E-2</v>
      </c>
      <c r="K239" s="77" t="s">
        <v>306</v>
      </c>
      <c r="L239" s="77" t="s">
        <v>36</v>
      </c>
      <c r="M239" s="77" t="s">
        <v>289</v>
      </c>
      <c r="N239" s="77">
        <v>25</v>
      </c>
      <c r="O239" s="77">
        <v>180</v>
      </c>
      <c r="P239" s="78"/>
      <c r="Q239" s="81">
        <v>24</v>
      </c>
      <c r="R239" s="82"/>
      <c r="S239" s="82">
        <v>1.8081405486233503E-4</v>
      </c>
      <c r="T239" s="82">
        <v>600000000</v>
      </c>
      <c r="U239" s="78">
        <v>2701</v>
      </c>
      <c r="V239" s="82">
        <v>1.7919999999999998E-2</v>
      </c>
      <c r="W239" s="82">
        <v>2.3040000000000001E-2</v>
      </c>
      <c r="X239" s="82">
        <v>0.14899999999999999</v>
      </c>
      <c r="Y239" s="78">
        <v>29.6</v>
      </c>
      <c r="Z239" s="78">
        <v>1075</v>
      </c>
      <c r="AA239" s="78">
        <f t="shared" si="92"/>
        <v>30</v>
      </c>
      <c r="AB239" s="81">
        <f t="shared" si="88"/>
        <v>0.82913286946170273</v>
      </c>
      <c r="AC239" s="81">
        <f t="shared" si="78"/>
        <v>18.031182236709611</v>
      </c>
      <c r="AD239" s="81">
        <v>77</v>
      </c>
      <c r="AE239" s="81">
        <f t="shared" si="79"/>
        <v>71.627906976744185</v>
      </c>
      <c r="AF239" s="81">
        <f t="shared" si="90"/>
        <v>58.968817763290389</v>
      </c>
      <c r="AG239" s="83">
        <v>1</v>
      </c>
      <c r="AH239" s="83">
        <v>3.2703799999999998</v>
      </c>
      <c r="AI239" s="83">
        <f t="shared" si="84"/>
        <v>0.76582880212065441</v>
      </c>
      <c r="AJ239" s="81">
        <f t="shared" si="80"/>
        <v>20.502739797582414</v>
      </c>
      <c r="AK239" s="81">
        <f t="shared" si="81"/>
        <v>15.893596742311948</v>
      </c>
      <c r="AL239" s="81">
        <f t="shared" si="91"/>
        <v>2.4715575608728031</v>
      </c>
      <c r="AM239" s="83">
        <v>2.5000000000000001E-3</v>
      </c>
      <c r="AN239" s="83">
        <f t="shared" si="86"/>
        <v>2.4937655860349131E-3</v>
      </c>
      <c r="AO239" s="83">
        <v>4.1180000000000001E-2</v>
      </c>
      <c r="AP239" s="83">
        <f t="shared" si="93"/>
        <v>0.13707129840000001</v>
      </c>
      <c r="AQ239" s="83">
        <f t="shared" si="77"/>
        <v>0.12054767242201636</v>
      </c>
      <c r="AR239" s="77" t="s">
        <v>140</v>
      </c>
    </row>
    <row r="240" spans="1:44" ht="15" customHeight="1" x14ac:dyDescent="0.25">
      <c r="A240" s="76">
        <v>239</v>
      </c>
      <c r="B240" s="76">
        <v>2000</v>
      </c>
      <c r="C240" s="77" t="s">
        <v>139</v>
      </c>
      <c r="D240" s="76">
        <v>3</v>
      </c>
      <c r="E240" s="78">
        <v>20</v>
      </c>
      <c r="F240" s="74">
        <v>0.5</v>
      </c>
      <c r="G240" s="75">
        <v>70</v>
      </c>
      <c r="H240" s="75">
        <v>13</v>
      </c>
      <c r="I240" s="78">
        <v>19</v>
      </c>
      <c r="J240" s="81">
        <v>7.4000000000000003E-3</v>
      </c>
      <c r="K240" s="77" t="s">
        <v>306</v>
      </c>
      <c r="L240" s="77" t="s">
        <v>36</v>
      </c>
      <c r="M240" s="77" t="s">
        <v>289</v>
      </c>
      <c r="N240" s="77">
        <v>25</v>
      </c>
      <c r="O240" s="77">
        <v>180</v>
      </c>
      <c r="P240" s="78"/>
      <c r="Q240" s="81">
        <v>26</v>
      </c>
      <c r="R240" s="82"/>
      <c r="S240" s="82">
        <v>2.289997592817344E-4</v>
      </c>
      <c r="T240" s="82">
        <v>600000000</v>
      </c>
      <c r="U240" s="78">
        <v>2701</v>
      </c>
      <c r="V240" s="82">
        <v>1.7919999999999998E-2</v>
      </c>
      <c r="W240" s="82">
        <v>2.3040000000000001E-2</v>
      </c>
      <c r="X240" s="82">
        <v>0.14899999999999999</v>
      </c>
      <c r="Y240" s="78">
        <v>29.6</v>
      </c>
      <c r="Z240" s="78">
        <v>1075</v>
      </c>
      <c r="AA240" s="78">
        <f t="shared" si="92"/>
        <v>30</v>
      </c>
      <c r="AB240" s="81">
        <f t="shared" si="88"/>
        <v>0.82913286946170273</v>
      </c>
      <c r="AC240" s="81">
        <f t="shared" si="78"/>
        <v>18.438167485608652</v>
      </c>
      <c r="AD240" s="81">
        <v>77</v>
      </c>
      <c r="AE240" s="81">
        <f t="shared" si="79"/>
        <v>71.627906976744185</v>
      </c>
      <c r="AF240" s="81">
        <f t="shared" si="90"/>
        <v>58.561832514391348</v>
      </c>
      <c r="AG240" s="83">
        <v>1</v>
      </c>
      <c r="AH240" s="83">
        <v>3.1761200000000001</v>
      </c>
      <c r="AI240" s="83">
        <f t="shared" ref="AI240:AI271" si="94">AH240/(AH240+1)</f>
        <v>0.76054327940767985</v>
      </c>
      <c r="AJ240" s="81">
        <f t="shared" si="80"/>
        <v>20.843032266649427</v>
      </c>
      <c r="AK240" s="81">
        <f t="shared" si="81"/>
        <v>16.157389353991803</v>
      </c>
      <c r="AL240" s="81">
        <f t="shared" si="91"/>
        <v>2.4048647810407751</v>
      </c>
      <c r="AM240" s="83">
        <v>2.5000000000000001E-3</v>
      </c>
      <c r="AN240" s="83">
        <f t="shared" ref="AN240:AN271" si="95">AM240/(AM240+1)</f>
        <v>2.4937655860349131E-3</v>
      </c>
      <c r="AO240" s="83">
        <v>4.0309999999999999E-2</v>
      </c>
      <c r="AP240" s="83">
        <f t="shared" si="93"/>
        <v>0.13042862220000001</v>
      </c>
      <c r="AQ240" s="83">
        <f t="shared" si="77"/>
        <v>0.11537979456514863</v>
      </c>
      <c r="AR240" s="77" t="s">
        <v>140</v>
      </c>
    </row>
    <row r="241" spans="1:44" ht="15" customHeight="1" x14ac:dyDescent="0.25">
      <c r="A241" s="76">
        <v>240</v>
      </c>
      <c r="B241" s="76">
        <v>2000</v>
      </c>
      <c r="C241" s="77" t="s">
        <v>139</v>
      </c>
      <c r="D241" s="76">
        <v>4</v>
      </c>
      <c r="E241" s="78">
        <v>13</v>
      </c>
      <c r="F241" s="74">
        <v>0.5</v>
      </c>
      <c r="G241" s="75">
        <v>80</v>
      </c>
      <c r="H241" s="75">
        <v>13</v>
      </c>
      <c r="I241" s="78">
        <v>12</v>
      </c>
      <c r="J241" s="81">
        <v>4.1999999999999997E-3</v>
      </c>
      <c r="K241" s="77" t="s">
        <v>306</v>
      </c>
      <c r="L241" s="77" t="s">
        <v>36</v>
      </c>
      <c r="M241" s="77" t="s">
        <v>289</v>
      </c>
      <c r="N241" s="77">
        <v>25</v>
      </c>
      <c r="O241" s="77">
        <v>180</v>
      </c>
      <c r="P241" s="78"/>
      <c r="Q241" s="81">
        <v>31</v>
      </c>
      <c r="R241" s="82"/>
      <c r="S241" s="82">
        <v>2.8617211130709452E-4</v>
      </c>
      <c r="T241" s="82">
        <v>600000000</v>
      </c>
      <c r="U241" s="78">
        <v>2701</v>
      </c>
      <c r="V241" s="82">
        <v>1.7919999999999998E-2</v>
      </c>
      <c r="W241" s="82">
        <v>2.3040000000000001E-2</v>
      </c>
      <c r="X241" s="82">
        <v>0.14899999999999999</v>
      </c>
      <c r="Y241" s="78">
        <v>29.6</v>
      </c>
      <c r="Z241" s="78">
        <v>1075</v>
      </c>
      <c r="AA241" s="78">
        <f t="shared" si="92"/>
        <v>30</v>
      </c>
      <c r="AB241" s="81">
        <f t="shared" si="88"/>
        <v>0.82913286946170273</v>
      </c>
      <c r="AC241" s="81">
        <f t="shared" si="78"/>
        <v>19.663071984718982</v>
      </c>
      <c r="AD241" s="81">
        <v>77</v>
      </c>
      <c r="AE241" s="81">
        <f t="shared" si="79"/>
        <v>71.627906976744185</v>
      </c>
      <c r="AF241" s="81">
        <f t="shared" si="90"/>
        <v>57.336928015281018</v>
      </c>
      <c r="AG241" s="83">
        <v>1</v>
      </c>
      <c r="AH241" s="83">
        <v>2.9159700000000002</v>
      </c>
      <c r="AI241" s="83">
        <f t="shared" si="94"/>
        <v>0.74463542876988331</v>
      </c>
      <c r="AJ241" s="81">
        <f t="shared" si="80"/>
        <v>21.728186302780664</v>
      </c>
      <c r="AK241" s="81">
        <f t="shared" si="81"/>
        <v>16.843555273473381</v>
      </c>
      <c r="AL241" s="81">
        <f t="shared" si="91"/>
        <v>2.0651143180616809</v>
      </c>
      <c r="AM241" s="83">
        <v>2.5000000000000001E-3</v>
      </c>
      <c r="AN241" s="83">
        <f t="shared" si="95"/>
        <v>2.4937655860349131E-3</v>
      </c>
      <c r="AO241" s="83">
        <v>3.5189999999999999E-2</v>
      </c>
      <c r="AP241" s="83">
        <f t="shared" si="93"/>
        <v>0.10502500930000001</v>
      </c>
      <c r="AQ241" s="83">
        <f t="shared" si="77"/>
        <v>9.5043106188637469E-2</v>
      </c>
      <c r="AR241" s="77" t="s">
        <v>140</v>
      </c>
    </row>
    <row r="242" spans="1:44" ht="15" customHeight="1" x14ac:dyDescent="0.25">
      <c r="A242" s="76">
        <v>241</v>
      </c>
      <c r="B242" s="76">
        <v>2000</v>
      </c>
      <c r="C242" s="77" t="s">
        <v>139</v>
      </c>
      <c r="D242" s="76">
        <v>5</v>
      </c>
      <c r="E242" s="78">
        <v>31</v>
      </c>
      <c r="F242" s="74">
        <v>0.25</v>
      </c>
      <c r="G242" s="75">
        <v>70</v>
      </c>
      <c r="H242" s="75">
        <v>23</v>
      </c>
      <c r="I242" s="78">
        <v>30</v>
      </c>
      <c r="J242" s="81">
        <v>1.1299999999999999E-2</v>
      </c>
      <c r="K242" s="77" t="s">
        <v>306</v>
      </c>
      <c r="L242" s="77" t="s">
        <v>36</v>
      </c>
      <c r="M242" s="77" t="s">
        <v>289</v>
      </c>
      <c r="N242" s="77">
        <v>25</v>
      </c>
      <c r="O242" s="77">
        <v>180</v>
      </c>
      <c r="P242" s="78"/>
      <c r="Q242" s="81">
        <v>23</v>
      </c>
      <c r="R242" s="82"/>
      <c r="S242" s="82">
        <v>2.289997592817344E-4</v>
      </c>
      <c r="T242" s="82">
        <v>600000000</v>
      </c>
      <c r="U242" s="78">
        <v>2701</v>
      </c>
      <c r="V242" s="82">
        <v>1.7919999999999998E-2</v>
      </c>
      <c r="W242" s="82">
        <v>2.3040000000000001E-2</v>
      </c>
      <c r="X242" s="82">
        <v>0.14899999999999999</v>
      </c>
      <c r="Y242" s="78">
        <v>29.6</v>
      </c>
      <c r="Z242" s="78">
        <v>1075</v>
      </c>
      <c r="AA242" s="78">
        <f t="shared" si="92"/>
        <v>30</v>
      </c>
      <c r="AB242" s="81">
        <f t="shared" si="88"/>
        <v>0.82913286946170273</v>
      </c>
      <c r="AC242" s="81">
        <f t="shared" si="78"/>
        <v>17.758998853737346</v>
      </c>
      <c r="AD242" s="81">
        <v>77</v>
      </c>
      <c r="AE242" s="81">
        <f t="shared" si="79"/>
        <v>71.627906976744185</v>
      </c>
      <c r="AF242" s="81">
        <f t="shared" si="90"/>
        <v>59.241001146262654</v>
      </c>
      <c r="AG242" s="83">
        <v>1</v>
      </c>
      <c r="AH242" s="83">
        <v>3.3358300000000001</v>
      </c>
      <c r="AI242" s="83">
        <f t="shared" si="94"/>
        <v>0.76936365125016437</v>
      </c>
      <c r="AJ242" s="81">
        <f t="shared" si="80"/>
        <v>19.886524833284515</v>
      </c>
      <c r="AK242" s="81">
        <f t="shared" si="81"/>
        <v>15.415910723476369</v>
      </c>
      <c r="AL242" s="81">
        <f t="shared" si="91"/>
        <v>2.1275259795471686</v>
      </c>
      <c r="AM242" s="83">
        <v>2.5000000000000001E-3</v>
      </c>
      <c r="AN242" s="83">
        <f t="shared" si="95"/>
        <v>2.4937655860349131E-3</v>
      </c>
      <c r="AO242" s="83">
        <v>3.5189999999999999E-2</v>
      </c>
      <c r="AP242" s="83">
        <f t="shared" si="93"/>
        <v>0.1197998827</v>
      </c>
      <c r="AQ242" s="83">
        <f t="shared" si="77"/>
        <v>0.10698329634679467</v>
      </c>
      <c r="AR242" s="77" t="s">
        <v>140</v>
      </c>
    </row>
    <row r="243" spans="1:44" ht="15" customHeight="1" x14ac:dyDescent="0.25">
      <c r="A243" s="76">
        <v>242</v>
      </c>
      <c r="B243" s="76">
        <v>2000</v>
      </c>
      <c r="C243" s="77" t="s">
        <v>139</v>
      </c>
      <c r="D243" s="76">
        <v>6</v>
      </c>
      <c r="E243" s="78">
        <v>26</v>
      </c>
      <c r="F243" s="74">
        <v>0.5</v>
      </c>
      <c r="G243" s="75">
        <v>70</v>
      </c>
      <c r="H243" s="75">
        <v>23</v>
      </c>
      <c r="I243" s="78">
        <v>25</v>
      </c>
      <c r="J243" s="81">
        <v>0.01</v>
      </c>
      <c r="K243" s="77" t="s">
        <v>306</v>
      </c>
      <c r="L243" s="77" t="s">
        <v>36</v>
      </c>
      <c r="M243" s="77" t="s">
        <v>289</v>
      </c>
      <c r="N243" s="77">
        <v>25</v>
      </c>
      <c r="O243" s="77">
        <v>180</v>
      </c>
      <c r="P243" s="78"/>
      <c r="Q243" s="81">
        <v>25</v>
      </c>
      <c r="R243" s="82"/>
      <c r="S243" s="82">
        <v>2.289997592817344E-4</v>
      </c>
      <c r="T243" s="82">
        <v>600000000</v>
      </c>
      <c r="U243" s="78">
        <v>2701</v>
      </c>
      <c r="V243" s="82">
        <v>1.7919999999999998E-2</v>
      </c>
      <c r="W243" s="82">
        <v>2.3040000000000001E-2</v>
      </c>
      <c r="X243" s="82">
        <v>0.14899999999999999</v>
      </c>
      <c r="Y243" s="78">
        <v>29.6</v>
      </c>
      <c r="Z243" s="78">
        <v>1075</v>
      </c>
      <c r="AA243" s="78">
        <f t="shared" si="92"/>
        <v>30</v>
      </c>
      <c r="AB243" s="81">
        <f t="shared" si="88"/>
        <v>0.82913286946170273</v>
      </c>
      <c r="AC243" s="81">
        <f t="shared" si="78"/>
        <v>18.031351133633386</v>
      </c>
      <c r="AD243" s="81">
        <v>77</v>
      </c>
      <c r="AE243" s="81">
        <f t="shared" si="79"/>
        <v>71.627906976744185</v>
      </c>
      <c r="AF243" s="81">
        <f t="shared" si="90"/>
        <v>58.968648866366614</v>
      </c>
      <c r="AG243" s="83">
        <v>1</v>
      </c>
      <c r="AH243" s="83">
        <v>3.27034</v>
      </c>
      <c r="AI243" s="83">
        <f t="shared" si="94"/>
        <v>0.7658266086541119</v>
      </c>
      <c r="AJ243" s="81">
        <f t="shared" si="80"/>
        <v>20.362074810717647</v>
      </c>
      <c r="AK243" s="81">
        <f t="shared" si="81"/>
        <v>15.784554116835384</v>
      </c>
      <c r="AL243" s="81">
        <f t="shared" si="91"/>
        <v>2.3307236770842596</v>
      </c>
      <c r="AM243" s="83">
        <v>2.5000000000000001E-3</v>
      </c>
      <c r="AN243" s="83">
        <f t="shared" si="95"/>
        <v>2.4937655860349131E-3</v>
      </c>
      <c r="AO243" s="83">
        <v>3.8789999999999998E-2</v>
      </c>
      <c r="AP243" s="83">
        <f t="shared" si="93"/>
        <v>0.12925951359999999</v>
      </c>
      <c r="AQ243" s="83">
        <f t="shared" si="77"/>
        <v>0.1144639580568418</v>
      </c>
      <c r="AR243" s="77" t="s">
        <v>140</v>
      </c>
    </row>
    <row r="244" spans="1:44" ht="15" customHeight="1" x14ac:dyDescent="0.25">
      <c r="A244" s="76">
        <v>243</v>
      </c>
      <c r="B244" s="76">
        <v>2000</v>
      </c>
      <c r="C244" s="77" t="s">
        <v>139</v>
      </c>
      <c r="D244" s="76">
        <v>7</v>
      </c>
      <c r="E244" s="78">
        <v>24</v>
      </c>
      <c r="F244" s="74">
        <v>0.75</v>
      </c>
      <c r="G244" s="75">
        <v>70</v>
      </c>
      <c r="H244" s="75">
        <v>23</v>
      </c>
      <c r="I244" s="78">
        <v>23</v>
      </c>
      <c r="J244" s="81">
        <v>1.32E-2</v>
      </c>
      <c r="K244" s="77" t="s">
        <v>306</v>
      </c>
      <c r="L244" s="77" t="s">
        <v>36</v>
      </c>
      <c r="M244" s="77" t="s">
        <v>289</v>
      </c>
      <c r="N244" s="77">
        <v>25</v>
      </c>
      <c r="O244" s="77">
        <v>180</v>
      </c>
      <c r="P244" s="78"/>
      <c r="Q244" s="81">
        <v>31</v>
      </c>
      <c r="R244" s="82"/>
      <c r="S244" s="82">
        <v>2.289997592817344E-4</v>
      </c>
      <c r="T244" s="82">
        <v>600000000</v>
      </c>
      <c r="U244" s="78">
        <v>2701</v>
      </c>
      <c r="V244" s="82">
        <v>1.7919999999999998E-2</v>
      </c>
      <c r="W244" s="82">
        <v>2.3040000000000001E-2</v>
      </c>
      <c r="X244" s="82">
        <v>0.14899999999999999</v>
      </c>
      <c r="Y244" s="78">
        <v>29.6</v>
      </c>
      <c r="Z244" s="78">
        <v>1075</v>
      </c>
      <c r="AA244" s="78">
        <f t="shared" si="92"/>
        <v>30</v>
      </c>
      <c r="AB244" s="81">
        <f t="shared" si="88"/>
        <v>0.82913286946170273</v>
      </c>
      <c r="AC244" s="81">
        <f t="shared" si="78"/>
        <v>18.438167485608652</v>
      </c>
      <c r="AD244" s="81">
        <v>77</v>
      </c>
      <c r="AE244" s="81">
        <f t="shared" si="79"/>
        <v>71.627906976744185</v>
      </c>
      <c r="AF244" s="81">
        <f t="shared" si="90"/>
        <v>58.561832514391348</v>
      </c>
      <c r="AG244" s="83">
        <v>1</v>
      </c>
      <c r="AH244" s="83">
        <v>3.1761200000000001</v>
      </c>
      <c r="AI244" s="83">
        <f t="shared" si="94"/>
        <v>0.76054327940767985</v>
      </c>
      <c r="AJ244" s="81">
        <f t="shared" si="80"/>
        <v>20.493693316188232</v>
      </c>
      <c r="AK244" s="81">
        <f t="shared" si="81"/>
        <v>15.886583966037389</v>
      </c>
      <c r="AL244" s="81">
        <f t="shared" si="91"/>
        <v>2.0555258305795814</v>
      </c>
      <c r="AM244" s="83">
        <v>2.5000000000000001E-3</v>
      </c>
      <c r="AN244" s="83">
        <f t="shared" si="95"/>
        <v>2.4937655860349131E-3</v>
      </c>
      <c r="AO244" s="83">
        <v>3.4340000000000002E-2</v>
      </c>
      <c r="AP244" s="83">
        <f t="shared" si="93"/>
        <v>0.11148211080000002</v>
      </c>
      <c r="AQ244" s="83">
        <f t="shared" si="77"/>
        <v>0.10030040944137167</v>
      </c>
      <c r="AR244" s="77" t="s">
        <v>140</v>
      </c>
    </row>
    <row r="245" spans="1:44" ht="15" customHeight="1" x14ac:dyDescent="0.25">
      <c r="A245" s="76">
        <v>244</v>
      </c>
      <c r="B245" s="76">
        <v>2000</v>
      </c>
      <c r="C245" s="77" t="s">
        <v>139</v>
      </c>
      <c r="D245" s="76">
        <v>8</v>
      </c>
      <c r="E245" s="78">
        <v>22</v>
      </c>
      <c r="F245" s="74">
        <v>1</v>
      </c>
      <c r="G245" s="75">
        <v>70</v>
      </c>
      <c r="H245" s="75">
        <v>23</v>
      </c>
      <c r="I245" s="78">
        <v>21</v>
      </c>
      <c r="J245" s="81">
        <v>2.1999999999999999E-2</v>
      </c>
      <c r="K245" s="77" t="s">
        <v>306</v>
      </c>
      <c r="L245" s="77" t="s">
        <v>36</v>
      </c>
      <c r="M245" s="77" t="s">
        <v>289</v>
      </c>
      <c r="N245" s="77">
        <v>25</v>
      </c>
      <c r="O245" s="77">
        <v>180</v>
      </c>
      <c r="P245" s="78"/>
      <c r="Q245" s="81">
        <v>29</v>
      </c>
      <c r="R245" s="82"/>
      <c r="S245" s="82">
        <v>2.289997592817344E-4</v>
      </c>
      <c r="T245" s="82">
        <v>600000000</v>
      </c>
      <c r="U245" s="78">
        <v>2701</v>
      </c>
      <c r="V245" s="82">
        <v>1.7919999999999998E-2</v>
      </c>
      <c r="W245" s="82">
        <v>2.3040000000000001E-2</v>
      </c>
      <c r="X245" s="82">
        <v>0.14899999999999999</v>
      </c>
      <c r="Y245" s="78">
        <v>29.6</v>
      </c>
      <c r="Z245" s="78">
        <v>1075</v>
      </c>
      <c r="AA245" s="78">
        <f t="shared" si="92"/>
        <v>30</v>
      </c>
      <c r="AB245" s="81">
        <f t="shared" si="88"/>
        <v>0.82913286946170273</v>
      </c>
      <c r="AC245" s="81">
        <f t="shared" si="78"/>
        <v>19.663071984718982</v>
      </c>
      <c r="AD245" s="81">
        <v>77</v>
      </c>
      <c r="AE245" s="81">
        <f t="shared" si="79"/>
        <v>71.627906976744185</v>
      </c>
      <c r="AF245" s="81">
        <f t="shared" si="90"/>
        <v>57.336928015281018</v>
      </c>
      <c r="AG245" s="83">
        <v>1</v>
      </c>
      <c r="AH245" s="83">
        <v>2.9159700000000002</v>
      </c>
      <c r="AI245" s="83">
        <f t="shared" si="94"/>
        <v>0.74463542876988331</v>
      </c>
      <c r="AJ245" s="81">
        <f t="shared" si="80"/>
        <v>21.063075289187609</v>
      </c>
      <c r="AK245" s="81">
        <f t="shared" si="81"/>
        <v>16.32796534045551</v>
      </c>
      <c r="AL245" s="81">
        <f t="shared" si="91"/>
        <v>1.4000033044686249</v>
      </c>
      <c r="AM245" s="83">
        <v>2.5000000000000001E-3</v>
      </c>
      <c r="AN245" s="83">
        <f t="shared" si="95"/>
        <v>2.4937655860349131E-3</v>
      </c>
      <c r="AO245" s="83">
        <v>2.358E-2</v>
      </c>
      <c r="AP245" s="83">
        <f t="shared" si="93"/>
        <v>7.1199622600000012E-2</v>
      </c>
      <c r="AQ245" s="83">
        <f t="shared" si="77"/>
        <v>6.6467184171690924E-2</v>
      </c>
      <c r="AR245" s="77" t="s">
        <v>140</v>
      </c>
    </row>
    <row r="246" spans="1:44" ht="15" customHeight="1" x14ac:dyDescent="0.25">
      <c r="A246" s="76">
        <v>245</v>
      </c>
      <c r="B246" s="76">
        <v>2000</v>
      </c>
      <c r="C246" s="77" t="s">
        <v>139</v>
      </c>
      <c r="D246" s="76">
        <v>9</v>
      </c>
      <c r="E246" s="78">
        <v>18</v>
      </c>
      <c r="F246" s="74">
        <v>0.75</v>
      </c>
      <c r="G246" s="75">
        <v>70</v>
      </c>
      <c r="H246" s="75">
        <v>13</v>
      </c>
      <c r="I246" s="78">
        <v>17</v>
      </c>
      <c r="J246" s="81">
        <v>4.7999999999999996E-3</v>
      </c>
      <c r="K246" s="77" t="s">
        <v>306</v>
      </c>
      <c r="L246" s="77" t="s">
        <v>36</v>
      </c>
      <c r="M246" s="77" t="s">
        <v>289</v>
      </c>
      <c r="N246" s="77">
        <v>25</v>
      </c>
      <c r="O246" s="77">
        <v>180</v>
      </c>
      <c r="P246" s="78"/>
      <c r="Q246" s="81">
        <v>28</v>
      </c>
      <c r="R246" s="82"/>
      <c r="S246" s="82">
        <v>2.289997592817344E-4</v>
      </c>
      <c r="T246" s="82">
        <v>600000000</v>
      </c>
      <c r="U246" s="78">
        <v>2701</v>
      </c>
      <c r="V246" s="82">
        <v>1.7919999999999998E-2</v>
      </c>
      <c r="W246" s="82">
        <v>2.3040000000000001E-2</v>
      </c>
      <c r="X246" s="82">
        <v>0.14899999999999999</v>
      </c>
      <c r="Y246" s="78">
        <v>29.6</v>
      </c>
      <c r="Z246" s="78">
        <v>1075</v>
      </c>
      <c r="AA246" s="78">
        <f t="shared" si="92"/>
        <v>30</v>
      </c>
      <c r="AB246" s="81">
        <f t="shared" si="88"/>
        <v>0.82913286946170273</v>
      </c>
      <c r="AC246" s="81">
        <f t="shared" si="78"/>
        <v>18.438167485608652</v>
      </c>
      <c r="AD246" s="81">
        <v>77</v>
      </c>
      <c r="AE246" s="81">
        <f t="shared" si="79"/>
        <v>71.627906976744185</v>
      </c>
      <c r="AF246" s="81">
        <f t="shared" si="90"/>
        <v>58.561832514391348</v>
      </c>
      <c r="AG246" s="83">
        <v>1</v>
      </c>
      <c r="AH246" s="83">
        <v>3.1761200000000001</v>
      </c>
      <c r="AI246" s="83">
        <f t="shared" si="94"/>
        <v>0.76054327940767985</v>
      </c>
      <c r="AJ246" s="81">
        <f t="shared" si="80"/>
        <v>20.701424182877886</v>
      </c>
      <c r="AK246" s="81">
        <f t="shared" si="81"/>
        <v>16.047615645641773</v>
      </c>
      <c r="AL246" s="81">
        <f t="shared" si="91"/>
        <v>2.2632566972692354</v>
      </c>
      <c r="AM246" s="83">
        <v>2.5000000000000001E-3</v>
      </c>
      <c r="AN246" s="83">
        <f t="shared" si="95"/>
        <v>2.4937655860349131E-3</v>
      </c>
      <c r="AO246" s="83">
        <v>3.789E-2</v>
      </c>
      <c r="AP246" s="83">
        <f t="shared" si="93"/>
        <v>0.1227484618</v>
      </c>
      <c r="AQ246" s="83">
        <f t="shared" si="77"/>
        <v>0.10932855040674792</v>
      </c>
      <c r="AR246" s="77" t="s">
        <v>140</v>
      </c>
    </row>
    <row r="247" spans="1:44" ht="15" customHeight="1" x14ac:dyDescent="0.25">
      <c r="A247" s="76">
        <v>246</v>
      </c>
      <c r="B247" s="76">
        <v>2000</v>
      </c>
      <c r="C247" s="77" t="s">
        <v>139</v>
      </c>
      <c r="D247" s="76">
        <v>10</v>
      </c>
      <c r="E247" s="78">
        <v>20</v>
      </c>
      <c r="F247" s="74">
        <v>0.75</v>
      </c>
      <c r="G247" s="75">
        <v>70</v>
      </c>
      <c r="H247" s="75">
        <v>18</v>
      </c>
      <c r="I247" s="78">
        <v>19</v>
      </c>
      <c r="J247" s="81">
        <v>1.4500000000000001E-2</v>
      </c>
      <c r="K247" s="77" t="s">
        <v>306</v>
      </c>
      <c r="L247" s="77" t="s">
        <v>36</v>
      </c>
      <c r="M247" s="77" t="s">
        <v>289</v>
      </c>
      <c r="N247" s="77">
        <v>25</v>
      </c>
      <c r="O247" s="77">
        <v>180</v>
      </c>
      <c r="P247" s="78"/>
      <c r="Q247" s="81">
        <v>32</v>
      </c>
      <c r="R247" s="82"/>
      <c r="S247" s="82">
        <v>2.289997592817344E-4</v>
      </c>
      <c r="T247" s="82">
        <v>600000000</v>
      </c>
      <c r="U247" s="78">
        <v>2701</v>
      </c>
      <c r="V247" s="82">
        <v>1.7919999999999998E-2</v>
      </c>
      <c r="W247" s="82">
        <v>2.3040000000000001E-2</v>
      </c>
      <c r="X247" s="82">
        <v>0.14899999999999999</v>
      </c>
      <c r="Y247" s="78">
        <v>29.6</v>
      </c>
      <c r="Z247" s="78">
        <v>1075</v>
      </c>
      <c r="AA247" s="78">
        <f t="shared" si="92"/>
        <v>30</v>
      </c>
      <c r="AB247" s="81">
        <f t="shared" si="88"/>
        <v>0.82913286946170273</v>
      </c>
      <c r="AC247" s="81">
        <f t="shared" si="78"/>
        <v>18.438167485608652</v>
      </c>
      <c r="AD247" s="81">
        <v>77</v>
      </c>
      <c r="AE247" s="81">
        <f t="shared" si="79"/>
        <v>71.627906976744185</v>
      </c>
      <c r="AF247" s="81">
        <f t="shared" si="90"/>
        <v>58.561832514391348</v>
      </c>
      <c r="AG247" s="83">
        <v>1</v>
      </c>
      <c r="AH247" s="83">
        <v>3.1761200000000001</v>
      </c>
      <c r="AI247" s="83">
        <f t="shared" si="94"/>
        <v>0.76054327940767985</v>
      </c>
      <c r="AJ247" s="81">
        <f t="shared" si="80"/>
        <v>20.837765850310817</v>
      </c>
      <c r="AK247" s="81">
        <f t="shared" si="81"/>
        <v>16.153306860706056</v>
      </c>
      <c r="AL247" s="81">
        <f t="shared" si="91"/>
        <v>2.3995983647021641</v>
      </c>
      <c r="AM247" s="83">
        <v>2.5000000000000001E-3</v>
      </c>
      <c r="AN247" s="83">
        <f t="shared" si="95"/>
        <v>2.4937655860349131E-3</v>
      </c>
      <c r="AO247" s="83">
        <v>4.0219999999999999E-2</v>
      </c>
      <c r="AP247" s="83">
        <f t="shared" si="93"/>
        <v>0.13014299640000002</v>
      </c>
      <c r="AQ247" s="83">
        <f t="shared" si="77"/>
        <v>0.11515622077432892</v>
      </c>
      <c r="AR247" s="77" t="s">
        <v>140</v>
      </c>
    </row>
    <row r="248" spans="1:44" ht="15" customHeight="1" x14ac:dyDescent="0.25">
      <c r="A248" s="76">
        <v>247</v>
      </c>
      <c r="B248" s="76">
        <v>2000</v>
      </c>
      <c r="C248" s="77" t="s">
        <v>139</v>
      </c>
      <c r="D248" s="76">
        <v>11</v>
      </c>
      <c r="E248" s="78">
        <v>50</v>
      </c>
      <c r="F248" s="74">
        <v>0.25</v>
      </c>
      <c r="G248" s="75">
        <v>50</v>
      </c>
      <c r="H248" s="75">
        <v>18</v>
      </c>
      <c r="I248" s="78">
        <v>58</v>
      </c>
      <c r="J248" s="81">
        <v>2.5000000000000001E-3</v>
      </c>
      <c r="K248" s="77" t="s">
        <v>306</v>
      </c>
      <c r="L248" s="77" t="s">
        <v>36</v>
      </c>
      <c r="M248" s="77" t="s">
        <v>289</v>
      </c>
      <c r="N248" s="77">
        <v>25</v>
      </c>
      <c r="O248" s="77">
        <v>180</v>
      </c>
      <c r="P248" s="78"/>
      <c r="Q248" s="81">
        <v>19</v>
      </c>
      <c r="R248" s="82"/>
      <c r="S248" s="82">
        <v>1.4069523002622618E-4</v>
      </c>
      <c r="T248" s="82">
        <v>600000000</v>
      </c>
      <c r="U248" s="78">
        <v>2701</v>
      </c>
      <c r="V248" s="82">
        <v>1.7919999999999998E-2</v>
      </c>
      <c r="W248" s="82">
        <v>2.3040000000000001E-2</v>
      </c>
      <c r="X248" s="82">
        <v>0.14899999999999999</v>
      </c>
      <c r="Y248" s="78">
        <v>29.6</v>
      </c>
      <c r="Z248" s="78">
        <v>1075</v>
      </c>
      <c r="AA248" s="78">
        <f t="shared" si="92"/>
        <v>30</v>
      </c>
      <c r="AB248" s="81">
        <f t="shared" si="88"/>
        <v>0.82913286946170273</v>
      </c>
      <c r="AC248" s="81">
        <f t="shared" si="78"/>
        <v>17.758998853737346</v>
      </c>
      <c r="AD248" s="81">
        <v>77</v>
      </c>
      <c r="AE248" s="81">
        <f t="shared" si="79"/>
        <v>71.627906976744185</v>
      </c>
      <c r="AF248" s="81">
        <f t="shared" si="90"/>
        <v>59.241001146262654</v>
      </c>
      <c r="AG248" s="83">
        <v>1</v>
      </c>
      <c r="AH248" s="83">
        <v>3.3358300000000001</v>
      </c>
      <c r="AI248" s="83">
        <f t="shared" si="94"/>
        <v>0.76936365125016437</v>
      </c>
      <c r="AJ248" s="81">
        <f t="shared" si="80"/>
        <v>20.309188583339292</v>
      </c>
      <c r="AK248" s="81">
        <f t="shared" si="81"/>
        <v>15.743557041348287</v>
      </c>
      <c r="AL248" s="81">
        <f t="shared" si="91"/>
        <v>2.5501897296019451</v>
      </c>
      <c r="AM248" s="83">
        <v>2.5000000000000001E-3</v>
      </c>
      <c r="AN248" s="83">
        <f t="shared" si="95"/>
        <v>2.4937655860349131E-3</v>
      </c>
      <c r="AO248" s="83">
        <v>4.233E-2</v>
      </c>
      <c r="AP248" s="83">
        <f t="shared" si="93"/>
        <v>0.14359985890000002</v>
      </c>
      <c r="AQ248" s="83">
        <f t="shared" si="77"/>
        <v>0.12556827266324178</v>
      </c>
      <c r="AR248" s="77" t="s">
        <v>140</v>
      </c>
    </row>
    <row r="249" spans="1:44" ht="15" customHeight="1" x14ac:dyDescent="0.25">
      <c r="A249" s="76">
        <v>248</v>
      </c>
      <c r="B249" s="76">
        <v>2000</v>
      </c>
      <c r="C249" s="77" t="s">
        <v>139</v>
      </c>
      <c r="D249" s="76">
        <v>12</v>
      </c>
      <c r="E249" s="78">
        <v>39</v>
      </c>
      <c r="F249" s="74">
        <v>0.25</v>
      </c>
      <c r="G249" s="75">
        <v>60</v>
      </c>
      <c r="H249" s="75">
        <v>18</v>
      </c>
      <c r="I249" s="78">
        <v>38</v>
      </c>
      <c r="J249" s="81">
        <v>1.4E-2</v>
      </c>
      <c r="K249" s="77" t="s">
        <v>306</v>
      </c>
      <c r="L249" s="77" t="s">
        <v>36</v>
      </c>
      <c r="M249" s="77" t="s">
        <v>289</v>
      </c>
      <c r="N249" s="77">
        <v>25</v>
      </c>
      <c r="O249" s="77">
        <v>180</v>
      </c>
      <c r="P249" s="78"/>
      <c r="Q249" s="81">
        <v>25</v>
      </c>
      <c r="R249" s="82"/>
      <c r="S249" s="82">
        <v>1.8081405486233503E-4</v>
      </c>
      <c r="T249" s="82">
        <v>600000000</v>
      </c>
      <c r="U249" s="78">
        <v>2701</v>
      </c>
      <c r="V249" s="82">
        <v>1.7919999999999998E-2</v>
      </c>
      <c r="W249" s="82">
        <v>2.3040000000000001E-2</v>
      </c>
      <c r="X249" s="82">
        <v>0.14899999999999999</v>
      </c>
      <c r="Y249" s="78">
        <v>29.6</v>
      </c>
      <c r="Z249" s="78">
        <v>1075</v>
      </c>
      <c r="AA249" s="78">
        <f t="shared" si="92"/>
        <v>30</v>
      </c>
      <c r="AB249" s="81">
        <f t="shared" si="88"/>
        <v>0.82913286946170273</v>
      </c>
      <c r="AC249" s="81">
        <f t="shared" si="78"/>
        <v>18.031182236709611</v>
      </c>
      <c r="AD249" s="81">
        <v>77</v>
      </c>
      <c r="AE249" s="81">
        <f t="shared" si="79"/>
        <v>71.627906976744185</v>
      </c>
      <c r="AF249" s="81">
        <f t="shared" si="90"/>
        <v>58.968817763290389</v>
      </c>
      <c r="AG249" s="83">
        <v>1</v>
      </c>
      <c r="AH249" s="83">
        <v>3.2703799999999998</v>
      </c>
      <c r="AI249" s="83">
        <f t="shared" si="94"/>
        <v>0.76582880212065441</v>
      </c>
      <c r="AJ249" s="81">
        <f t="shared" si="80"/>
        <v>20.404337152103558</v>
      </c>
      <c r="AK249" s="81">
        <f t="shared" si="81"/>
        <v>15.817315621785704</v>
      </c>
      <c r="AL249" s="81">
        <f t="shared" si="91"/>
        <v>2.373154915393946</v>
      </c>
      <c r="AM249" s="83">
        <v>2.5000000000000001E-3</v>
      </c>
      <c r="AN249" s="83">
        <f t="shared" si="95"/>
        <v>2.4937655860349131E-3</v>
      </c>
      <c r="AO249" s="83">
        <v>3.9510000000000003E-2</v>
      </c>
      <c r="AP249" s="83">
        <f t="shared" si="93"/>
        <v>0.1316139388</v>
      </c>
      <c r="AQ249" s="83">
        <f t="shared" si="77"/>
        <v>0.11630639592471588</v>
      </c>
      <c r="AR249" s="77" t="s">
        <v>140</v>
      </c>
    </row>
    <row r="250" spans="1:44" ht="15" customHeight="1" x14ac:dyDescent="0.25">
      <c r="A250" s="76">
        <v>249</v>
      </c>
      <c r="B250" s="76">
        <v>2000</v>
      </c>
      <c r="C250" s="77" t="s">
        <v>139</v>
      </c>
      <c r="D250" s="76">
        <v>13</v>
      </c>
      <c r="E250" s="78">
        <v>25</v>
      </c>
      <c r="F250" s="74">
        <v>0.25</v>
      </c>
      <c r="G250" s="75">
        <v>70</v>
      </c>
      <c r="H250" s="75">
        <v>18</v>
      </c>
      <c r="I250" s="78">
        <v>24</v>
      </c>
      <c r="J250" s="81">
        <v>4.7999999999999996E-3</v>
      </c>
      <c r="K250" s="77" t="s">
        <v>306</v>
      </c>
      <c r="L250" s="77" t="s">
        <v>36</v>
      </c>
      <c r="M250" s="77" t="s">
        <v>289</v>
      </c>
      <c r="N250" s="77">
        <v>25</v>
      </c>
      <c r="O250" s="77">
        <v>180</v>
      </c>
      <c r="P250" s="78"/>
      <c r="Q250" s="81">
        <v>22</v>
      </c>
      <c r="R250" s="82"/>
      <c r="S250" s="82">
        <v>2.289997592817344E-4</v>
      </c>
      <c r="T250" s="82">
        <v>600000000</v>
      </c>
      <c r="U250" s="78">
        <v>2701</v>
      </c>
      <c r="V250" s="82">
        <v>1.7919999999999998E-2</v>
      </c>
      <c r="W250" s="82">
        <v>2.3040000000000001E-2</v>
      </c>
      <c r="X250" s="82">
        <v>0.14899999999999999</v>
      </c>
      <c r="Y250" s="78">
        <v>29.6</v>
      </c>
      <c r="Z250" s="78">
        <v>1075</v>
      </c>
      <c r="AA250" s="78">
        <f t="shared" si="92"/>
        <v>30</v>
      </c>
      <c r="AB250" s="81">
        <f t="shared" ref="AB250:AB256" si="96">POWER(3/(4*PI())*AE250/AA250,1/3)</f>
        <v>0.82913286946170273</v>
      </c>
      <c r="AC250" s="81">
        <f t="shared" si="78"/>
        <v>18.438167485608652</v>
      </c>
      <c r="AD250" s="81">
        <v>77</v>
      </c>
      <c r="AE250" s="81">
        <f t="shared" si="79"/>
        <v>71.627906976744185</v>
      </c>
      <c r="AF250" s="81">
        <f t="shared" si="90"/>
        <v>58.561832514391348</v>
      </c>
      <c r="AG250" s="83">
        <v>1</v>
      </c>
      <c r="AH250" s="83">
        <v>3.1761200000000001</v>
      </c>
      <c r="AI250" s="83">
        <f t="shared" si="94"/>
        <v>0.76054327940767985</v>
      </c>
      <c r="AJ250" s="81">
        <f t="shared" si="80"/>
        <v>20.938998075486335</v>
      </c>
      <c r="AK250" s="81">
        <f t="shared" si="81"/>
        <v>16.231781453865377</v>
      </c>
      <c r="AL250" s="81">
        <f t="shared" si="91"/>
        <v>2.5008305898776855</v>
      </c>
      <c r="AM250" s="83">
        <v>2.5000000000000001E-3</v>
      </c>
      <c r="AN250" s="83">
        <f t="shared" si="95"/>
        <v>2.4937655860349131E-3</v>
      </c>
      <c r="AO250" s="83">
        <v>4.1950000000000001E-2</v>
      </c>
      <c r="AP250" s="83">
        <f t="shared" si="93"/>
        <v>0.13563335900000001</v>
      </c>
      <c r="AQ250" s="83">
        <f t="shared" si="77"/>
        <v>0.11943410954344817</v>
      </c>
      <c r="AR250" s="77" t="s">
        <v>140</v>
      </c>
    </row>
    <row r="251" spans="1:44" ht="15" customHeight="1" x14ac:dyDescent="0.25">
      <c r="A251" s="76">
        <v>250</v>
      </c>
      <c r="B251" s="76">
        <v>2000</v>
      </c>
      <c r="C251" s="77" t="s">
        <v>139</v>
      </c>
      <c r="D251" s="76">
        <v>14</v>
      </c>
      <c r="E251" s="78">
        <v>13</v>
      </c>
      <c r="F251" s="74">
        <v>0.25</v>
      </c>
      <c r="G251" s="75">
        <v>80</v>
      </c>
      <c r="H251" s="75">
        <v>18</v>
      </c>
      <c r="I251" s="78">
        <v>12</v>
      </c>
      <c r="J251" s="81">
        <v>7.9000000000000008E-3</v>
      </c>
      <c r="K251" s="77" t="s">
        <v>306</v>
      </c>
      <c r="L251" s="77" t="s">
        <v>36</v>
      </c>
      <c r="M251" s="77" t="s">
        <v>289</v>
      </c>
      <c r="N251" s="77">
        <v>25</v>
      </c>
      <c r="O251" s="77">
        <v>180</v>
      </c>
      <c r="P251" s="78"/>
      <c r="Q251" s="81">
        <v>30</v>
      </c>
      <c r="R251" s="82"/>
      <c r="S251" s="82">
        <v>2.8617211130709452E-4</v>
      </c>
      <c r="T251" s="82">
        <v>600000000</v>
      </c>
      <c r="U251" s="78">
        <v>2701</v>
      </c>
      <c r="V251" s="82">
        <v>1.7919999999999998E-2</v>
      </c>
      <c r="W251" s="82">
        <v>2.3040000000000001E-2</v>
      </c>
      <c r="X251" s="82">
        <v>0.14899999999999999</v>
      </c>
      <c r="Y251" s="78">
        <v>29.6</v>
      </c>
      <c r="Z251" s="78">
        <v>1075</v>
      </c>
      <c r="AA251" s="78">
        <f t="shared" si="92"/>
        <v>30</v>
      </c>
      <c r="AB251" s="81">
        <f t="shared" si="96"/>
        <v>0.82913286946170273</v>
      </c>
      <c r="AC251" s="81">
        <f t="shared" si="78"/>
        <v>19.663071984718982</v>
      </c>
      <c r="AD251" s="81">
        <v>77</v>
      </c>
      <c r="AE251" s="81">
        <f t="shared" si="79"/>
        <v>71.627906976744185</v>
      </c>
      <c r="AF251" s="81">
        <f t="shared" si="90"/>
        <v>57.336928015281018</v>
      </c>
      <c r="AG251" s="83">
        <v>1</v>
      </c>
      <c r="AH251" s="83">
        <v>2.9159700000000002</v>
      </c>
      <c r="AI251" s="83">
        <f t="shared" si="94"/>
        <v>0.74463542876988331</v>
      </c>
      <c r="AJ251" s="81">
        <f t="shared" si="80"/>
        <v>22.235755947951592</v>
      </c>
      <c r="AK251" s="81">
        <f t="shared" si="81"/>
        <v>17.237020114691159</v>
      </c>
      <c r="AL251" s="81">
        <f t="shared" si="91"/>
        <v>2.5726839632326088</v>
      </c>
      <c r="AM251" s="83">
        <v>2.5000000000000001E-3</v>
      </c>
      <c r="AN251" s="83">
        <f t="shared" si="95"/>
        <v>2.4937655860349131E-3</v>
      </c>
      <c r="AO251" s="83">
        <v>4.4049999999999999E-2</v>
      </c>
      <c r="AP251" s="83">
        <f t="shared" si="93"/>
        <v>0.1308383535</v>
      </c>
      <c r="AQ251" s="83">
        <f t="shared" si="77"/>
        <v>0.11570031481073215</v>
      </c>
      <c r="AR251" s="77" t="s">
        <v>140</v>
      </c>
    </row>
    <row r="252" spans="1:44" ht="15" customHeight="1" x14ac:dyDescent="0.25">
      <c r="A252" s="76">
        <v>251</v>
      </c>
      <c r="B252" s="76">
        <v>2000</v>
      </c>
      <c r="C252" s="77" t="s">
        <v>139</v>
      </c>
      <c r="D252" s="76">
        <v>15</v>
      </c>
      <c r="E252" s="78">
        <v>46</v>
      </c>
      <c r="F252" s="74">
        <v>0.25</v>
      </c>
      <c r="G252" s="75">
        <v>60</v>
      </c>
      <c r="H252" s="75">
        <v>23</v>
      </c>
      <c r="I252" s="78">
        <v>45</v>
      </c>
      <c r="J252" s="81">
        <v>4.2299999999999997E-2</v>
      </c>
      <c r="K252" s="77" t="s">
        <v>306</v>
      </c>
      <c r="L252" s="77" t="s">
        <v>36</v>
      </c>
      <c r="M252" s="77" t="s">
        <v>289</v>
      </c>
      <c r="N252" s="77">
        <v>25</v>
      </c>
      <c r="O252" s="77">
        <v>180</v>
      </c>
      <c r="P252" s="78"/>
      <c r="Q252" s="81">
        <v>28</v>
      </c>
      <c r="R252" s="82"/>
      <c r="S252" s="82">
        <v>1.8081405486233503E-4</v>
      </c>
      <c r="T252" s="82">
        <v>600000000</v>
      </c>
      <c r="U252" s="78">
        <v>2701</v>
      </c>
      <c r="V252" s="82">
        <v>1.7919999999999998E-2</v>
      </c>
      <c r="W252" s="82">
        <v>2.3040000000000001E-2</v>
      </c>
      <c r="X252" s="82">
        <v>0.14899999999999999</v>
      </c>
      <c r="Y252" s="78">
        <v>29.6</v>
      </c>
      <c r="Z252" s="78">
        <v>1075</v>
      </c>
      <c r="AA252" s="78">
        <f t="shared" si="92"/>
        <v>30</v>
      </c>
      <c r="AB252" s="81">
        <f t="shared" si="96"/>
        <v>0.82913286946170273</v>
      </c>
      <c r="AC252" s="81">
        <f t="shared" si="78"/>
        <v>17.758998853737346</v>
      </c>
      <c r="AD252" s="81">
        <v>77</v>
      </c>
      <c r="AE252" s="81">
        <f t="shared" si="79"/>
        <v>71.627906976744185</v>
      </c>
      <c r="AF252" s="81">
        <f t="shared" si="90"/>
        <v>59.241001146262654</v>
      </c>
      <c r="AG252" s="83">
        <v>1</v>
      </c>
      <c r="AH252" s="83">
        <v>3.3358300000000001</v>
      </c>
      <c r="AI252" s="83">
        <f t="shared" si="94"/>
        <v>0.76936365125016437</v>
      </c>
      <c r="AJ252" s="81">
        <f t="shared" si="80"/>
        <v>19.990118889670487</v>
      </c>
      <c r="AK252" s="81">
        <f t="shared" si="81"/>
        <v>15.496216193543013</v>
      </c>
      <c r="AL252" s="81">
        <f t="shared" si="91"/>
        <v>2.2311200359331429</v>
      </c>
      <c r="AM252" s="83">
        <v>2.5000000000000001E-3</v>
      </c>
      <c r="AN252" s="83">
        <f t="shared" si="95"/>
        <v>2.4937655860349131E-3</v>
      </c>
      <c r="AO252" s="83">
        <v>3.6940000000000001E-2</v>
      </c>
      <c r="AP252" s="83">
        <f t="shared" si="93"/>
        <v>0.12563321020000001</v>
      </c>
      <c r="AQ252" s="83">
        <f t="shared" si="77"/>
        <v>0.11161114389800011</v>
      </c>
      <c r="AR252" s="77" t="s">
        <v>140</v>
      </c>
    </row>
    <row r="253" spans="1:44" ht="15" customHeight="1" x14ac:dyDescent="0.25">
      <c r="A253" s="76">
        <v>252</v>
      </c>
      <c r="B253" s="76">
        <v>2000</v>
      </c>
      <c r="C253" s="77" t="s">
        <v>139</v>
      </c>
      <c r="D253" s="76">
        <v>16</v>
      </c>
      <c r="E253" s="78">
        <v>39</v>
      </c>
      <c r="F253" s="74">
        <v>0.5</v>
      </c>
      <c r="G253" s="75">
        <v>60</v>
      </c>
      <c r="H253" s="75">
        <v>23</v>
      </c>
      <c r="I253" s="78">
        <v>38</v>
      </c>
      <c r="J253" s="81">
        <v>6.7000000000000002E-3</v>
      </c>
      <c r="K253" s="77" t="s">
        <v>306</v>
      </c>
      <c r="L253" s="77" t="s">
        <v>36</v>
      </c>
      <c r="M253" s="77" t="s">
        <v>289</v>
      </c>
      <c r="N253" s="77">
        <v>25</v>
      </c>
      <c r="O253" s="77">
        <v>180</v>
      </c>
      <c r="P253" s="78"/>
      <c r="Q253" s="81">
        <v>26</v>
      </c>
      <c r="R253" s="82"/>
      <c r="S253" s="82">
        <v>1.8081405486233503E-4</v>
      </c>
      <c r="T253" s="82">
        <v>600000000</v>
      </c>
      <c r="U253" s="78">
        <v>2701</v>
      </c>
      <c r="V253" s="82">
        <v>1.7919999999999998E-2</v>
      </c>
      <c r="W253" s="82">
        <v>2.3040000000000001E-2</v>
      </c>
      <c r="X253" s="82">
        <v>0.14899999999999999</v>
      </c>
      <c r="Y253" s="78">
        <v>29.6</v>
      </c>
      <c r="Z253" s="78">
        <v>1075</v>
      </c>
      <c r="AA253" s="78">
        <f t="shared" si="92"/>
        <v>30</v>
      </c>
      <c r="AB253" s="81">
        <f t="shared" si="96"/>
        <v>0.82913286946170273</v>
      </c>
      <c r="AC253" s="81">
        <f t="shared" si="78"/>
        <v>18.031182236709611</v>
      </c>
      <c r="AD253" s="81">
        <v>77</v>
      </c>
      <c r="AE253" s="81">
        <f t="shared" si="79"/>
        <v>71.627906976744185</v>
      </c>
      <c r="AF253" s="81">
        <f t="shared" si="90"/>
        <v>58.968817763290389</v>
      </c>
      <c r="AG253" s="83">
        <v>1</v>
      </c>
      <c r="AH253" s="83">
        <v>3.2703799999999998</v>
      </c>
      <c r="AI253" s="83">
        <f t="shared" si="94"/>
        <v>0.76582880212065441</v>
      </c>
      <c r="AJ253" s="81">
        <f t="shared" si="80"/>
        <v>20.465617841503565</v>
      </c>
      <c r="AK253" s="81">
        <f t="shared" si="81"/>
        <v>15.864820032173307</v>
      </c>
      <c r="AL253" s="81">
        <f t="shared" si="91"/>
        <v>2.4344356047939528</v>
      </c>
      <c r="AM253" s="83">
        <v>2.5000000000000001E-3</v>
      </c>
      <c r="AN253" s="83">
        <f t="shared" si="95"/>
        <v>2.4937655860349131E-3</v>
      </c>
      <c r="AO253" s="83">
        <v>4.0550000000000003E-2</v>
      </c>
      <c r="AP253" s="83">
        <f t="shared" si="93"/>
        <v>0.13501253400000002</v>
      </c>
      <c r="AQ253" s="83">
        <f t="shared" si="77"/>
        <v>0.11895246083687744</v>
      </c>
      <c r="AR253" s="77" t="s">
        <v>140</v>
      </c>
    </row>
    <row r="254" spans="1:44" ht="15" customHeight="1" x14ac:dyDescent="0.25">
      <c r="A254" s="76">
        <v>253</v>
      </c>
      <c r="B254" s="76">
        <v>2000</v>
      </c>
      <c r="C254" s="77" t="s">
        <v>139</v>
      </c>
      <c r="D254" s="76">
        <v>17</v>
      </c>
      <c r="E254" s="78">
        <v>36</v>
      </c>
      <c r="F254" s="74">
        <v>0.75</v>
      </c>
      <c r="G254" s="75">
        <v>60</v>
      </c>
      <c r="H254" s="75">
        <v>23</v>
      </c>
      <c r="I254" s="78">
        <v>35</v>
      </c>
      <c r="J254" s="81">
        <v>1.0999999999999999E-2</v>
      </c>
      <c r="K254" s="77" t="s">
        <v>306</v>
      </c>
      <c r="L254" s="77" t="s">
        <v>36</v>
      </c>
      <c r="M254" s="77" t="s">
        <v>289</v>
      </c>
      <c r="N254" s="77">
        <v>25</v>
      </c>
      <c r="O254" s="77">
        <v>180</v>
      </c>
      <c r="P254" s="78"/>
      <c r="Q254" s="81">
        <v>30</v>
      </c>
      <c r="R254" s="82"/>
      <c r="S254" s="82">
        <v>1.8081405486233503E-4</v>
      </c>
      <c r="T254" s="82">
        <v>600000000</v>
      </c>
      <c r="U254" s="78">
        <v>2701</v>
      </c>
      <c r="V254" s="82">
        <v>1.7919999999999998E-2</v>
      </c>
      <c r="W254" s="82">
        <v>2.3040000000000001E-2</v>
      </c>
      <c r="X254" s="82">
        <v>0.14899999999999999</v>
      </c>
      <c r="Y254" s="78">
        <v>29.6</v>
      </c>
      <c r="Z254" s="78">
        <v>1075</v>
      </c>
      <c r="AA254" s="78">
        <f t="shared" si="92"/>
        <v>30</v>
      </c>
      <c r="AB254" s="81">
        <f t="shared" si="96"/>
        <v>0.82913286946170273</v>
      </c>
      <c r="AC254" s="81">
        <f t="shared" si="78"/>
        <v>18.438167485608652</v>
      </c>
      <c r="AD254" s="81">
        <v>77</v>
      </c>
      <c r="AE254" s="81">
        <f t="shared" si="79"/>
        <v>71.627906976744185</v>
      </c>
      <c r="AF254" s="81">
        <f t="shared" si="90"/>
        <v>58.561832514391348</v>
      </c>
      <c r="AG254" s="83">
        <v>1</v>
      </c>
      <c r="AH254" s="83">
        <v>3.1761200000000001</v>
      </c>
      <c r="AI254" s="83">
        <f t="shared" si="94"/>
        <v>0.76054327940767985</v>
      </c>
      <c r="AJ254" s="81">
        <f t="shared" si="80"/>
        <v>20.76988759527983</v>
      </c>
      <c r="AK254" s="81">
        <f t="shared" si="81"/>
        <v>16.100688058356457</v>
      </c>
      <c r="AL254" s="81">
        <f t="shared" si="91"/>
        <v>2.3317201096711782</v>
      </c>
      <c r="AM254" s="83">
        <v>2.5000000000000001E-3</v>
      </c>
      <c r="AN254" s="83">
        <f t="shared" si="95"/>
        <v>2.4937655860349131E-3</v>
      </c>
      <c r="AO254" s="83">
        <v>3.9059999999999997E-2</v>
      </c>
      <c r="AP254" s="83">
        <f t="shared" si="93"/>
        <v>0.1264615972</v>
      </c>
      <c r="AQ254" s="83">
        <f t="shared" si="77"/>
        <v>0.11226445492180157</v>
      </c>
      <c r="AR254" s="77" t="s">
        <v>140</v>
      </c>
    </row>
    <row r="255" spans="1:44" ht="15" customHeight="1" x14ac:dyDescent="0.25">
      <c r="A255" s="76">
        <v>254</v>
      </c>
      <c r="B255" s="76">
        <v>2000</v>
      </c>
      <c r="C255" s="77" t="s">
        <v>139</v>
      </c>
      <c r="D255" s="76">
        <v>18</v>
      </c>
      <c r="E255" s="78">
        <v>33</v>
      </c>
      <c r="F255" s="74">
        <v>1</v>
      </c>
      <c r="G255" s="75">
        <v>60</v>
      </c>
      <c r="H255" s="75">
        <v>23</v>
      </c>
      <c r="I255" s="78">
        <v>32</v>
      </c>
      <c r="J255" s="81">
        <v>5.1000000000000004E-3</v>
      </c>
      <c r="K255" s="77" t="s">
        <v>306</v>
      </c>
      <c r="L255" s="77" t="s">
        <v>36</v>
      </c>
      <c r="M255" s="77" t="s">
        <v>289</v>
      </c>
      <c r="N255" s="77">
        <v>25</v>
      </c>
      <c r="O255" s="77">
        <v>180</v>
      </c>
      <c r="P255" s="78"/>
      <c r="Q255" s="81">
        <v>30</v>
      </c>
      <c r="R255" s="82"/>
      <c r="S255" s="82">
        <v>1.8081405486233503E-4</v>
      </c>
      <c r="T255" s="82">
        <v>600000000</v>
      </c>
      <c r="U255" s="78">
        <v>2701</v>
      </c>
      <c r="V255" s="82">
        <v>1.7919999999999998E-2</v>
      </c>
      <c r="W255" s="82">
        <v>2.3040000000000001E-2</v>
      </c>
      <c r="X255" s="82">
        <v>0.14899999999999999</v>
      </c>
      <c r="Y255" s="78">
        <v>29.6</v>
      </c>
      <c r="Z255" s="78">
        <v>1075</v>
      </c>
      <c r="AA255" s="78">
        <f t="shared" si="92"/>
        <v>30</v>
      </c>
      <c r="AB255" s="81">
        <f t="shared" si="96"/>
        <v>0.82913286946170273</v>
      </c>
      <c r="AC255" s="81">
        <f t="shared" si="78"/>
        <v>19.663071984718982</v>
      </c>
      <c r="AD255" s="81">
        <v>77</v>
      </c>
      <c r="AE255" s="81">
        <f t="shared" si="79"/>
        <v>71.627906976744185</v>
      </c>
      <c r="AF255" s="81">
        <f t="shared" si="90"/>
        <v>57.336928015281018</v>
      </c>
      <c r="AG255" s="83">
        <v>1</v>
      </c>
      <c r="AH255" s="83">
        <v>2.9159700000000002</v>
      </c>
      <c r="AI255" s="83">
        <f t="shared" si="94"/>
        <v>0.74463542876988331</v>
      </c>
      <c r="AJ255" s="81">
        <f t="shared" si="80"/>
        <v>21.744226878474553</v>
      </c>
      <c r="AK255" s="81">
        <f t="shared" si="81"/>
        <v>16.855989828274847</v>
      </c>
      <c r="AL255" s="81">
        <f t="shared" si="91"/>
        <v>2.0811548937555702</v>
      </c>
      <c r="AM255" s="83">
        <v>2.5000000000000001E-3</v>
      </c>
      <c r="AN255" s="83">
        <f t="shared" si="95"/>
        <v>2.4937655860349131E-3</v>
      </c>
      <c r="AO255" s="83">
        <v>3.5470000000000002E-2</v>
      </c>
      <c r="AP255" s="83">
        <f t="shared" si="93"/>
        <v>0.10584078090000001</v>
      </c>
      <c r="AQ255" s="83">
        <f t="shared" si="77"/>
        <v>9.5710687042903586E-2</v>
      </c>
      <c r="AR255" s="77" t="s">
        <v>140</v>
      </c>
    </row>
    <row r="256" spans="1:44" s="10" customFormat="1" ht="15" customHeight="1" x14ac:dyDescent="0.25">
      <c r="A256" s="1">
        <v>255</v>
      </c>
      <c r="B256" s="1">
        <v>2000</v>
      </c>
      <c r="C256" s="28" t="s">
        <v>139</v>
      </c>
      <c r="D256" s="1">
        <v>19</v>
      </c>
      <c r="E256" s="8">
        <v>22</v>
      </c>
      <c r="F256" s="35">
        <v>0.5</v>
      </c>
      <c r="G256" s="59">
        <v>70</v>
      </c>
      <c r="H256" s="59">
        <v>18</v>
      </c>
      <c r="I256" s="8">
        <v>21</v>
      </c>
      <c r="J256" s="51">
        <v>2.0400000000000001E-2</v>
      </c>
      <c r="K256" s="28" t="s">
        <v>306</v>
      </c>
      <c r="L256" s="28" t="s">
        <v>36</v>
      </c>
      <c r="M256" s="28" t="s">
        <v>289</v>
      </c>
      <c r="N256" s="28">
        <v>25</v>
      </c>
      <c r="O256" s="28">
        <v>180</v>
      </c>
      <c r="P256" s="8"/>
      <c r="Q256" s="51">
        <v>29</v>
      </c>
      <c r="R256" s="9"/>
      <c r="S256" s="9">
        <v>2.289997592817344E-4</v>
      </c>
      <c r="T256" s="9">
        <v>600000000</v>
      </c>
      <c r="U256" s="8">
        <v>2701</v>
      </c>
      <c r="V256" s="9">
        <v>1.7919999999999998E-2</v>
      </c>
      <c r="W256" s="9">
        <v>2.3040000000000001E-2</v>
      </c>
      <c r="X256" s="9">
        <v>0.14899999999999999</v>
      </c>
      <c r="Y256" s="8">
        <v>29.6</v>
      </c>
      <c r="Z256" s="8">
        <v>1075</v>
      </c>
      <c r="AA256" s="8">
        <f t="shared" si="92"/>
        <v>30</v>
      </c>
      <c r="AB256" s="51">
        <f t="shared" si="96"/>
        <v>0.82913286946170273</v>
      </c>
      <c r="AC256" s="51">
        <f t="shared" si="78"/>
        <v>18.438167485608652</v>
      </c>
      <c r="AD256" s="51">
        <v>77</v>
      </c>
      <c r="AE256" s="51">
        <f t="shared" si="79"/>
        <v>71.627906976744185</v>
      </c>
      <c r="AF256" s="51">
        <f t="shared" si="90"/>
        <v>58.561832514391348</v>
      </c>
      <c r="AG256" s="52">
        <v>1</v>
      </c>
      <c r="AH256" s="52">
        <v>3.1761200000000001</v>
      </c>
      <c r="AI256" s="52">
        <f t="shared" si="94"/>
        <v>0.76054327940767985</v>
      </c>
      <c r="AJ256" s="51">
        <f t="shared" si="80"/>
        <v>20.258460053063612</v>
      </c>
      <c r="AK256" s="51">
        <f t="shared" si="81"/>
        <v>15.704232599274118</v>
      </c>
      <c r="AL256" s="51">
        <f t="shared" si="91"/>
        <v>1.8202925674549582</v>
      </c>
      <c r="AM256" s="52">
        <v>2.5000000000000001E-3</v>
      </c>
      <c r="AN256" s="52">
        <f t="shared" si="95"/>
        <v>2.4937655860349131E-3</v>
      </c>
      <c r="AO256" s="52">
        <v>3.032E-2</v>
      </c>
      <c r="AP256" s="52">
        <f t="shared" si="93"/>
        <v>9.8724158399999998E-2</v>
      </c>
      <c r="AQ256" s="52">
        <f t="shared" si="77"/>
        <v>8.9853451974484216E-2</v>
      </c>
      <c r="AR256" s="28" t="s">
        <v>140</v>
      </c>
    </row>
    <row r="257" spans="1:44" ht="15" customHeight="1" x14ac:dyDescent="0.25">
      <c r="A257" s="76">
        <v>256</v>
      </c>
      <c r="B257" s="76">
        <v>2000</v>
      </c>
      <c r="C257" s="77" t="s">
        <v>104</v>
      </c>
      <c r="D257" s="76">
        <v>1</v>
      </c>
      <c r="E257" s="78">
        <v>20</v>
      </c>
      <c r="F257" s="79">
        <v>2.5</v>
      </c>
      <c r="G257" s="80">
        <v>60</v>
      </c>
      <c r="H257" s="80">
        <v>22</v>
      </c>
      <c r="I257" s="78">
        <v>110</v>
      </c>
      <c r="J257" s="81">
        <v>7.0800000000000002E-2</v>
      </c>
      <c r="K257" s="77" t="s">
        <v>105</v>
      </c>
      <c r="L257" s="77" t="s">
        <v>36</v>
      </c>
      <c r="M257" s="77" t="s">
        <v>289</v>
      </c>
      <c r="N257" s="77">
        <v>20</v>
      </c>
      <c r="O257" s="77">
        <v>20</v>
      </c>
      <c r="P257" s="78"/>
      <c r="Q257" s="81">
        <v>6</v>
      </c>
      <c r="R257" s="82"/>
      <c r="S257" s="82">
        <v>2.0250989036877973E-4</v>
      </c>
      <c r="T257" s="82">
        <v>660000000</v>
      </c>
      <c r="U257" s="78">
        <v>2695</v>
      </c>
      <c r="V257" s="82">
        <v>1.7919999999999998E-2</v>
      </c>
      <c r="W257" s="82">
        <v>2.3040000000000001E-2</v>
      </c>
      <c r="X257" s="82">
        <v>0.54900000000000004</v>
      </c>
      <c r="Y257" s="78">
        <v>29.6</v>
      </c>
      <c r="Z257" s="78">
        <v>1075</v>
      </c>
      <c r="AA257" s="78">
        <f t="shared" ref="AA257:AA275" si="97">AD257/2.5*1000</f>
        <v>1440</v>
      </c>
      <c r="AB257" s="81">
        <f t="shared" ref="AB257:AB275" si="98">POWER(3/(4*PI())*AE257*1000/AA257,1/3)</f>
        <v>0.82189116447904176</v>
      </c>
      <c r="AC257" s="81">
        <f t="shared" si="78"/>
        <v>0.66666666666666652</v>
      </c>
      <c r="AD257" s="81">
        <f t="shared" ref="AD257:AD275" si="99">0.4*0.6*15</f>
        <v>3.5999999999999996</v>
      </c>
      <c r="AE257" s="81">
        <f t="shared" si="79"/>
        <v>3.3488372093023253</v>
      </c>
      <c r="AF257" s="81">
        <f t="shared" si="90"/>
        <v>2.9333333333333331</v>
      </c>
      <c r="AG257" s="83">
        <v>1</v>
      </c>
      <c r="AH257" s="83">
        <v>4.4000000000000004</v>
      </c>
      <c r="AI257" s="83">
        <f t="shared" si="94"/>
        <v>0.81481481481481488</v>
      </c>
      <c r="AJ257" s="81">
        <f t="shared" si="80"/>
        <v>0.79726399999999975</v>
      </c>
      <c r="AK257" s="81">
        <f t="shared" si="81"/>
        <v>0.61803410852713159</v>
      </c>
      <c r="AL257" s="81">
        <f t="shared" si="91"/>
        <v>0.13059733333333326</v>
      </c>
      <c r="AM257" s="83">
        <v>0.18</v>
      </c>
      <c r="AN257" s="83">
        <f t="shared" si="95"/>
        <v>0.15254237288135594</v>
      </c>
      <c r="AO257" s="83">
        <f t="shared" ref="AO257:AO268" si="100">(AP257-AM257)/(AH257-AM257)</f>
        <v>3.766824644549761E-3</v>
      </c>
      <c r="AP257" s="83">
        <v>0.19589599999999999</v>
      </c>
      <c r="AQ257" s="83">
        <f t="shared" ref="AQ257:AQ320" si="101">AP257/(AP257+1)</f>
        <v>0.16380688621753059</v>
      </c>
      <c r="AR257" s="77" t="s">
        <v>354</v>
      </c>
    </row>
    <row r="258" spans="1:44" ht="15" customHeight="1" x14ac:dyDescent="0.25">
      <c r="A258" s="76">
        <v>257</v>
      </c>
      <c r="B258" s="76">
        <v>2000</v>
      </c>
      <c r="C258" s="77" t="s">
        <v>104</v>
      </c>
      <c r="D258" s="76">
        <v>2</v>
      </c>
      <c r="E258" s="78">
        <v>4</v>
      </c>
      <c r="F258" s="79">
        <v>2.5</v>
      </c>
      <c r="G258" s="80">
        <v>60</v>
      </c>
      <c r="H258" s="80">
        <v>22</v>
      </c>
      <c r="I258" s="78">
        <v>83</v>
      </c>
      <c r="J258" s="81">
        <v>0.1166</v>
      </c>
      <c r="K258" s="77" t="s">
        <v>105</v>
      </c>
      <c r="L258" s="77" t="s">
        <v>36</v>
      </c>
      <c r="M258" s="77" t="s">
        <v>289</v>
      </c>
      <c r="N258" s="77">
        <v>20</v>
      </c>
      <c r="O258" s="77">
        <v>60</v>
      </c>
      <c r="P258" s="78"/>
      <c r="Q258" s="81">
        <v>7</v>
      </c>
      <c r="R258" s="82"/>
      <c r="S258" s="82">
        <v>2.0250989036877973E-4</v>
      </c>
      <c r="T258" s="82">
        <v>660000000</v>
      </c>
      <c r="U258" s="78">
        <v>2695</v>
      </c>
      <c r="V258" s="82">
        <v>1.7919999999999998E-2</v>
      </c>
      <c r="W258" s="82">
        <v>2.3040000000000001E-2</v>
      </c>
      <c r="X258" s="82">
        <v>0.54900000000000004</v>
      </c>
      <c r="Y258" s="78">
        <v>29.6</v>
      </c>
      <c r="Z258" s="78">
        <v>1075</v>
      </c>
      <c r="AA258" s="78">
        <f t="shared" si="97"/>
        <v>1440</v>
      </c>
      <c r="AB258" s="81">
        <f t="shared" si="98"/>
        <v>0.82189116447904176</v>
      </c>
      <c r="AC258" s="81">
        <f t="shared" ref="AC258:AC321" si="102">AD258-AF258</f>
        <v>0.69230769230769207</v>
      </c>
      <c r="AD258" s="81">
        <f t="shared" si="99"/>
        <v>3.5999999999999996</v>
      </c>
      <c r="AE258" s="81">
        <f t="shared" ref="AE258:AE321" si="103">AD258/Z258*1000</f>
        <v>3.3488372093023253</v>
      </c>
      <c r="AF258" s="81">
        <f t="shared" si="90"/>
        <v>2.9076923076923076</v>
      </c>
      <c r="AG258" s="83">
        <v>1</v>
      </c>
      <c r="AH258" s="83">
        <v>4.2</v>
      </c>
      <c r="AI258" s="83">
        <f t="shared" si="94"/>
        <v>0.80769230769230771</v>
      </c>
      <c r="AJ258" s="81">
        <f t="shared" ref="AJ258:AJ321" si="104">AC258/(1-AQ258)</f>
        <v>0.82792799999999966</v>
      </c>
      <c r="AK258" s="81">
        <f t="shared" ref="AK258:AK321" si="105">AJ258/1290*1000</f>
        <v>0.6418046511627904</v>
      </c>
      <c r="AL258" s="81">
        <f t="shared" si="91"/>
        <v>0.13562030769230762</v>
      </c>
      <c r="AM258" s="83">
        <v>0.18</v>
      </c>
      <c r="AN258" s="83">
        <f t="shared" si="95"/>
        <v>0.15254237288135594</v>
      </c>
      <c r="AO258" s="83">
        <f t="shared" si="100"/>
        <v>3.9542288557213911E-3</v>
      </c>
      <c r="AP258" s="83">
        <v>0.19589599999999999</v>
      </c>
      <c r="AQ258" s="83">
        <f t="shared" si="101"/>
        <v>0.16380688621753059</v>
      </c>
      <c r="AR258" s="77" t="s">
        <v>355</v>
      </c>
    </row>
    <row r="259" spans="1:44" ht="15" customHeight="1" x14ac:dyDescent="0.25">
      <c r="A259" s="76">
        <v>258</v>
      </c>
      <c r="B259" s="76">
        <v>2000</v>
      </c>
      <c r="C259" s="77" t="s">
        <v>104</v>
      </c>
      <c r="D259" s="76">
        <v>3</v>
      </c>
      <c r="E259" s="78">
        <v>13</v>
      </c>
      <c r="F259" s="79">
        <v>2.5</v>
      </c>
      <c r="G259" s="80">
        <v>60</v>
      </c>
      <c r="H259" s="80">
        <v>22</v>
      </c>
      <c r="I259" s="78">
        <v>78</v>
      </c>
      <c r="J259" s="81">
        <v>0.3231</v>
      </c>
      <c r="K259" s="77" t="s">
        <v>105</v>
      </c>
      <c r="L259" s="77" t="s">
        <v>36</v>
      </c>
      <c r="M259" s="77" t="s">
        <v>289</v>
      </c>
      <c r="N259" s="77">
        <v>20</v>
      </c>
      <c r="O259" s="77">
        <v>180</v>
      </c>
      <c r="P259" s="78"/>
      <c r="Q259" s="81">
        <v>8</v>
      </c>
      <c r="R259" s="82"/>
      <c r="S259" s="82">
        <v>2.0250989036877973E-4</v>
      </c>
      <c r="T259" s="82">
        <v>660000000</v>
      </c>
      <c r="U259" s="78">
        <v>2695</v>
      </c>
      <c r="V259" s="82">
        <v>1.7919999999999998E-2</v>
      </c>
      <c r="W259" s="82">
        <v>2.3040000000000001E-2</v>
      </c>
      <c r="X259" s="82">
        <v>0.54900000000000004</v>
      </c>
      <c r="Y259" s="78">
        <v>29.6</v>
      </c>
      <c r="Z259" s="78">
        <v>1075</v>
      </c>
      <c r="AA259" s="78">
        <f t="shared" si="97"/>
        <v>1440</v>
      </c>
      <c r="AB259" s="81">
        <f t="shared" si="98"/>
        <v>0.82189116447904176</v>
      </c>
      <c r="AC259" s="81">
        <f t="shared" si="102"/>
        <v>0.6852274479274727</v>
      </c>
      <c r="AD259" s="81">
        <f t="shared" si="99"/>
        <v>3.5999999999999996</v>
      </c>
      <c r="AE259" s="81">
        <f t="shared" si="103"/>
        <v>3.3488372093023253</v>
      </c>
      <c r="AF259" s="81">
        <f t="shared" si="90"/>
        <v>2.9147725520725269</v>
      </c>
      <c r="AG259" s="83">
        <v>1</v>
      </c>
      <c r="AH259" s="83">
        <v>4.25373</v>
      </c>
      <c r="AI259" s="83">
        <f t="shared" si="94"/>
        <v>0.80965904224236873</v>
      </c>
      <c r="AJ259" s="81">
        <f t="shared" si="104"/>
        <v>0.81306827720495756</v>
      </c>
      <c r="AK259" s="81">
        <f t="shared" si="105"/>
        <v>0.63028548620539349</v>
      </c>
      <c r="AL259" s="81">
        <f t="shared" si="91"/>
        <v>0.12784082927748483</v>
      </c>
      <c r="AM259" s="83">
        <v>0.18</v>
      </c>
      <c r="AN259" s="83">
        <f t="shared" si="95"/>
        <v>0.15254237288135594</v>
      </c>
      <c r="AO259" s="83">
        <f t="shared" si="100"/>
        <v>1.6120361437797833E-3</v>
      </c>
      <c r="AP259" s="83">
        <v>0.18656700000000001</v>
      </c>
      <c r="AQ259" s="83">
        <f t="shared" si="101"/>
        <v>0.15723258779318827</v>
      </c>
      <c r="AR259" s="77" t="s">
        <v>356</v>
      </c>
    </row>
    <row r="260" spans="1:44" ht="15" customHeight="1" x14ac:dyDescent="0.25">
      <c r="A260" s="76">
        <v>259</v>
      </c>
      <c r="B260" s="76">
        <v>2000</v>
      </c>
      <c r="C260" s="77" t="s">
        <v>104</v>
      </c>
      <c r="D260" s="76">
        <v>4</v>
      </c>
      <c r="E260" s="78">
        <v>12</v>
      </c>
      <c r="F260" s="79">
        <v>2.5</v>
      </c>
      <c r="G260" s="80">
        <v>60</v>
      </c>
      <c r="H260" s="80">
        <v>22</v>
      </c>
      <c r="I260" s="78">
        <v>74</v>
      </c>
      <c r="J260" s="81">
        <v>0.2039</v>
      </c>
      <c r="K260" s="77" t="s">
        <v>105</v>
      </c>
      <c r="L260" s="77" t="s">
        <v>36</v>
      </c>
      <c r="M260" s="77" t="s">
        <v>289</v>
      </c>
      <c r="N260" s="77">
        <v>20</v>
      </c>
      <c r="O260" s="77">
        <v>600</v>
      </c>
      <c r="P260" s="78"/>
      <c r="Q260" s="81">
        <v>8</v>
      </c>
      <c r="R260" s="82"/>
      <c r="S260" s="82">
        <v>2.0250989036877973E-4</v>
      </c>
      <c r="T260" s="82">
        <v>660000000</v>
      </c>
      <c r="U260" s="78">
        <v>2695</v>
      </c>
      <c r="V260" s="82">
        <v>1.7919999999999998E-2</v>
      </c>
      <c r="W260" s="82">
        <v>2.3040000000000001E-2</v>
      </c>
      <c r="X260" s="82">
        <v>0.54900000000000004</v>
      </c>
      <c r="Y260" s="78">
        <v>29.6</v>
      </c>
      <c r="Z260" s="78">
        <v>1075</v>
      </c>
      <c r="AA260" s="78">
        <f t="shared" si="97"/>
        <v>1440</v>
      </c>
      <c r="AB260" s="81">
        <f t="shared" si="98"/>
        <v>0.82189116447904176</v>
      </c>
      <c r="AC260" s="81">
        <f t="shared" si="102"/>
        <v>0.6857142857142855</v>
      </c>
      <c r="AD260" s="81">
        <f t="shared" si="99"/>
        <v>3.5999999999999996</v>
      </c>
      <c r="AE260" s="81">
        <f t="shared" si="103"/>
        <v>3.3488372093023253</v>
      </c>
      <c r="AF260" s="81">
        <f t="shared" si="90"/>
        <v>2.9142857142857141</v>
      </c>
      <c r="AG260" s="83">
        <v>1</v>
      </c>
      <c r="AH260" s="83">
        <v>4.25</v>
      </c>
      <c r="AI260" s="83">
        <f t="shared" si="94"/>
        <v>0.80952380952380953</v>
      </c>
      <c r="AJ260" s="81">
        <f t="shared" si="104"/>
        <v>0.81364594285714265</v>
      </c>
      <c r="AK260" s="81">
        <f t="shared" si="105"/>
        <v>0.63073328903654469</v>
      </c>
      <c r="AL260" s="81">
        <f t="shared" si="91"/>
        <v>0.12793165714285712</v>
      </c>
      <c r="AM260" s="83">
        <v>0.18</v>
      </c>
      <c r="AN260" s="83">
        <f t="shared" si="95"/>
        <v>0.15254237288135594</v>
      </c>
      <c r="AO260" s="83">
        <f t="shared" si="100"/>
        <v>1.6135135135135177E-3</v>
      </c>
      <c r="AP260" s="83">
        <v>0.18656700000000001</v>
      </c>
      <c r="AQ260" s="83">
        <f t="shared" si="101"/>
        <v>0.15723258779318827</v>
      </c>
      <c r="AR260" s="77" t="s">
        <v>357</v>
      </c>
    </row>
    <row r="261" spans="1:44" ht="15" customHeight="1" x14ac:dyDescent="0.25">
      <c r="A261" s="76">
        <v>260</v>
      </c>
      <c r="B261" s="76">
        <v>2000</v>
      </c>
      <c r="C261" s="77" t="s">
        <v>104</v>
      </c>
      <c r="D261" s="76">
        <v>5</v>
      </c>
      <c r="E261" s="78">
        <v>10</v>
      </c>
      <c r="F261" s="79">
        <v>2.5</v>
      </c>
      <c r="G261" s="80">
        <v>60</v>
      </c>
      <c r="H261" s="80">
        <v>22</v>
      </c>
      <c r="I261" s="78">
        <v>46</v>
      </c>
      <c r="J261" s="81">
        <v>2.6200000000000001E-2</v>
      </c>
      <c r="K261" s="77" t="s">
        <v>105</v>
      </c>
      <c r="L261" s="77" t="s">
        <v>36</v>
      </c>
      <c r="M261" s="77" t="s">
        <v>289</v>
      </c>
      <c r="N261" s="77">
        <v>60</v>
      </c>
      <c r="O261" s="77">
        <v>20</v>
      </c>
      <c r="P261" s="78"/>
      <c r="Q261" s="81">
        <v>10</v>
      </c>
      <c r="R261" s="82"/>
      <c r="S261" s="82">
        <v>2.0250989036877973E-4</v>
      </c>
      <c r="T261" s="82">
        <v>660000000</v>
      </c>
      <c r="U261" s="78">
        <v>2695</v>
      </c>
      <c r="V261" s="82">
        <v>1.7919999999999998E-2</v>
      </c>
      <c r="W261" s="82">
        <v>2.3040000000000001E-2</v>
      </c>
      <c r="X261" s="82">
        <v>0.54900000000000004</v>
      </c>
      <c r="Y261" s="78">
        <v>29.6</v>
      </c>
      <c r="Z261" s="78">
        <v>1075</v>
      </c>
      <c r="AA261" s="78">
        <f t="shared" si="97"/>
        <v>1440</v>
      </c>
      <c r="AB261" s="81">
        <f t="shared" si="98"/>
        <v>0.82189116447904176</v>
      </c>
      <c r="AC261" s="81">
        <f t="shared" si="102"/>
        <v>0.81795873852585599</v>
      </c>
      <c r="AD261" s="81">
        <f t="shared" si="99"/>
        <v>3.5999999999999996</v>
      </c>
      <c r="AE261" s="81">
        <f t="shared" si="103"/>
        <v>3.3488372093023253</v>
      </c>
      <c r="AF261" s="81">
        <f t="shared" si="90"/>
        <v>2.7820412614741437</v>
      </c>
      <c r="AG261" s="83">
        <v>1</v>
      </c>
      <c r="AH261" s="83">
        <v>3.4011999999999998</v>
      </c>
      <c r="AI261" s="83">
        <f t="shared" si="94"/>
        <v>0.77278923929837329</v>
      </c>
      <c r="AJ261" s="81">
        <f t="shared" si="104"/>
        <v>1.0467098973007354</v>
      </c>
      <c r="AK261" s="81">
        <f t="shared" si="105"/>
        <v>0.81140302116336083</v>
      </c>
      <c r="AL261" s="81">
        <f t="shared" si="91"/>
        <v>0.22875115877487942</v>
      </c>
      <c r="AM261" s="83">
        <v>0.18</v>
      </c>
      <c r="AN261" s="83">
        <f t="shared" si="95"/>
        <v>0.15254237288135594</v>
      </c>
      <c r="AO261" s="83">
        <f t="shared" si="100"/>
        <v>3.0939091021979389E-2</v>
      </c>
      <c r="AP261" s="83">
        <v>0.27966099999999999</v>
      </c>
      <c r="AQ261" s="83">
        <f t="shared" si="101"/>
        <v>0.21854303600719255</v>
      </c>
      <c r="AR261" s="77" t="s">
        <v>358</v>
      </c>
    </row>
    <row r="262" spans="1:44" ht="15" customHeight="1" x14ac:dyDescent="0.25">
      <c r="A262" s="76">
        <v>261</v>
      </c>
      <c r="B262" s="76">
        <v>2000</v>
      </c>
      <c r="C262" s="77" t="s">
        <v>104</v>
      </c>
      <c r="D262" s="76">
        <v>6</v>
      </c>
      <c r="E262" s="78">
        <v>12</v>
      </c>
      <c r="F262" s="79">
        <v>2.5</v>
      </c>
      <c r="G262" s="80">
        <v>60</v>
      </c>
      <c r="H262" s="80">
        <v>22</v>
      </c>
      <c r="I262" s="78">
        <v>51</v>
      </c>
      <c r="J262" s="81">
        <v>0.1203</v>
      </c>
      <c r="K262" s="77" t="s">
        <v>105</v>
      </c>
      <c r="L262" s="77" t="s">
        <v>36</v>
      </c>
      <c r="M262" s="77" t="s">
        <v>289</v>
      </c>
      <c r="N262" s="77">
        <v>60</v>
      </c>
      <c r="O262" s="77">
        <v>60</v>
      </c>
      <c r="P262" s="78"/>
      <c r="Q262" s="81">
        <v>11</v>
      </c>
      <c r="R262" s="82"/>
      <c r="S262" s="82">
        <v>2.0250989036877973E-4</v>
      </c>
      <c r="T262" s="82">
        <v>660000000</v>
      </c>
      <c r="U262" s="78">
        <v>2695</v>
      </c>
      <c r="V262" s="82">
        <v>1.7919999999999998E-2</v>
      </c>
      <c r="W262" s="82">
        <v>2.3040000000000001E-2</v>
      </c>
      <c r="X262" s="82">
        <v>0.54900000000000004</v>
      </c>
      <c r="Y262" s="78">
        <v>29.6</v>
      </c>
      <c r="Z262" s="78">
        <v>1075</v>
      </c>
      <c r="AA262" s="78">
        <f t="shared" si="97"/>
        <v>1440</v>
      </c>
      <c r="AB262" s="81">
        <f t="shared" si="98"/>
        <v>0.82189116447904176</v>
      </c>
      <c r="AC262" s="81">
        <f t="shared" si="102"/>
        <v>0.82191780821917781</v>
      </c>
      <c r="AD262" s="81">
        <f t="shared" si="99"/>
        <v>3.5999999999999996</v>
      </c>
      <c r="AE262" s="81">
        <f t="shared" si="103"/>
        <v>3.3488372093023253</v>
      </c>
      <c r="AF262" s="81">
        <f t="shared" si="90"/>
        <v>2.7780821917808218</v>
      </c>
      <c r="AG262" s="83">
        <v>1</v>
      </c>
      <c r="AH262" s="83">
        <v>3.38</v>
      </c>
      <c r="AI262" s="83">
        <f t="shared" si="94"/>
        <v>0.77168949771689499</v>
      </c>
      <c r="AJ262" s="81">
        <f t="shared" si="104"/>
        <v>0.97904136986301349</v>
      </c>
      <c r="AK262" s="81">
        <f t="shared" si="105"/>
        <v>0.75894679834342138</v>
      </c>
      <c r="AL262" s="81">
        <f t="shared" si="91"/>
        <v>0.15712356164383556</v>
      </c>
      <c r="AM262" s="83">
        <v>0.18</v>
      </c>
      <c r="AN262" s="83">
        <f t="shared" si="95"/>
        <v>0.15254237288135594</v>
      </c>
      <c r="AO262" s="83">
        <f t="shared" si="100"/>
        <v>3.4896875000000036E-3</v>
      </c>
      <c r="AP262" s="83">
        <v>0.191167</v>
      </c>
      <c r="AQ262" s="83">
        <f t="shared" si="101"/>
        <v>0.16048715251513851</v>
      </c>
      <c r="AR262" s="77" t="s">
        <v>359</v>
      </c>
    </row>
    <row r="263" spans="1:44" ht="15" customHeight="1" x14ac:dyDescent="0.25">
      <c r="A263" s="76">
        <v>262</v>
      </c>
      <c r="B263" s="76">
        <v>2000</v>
      </c>
      <c r="C263" s="77" t="s">
        <v>104</v>
      </c>
      <c r="D263" s="76">
        <v>7</v>
      </c>
      <c r="E263" s="78">
        <v>13</v>
      </c>
      <c r="F263" s="79">
        <v>2.5</v>
      </c>
      <c r="G263" s="80">
        <v>60</v>
      </c>
      <c r="H263" s="80">
        <v>22</v>
      </c>
      <c r="I263" s="78">
        <v>46</v>
      </c>
      <c r="J263" s="81">
        <v>6.6400000000000001E-2</v>
      </c>
      <c r="K263" s="77" t="s">
        <v>105</v>
      </c>
      <c r="L263" s="77" t="s">
        <v>36</v>
      </c>
      <c r="M263" s="77" t="s">
        <v>289</v>
      </c>
      <c r="N263" s="77">
        <v>60</v>
      </c>
      <c r="O263" s="77">
        <v>180</v>
      </c>
      <c r="P263" s="78"/>
      <c r="Q263" s="81">
        <v>11</v>
      </c>
      <c r="R263" s="82"/>
      <c r="S263" s="82">
        <v>2.0250989036877973E-4</v>
      </c>
      <c r="T263" s="82">
        <v>660000000</v>
      </c>
      <c r="U263" s="78">
        <v>2695</v>
      </c>
      <c r="V263" s="82">
        <v>1.7919999999999998E-2</v>
      </c>
      <c r="W263" s="82">
        <v>2.3040000000000001E-2</v>
      </c>
      <c r="X263" s="82">
        <v>0.54900000000000004</v>
      </c>
      <c r="Y263" s="78">
        <v>29.6</v>
      </c>
      <c r="Z263" s="78">
        <v>1075</v>
      </c>
      <c r="AA263" s="78">
        <f t="shared" si="97"/>
        <v>1440</v>
      </c>
      <c r="AB263" s="81">
        <f t="shared" si="98"/>
        <v>0.82189116447904176</v>
      </c>
      <c r="AC263" s="81">
        <f t="shared" si="102"/>
        <v>0.83140877598152407</v>
      </c>
      <c r="AD263" s="81">
        <f t="shared" si="99"/>
        <v>3.5999999999999996</v>
      </c>
      <c r="AE263" s="81">
        <f t="shared" si="103"/>
        <v>3.3488372093023253</v>
      </c>
      <c r="AF263" s="81">
        <f t="shared" si="90"/>
        <v>2.7685912240184756</v>
      </c>
      <c r="AG263" s="83">
        <v>1</v>
      </c>
      <c r="AH263" s="83">
        <v>3.33</v>
      </c>
      <c r="AI263" s="83">
        <f t="shared" si="94"/>
        <v>0.76905311778290997</v>
      </c>
      <c r="AJ263" s="81">
        <f t="shared" si="104"/>
        <v>1.0155658198614317</v>
      </c>
      <c r="AK263" s="81">
        <f t="shared" si="105"/>
        <v>0.78726032547397806</v>
      </c>
      <c r="AL263" s="81">
        <f t="shared" si="91"/>
        <v>0.18415704387990758</v>
      </c>
      <c r="AM263" s="83">
        <v>0.18</v>
      </c>
      <c r="AN263" s="83">
        <f t="shared" si="95"/>
        <v>0.15254237288135594</v>
      </c>
      <c r="AO263" s="83">
        <f t="shared" si="100"/>
        <v>1.3174603174603177E-2</v>
      </c>
      <c r="AP263" s="83">
        <v>0.2215</v>
      </c>
      <c r="AQ263" s="83">
        <f t="shared" si="101"/>
        <v>0.18133442488743348</v>
      </c>
      <c r="AR263" s="77" t="s">
        <v>360</v>
      </c>
    </row>
    <row r="264" spans="1:44" ht="15" customHeight="1" x14ac:dyDescent="0.25">
      <c r="A264" s="76">
        <v>263</v>
      </c>
      <c r="B264" s="76">
        <v>2000</v>
      </c>
      <c r="C264" s="77" t="s">
        <v>104</v>
      </c>
      <c r="D264" s="76">
        <v>8</v>
      </c>
      <c r="E264" s="78">
        <v>12</v>
      </c>
      <c r="F264" s="79">
        <v>2.5</v>
      </c>
      <c r="G264" s="80">
        <v>60</v>
      </c>
      <c r="H264" s="80">
        <v>22</v>
      </c>
      <c r="I264" s="78">
        <v>40</v>
      </c>
      <c r="J264" s="81">
        <v>4.3200000000000002E-2</v>
      </c>
      <c r="K264" s="77" t="s">
        <v>105</v>
      </c>
      <c r="L264" s="77" t="s">
        <v>36</v>
      </c>
      <c r="M264" s="77" t="s">
        <v>289</v>
      </c>
      <c r="N264" s="77">
        <v>60</v>
      </c>
      <c r="O264" s="77">
        <v>600</v>
      </c>
      <c r="P264" s="78"/>
      <c r="Q264" s="81">
        <v>18</v>
      </c>
      <c r="R264" s="82"/>
      <c r="S264" s="82">
        <v>2.0250989036877973E-4</v>
      </c>
      <c r="T264" s="82">
        <v>660000000</v>
      </c>
      <c r="U264" s="78">
        <v>2695</v>
      </c>
      <c r="V264" s="82">
        <v>1.7919999999999998E-2</v>
      </c>
      <c r="W264" s="82">
        <v>2.3040000000000001E-2</v>
      </c>
      <c r="X264" s="82">
        <v>0.54900000000000004</v>
      </c>
      <c r="Y264" s="78">
        <v>29.6</v>
      </c>
      <c r="Z264" s="78">
        <v>1075</v>
      </c>
      <c r="AA264" s="78">
        <f t="shared" si="97"/>
        <v>1440</v>
      </c>
      <c r="AB264" s="81">
        <f t="shared" si="98"/>
        <v>0.82189116447904176</v>
      </c>
      <c r="AC264" s="81">
        <f t="shared" si="102"/>
        <v>0.91836734693877542</v>
      </c>
      <c r="AD264" s="81">
        <f t="shared" si="99"/>
        <v>3.5999999999999996</v>
      </c>
      <c r="AE264" s="81">
        <f t="shared" si="103"/>
        <v>3.3488372093023253</v>
      </c>
      <c r="AF264" s="81">
        <f t="shared" si="90"/>
        <v>2.6816326530612242</v>
      </c>
      <c r="AG264" s="83">
        <v>1</v>
      </c>
      <c r="AH264" s="83">
        <v>2.92</v>
      </c>
      <c r="AI264" s="83">
        <f t="shared" si="94"/>
        <v>0.74489795918367352</v>
      </c>
      <c r="AJ264" s="81">
        <f t="shared" si="104"/>
        <v>1.105275306122449</v>
      </c>
      <c r="AK264" s="81">
        <f t="shared" si="105"/>
        <v>0.85680256288561929</v>
      </c>
      <c r="AL264" s="81">
        <f t="shared" si="91"/>
        <v>0.18690795918367348</v>
      </c>
      <c r="AM264" s="83">
        <v>0.18</v>
      </c>
      <c r="AN264" s="83">
        <f t="shared" si="95"/>
        <v>0.15254237288135594</v>
      </c>
      <c r="AO264" s="83">
        <f t="shared" si="100"/>
        <v>8.5846715328467219E-3</v>
      </c>
      <c r="AP264" s="83">
        <v>0.20352200000000001</v>
      </c>
      <c r="AQ264" s="83">
        <f t="shared" si="101"/>
        <v>0.16910534248646888</v>
      </c>
      <c r="AR264" s="77" t="s">
        <v>361</v>
      </c>
    </row>
    <row r="265" spans="1:44" ht="15" hidden="1" customHeight="1" x14ac:dyDescent="0.25">
      <c r="A265" s="76">
        <v>264</v>
      </c>
      <c r="B265" s="76">
        <v>2000</v>
      </c>
      <c r="C265" s="77" t="s">
        <v>104</v>
      </c>
      <c r="D265" s="76">
        <v>9</v>
      </c>
      <c r="E265" s="78">
        <v>15</v>
      </c>
      <c r="F265" s="79">
        <v>2.5</v>
      </c>
      <c r="G265" s="80">
        <v>60</v>
      </c>
      <c r="H265" s="80">
        <v>22</v>
      </c>
      <c r="I265" s="78">
        <v>88</v>
      </c>
      <c r="J265" s="81">
        <v>7.3599999999999999E-2</v>
      </c>
      <c r="K265" s="77" t="s">
        <v>105</v>
      </c>
      <c r="L265" s="77" t="s">
        <v>36</v>
      </c>
      <c r="M265" s="77" t="s">
        <v>34</v>
      </c>
      <c r="N265" s="77" t="s">
        <v>34</v>
      </c>
      <c r="O265" s="77" t="s">
        <v>34</v>
      </c>
      <c r="P265" s="78"/>
      <c r="Q265" s="81">
        <v>7</v>
      </c>
      <c r="R265" s="82"/>
      <c r="S265" s="82">
        <v>2.0250989036877973E-4</v>
      </c>
      <c r="T265" s="82">
        <v>660000000</v>
      </c>
      <c r="U265" s="78">
        <v>2695</v>
      </c>
      <c r="V265" s="82">
        <v>1.7919999999999998E-2</v>
      </c>
      <c r="W265" s="82">
        <v>2.3040000000000001E-2</v>
      </c>
      <c r="X265" s="82">
        <v>0.54900000000000004</v>
      </c>
      <c r="Y265" s="78">
        <v>29.6</v>
      </c>
      <c r="Z265" s="78">
        <v>1075</v>
      </c>
      <c r="AA265" s="78">
        <f t="shared" si="97"/>
        <v>1440</v>
      </c>
      <c r="AB265" s="81">
        <f t="shared" si="98"/>
        <v>0.82189116447904176</v>
      </c>
      <c r="AC265" s="81">
        <f t="shared" si="102"/>
        <v>0.6206896551724137</v>
      </c>
      <c r="AD265" s="81">
        <f t="shared" si="99"/>
        <v>3.5999999999999996</v>
      </c>
      <c r="AE265" s="81">
        <f t="shared" si="103"/>
        <v>3.3488372093023253</v>
      </c>
      <c r="AF265" s="81">
        <f t="shared" si="90"/>
        <v>2.9793103448275859</v>
      </c>
      <c r="AG265" s="83">
        <v>1</v>
      </c>
      <c r="AH265" s="83">
        <v>4.8</v>
      </c>
      <c r="AI265" s="83">
        <f t="shared" si="94"/>
        <v>0.82758620689655171</v>
      </c>
      <c r="AJ265" s="81">
        <f t="shared" si="104"/>
        <v>0.77294482758620675</v>
      </c>
      <c r="AK265" s="81">
        <f t="shared" si="105"/>
        <v>0.59918203688853233</v>
      </c>
      <c r="AL265" s="81">
        <f t="shared" si="91"/>
        <v>0.15225517241379308</v>
      </c>
      <c r="AM265" s="83">
        <v>0.18</v>
      </c>
      <c r="AN265" s="83">
        <f t="shared" si="95"/>
        <v>0.15254237288135594</v>
      </c>
      <c r="AO265" s="83">
        <f t="shared" si="100"/>
        <v>1.4134199134199133E-2</v>
      </c>
      <c r="AP265" s="83">
        <v>0.24529999999999999</v>
      </c>
      <c r="AQ265" s="83">
        <f t="shared" si="101"/>
        <v>0.19698064723359832</v>
      </c>
      <c r="AR265" s="77" t="s">
        <v>34</v>
      </c>
    </row>
    <row r="266" spans="1:44" ht="15" customHeight="1" x14ac:dyDescent="0.25">
      <c r="A266" s="76">
        <v>265</v>
      </c>
      <c r="B266" s="76">
        <v>2000</v>
      </c>
      <c r="C266" s="77" t="s">
        <v>104</v>
      </c>
      <c r="D266" s="76">
        <v>10</v>
      </c>
      <c r="E266" s="78">
        <v>3</v>
      </c>
      <c r="F266" s="79">
        <v>2.5</v>
      </c>
      <c r="G266" s="80">
        <v>60</v>
      </c>
      <c r="H266" s="80">
        <v>22</v>
      </c>
      <c r="I266" s="78">
        <v>42</v>
      </c>
      <c r="J266" s="81">
        <v>1.6500000000000001E-2</v>
      </c>
      <c r="K266" s="77" t="s">
        <v>105</v>
      </c>
      <c r="L266" s="77" t="s">
        <v>36</v>
      </c>
      <c r="M266" s="77" t="s">
        <v>289</v>
      </c>
      <c r="N266" s="77">
        <v>20</v>
      </c>
      <c r="O266" s="77">
        <v>20</v>
      </c>
      <c r="P266" s="78"/>
      <c r="Q266" s="81">
        <v>17</v>
      </c>
      <c r="R266" s="82"/>
      <c r="S266" s="82">
        <v>2.0250989036877973E-4</v>
      </c>
      <c r="T266" s="82">
        <v>660000000</v>
      </c>
      <c r="U266" s="78">
        <v>2695</v>
      </c>
      <c r="V266" s="82">
        <v>1.7919999999999998E-2</v>
      </c>
      <c r="W266" s="82">
        <v>2.3040000000000001E-2</v>
      </c>
      <c r="X266" s="82">
        <v>0.54900000000000004</v>
      </c>
      <c r="Y266" s="78">
        <v>29.6</v>
      </c>
      <c r="Z266" s="78">
        <v>1075</v>
      </c>
      <c r="AA266" s="78">
        <f t="shared" si="97"/>
        <v>1440</v>
      </c>
      <c r="AB266" s="81">
        <f t="shared" si="98"/>
        <v>0.82189116447904176</v>
      </c>
      <c r="AC266" s="81">
        <f t="shared" si="102"/>
        <v>0.75455879270593185</v>
      </c>
      <c r="AD266" s="81">
        <f t="shared" si="99"/>
        <v>3.5999999999999996</v>
      </c>
      <c r="AE266" s="81">
        <f t="shared" si="103"/>
        <v>3.3488372093023253</v>
      </c>
      <c r="AF266" s="81">
        <f t="shared" si="90"/>
        <v>2.8454412072940678</v>
      </c>
      <c r="AG266" s="83">
        <v>1</v>
      </c>
      <c r="AH266" s="83">
        <v>3.7709999999999999</v>
      </c>
      <c r="AI266" s="83">
        <f t="shared" si="94"/>
        <v>0.79040033535946341</v>
      </c>
      <c r="AJ266" s="81">
        <f t="shared" si="104"/>
        <v>0.90912412492140027</v>
      </c>
      <c r="AK266" s="81">
        <f t="shared" si="105"/>
        <v>0.70474738366000023</v>
      </c>
      <c r="AL266" s="81">
        <f t="shared" si="91"/>
        <v>0.15456533221546848</v>
      </c>
      <c r="AM266" s="83">
        <v>0.18</v>
      </c>
      <c r="AN266" s="83">
        <f t="shared" si="95"/>
        <v>0.15254237288135594</v>
      </c>
      <c r="AO266" s="83">
        <f t="shared" si="100"/>
        <v>6.9178501810080771E-3</v>
      </c>
      <c r="AP266" s="83">
        <v>0.204842</v>
      </c>
      <c r="AQ266" s="83">
        <f t="shared" si="101"/>
        <v>0.17001565350477491</v>
      </c>
      <c r="AR266" s="77" t="s">
        <v>146</v>
      </c>
    </row>
    <row r="267" spans="1:44" ht="15" customHeight="1" x14ac:dyDescent="0.25">
      <c r="A267" s="76">
        <v>266</v>
      </c>
      <c r="B267" s="76">
        <v>2000</v>
      </c>
      <c r="C267" s="77" t="s">
        <v>104</v>
      </c>
      <c r="D267" s="76">
        <v>11</v>
      </c>
      <c r="E267" s="78">
        <v>7</v>
      </c>
      <c r="F267" s="79">
        <v>2.5</v>
      </c>
      <c r="G267" s="80">
        <v>60</v>
      </c>
      <c r="H267" s="80">
        <v>22</v>
      </c>
      <c r="I267" s="78">
        <v>27</v>
      </c>
      <c r="J267" s="81">
        <v>3.7600000000000001E-2</v>
      </c>
      <c r="K267" s="77" t="s">
        <v>105</v>
      </c>
      <c r="L267" s="77" t="s">
        <v>36</v>
      </c>
      <c r="M267" s="77" t="s">
        <v>289</v>
      </c>
      <c r="N267" s="77">
        <v>20</v>
      </c>
      <c r="O267" s="77">
        <v>60</v>
      </c>
      <c r="P267" s="78"/>
      <c r="Q267" s="81">
        <v>19</v>
      </c>
      <c r="R267" s="82"/>
      <c r="S267" s="82">
        <v>2.0250989036877973E-4</v>
      </c>
      <c r="T267" s="82">
        <v>660000000</v>
      </c>
      <c r="U267" s="78">
        <v>2695</v>
      </c>
      <c r="V267" s="82">
        <v>1.7919999999999998E-2</v>
      </c>
      <c r="W267" s="82">
        <v>2.3040000000000001E-2</v>
      </c>
      <c r="X267" s="82">
        <v>0.54900000000000004</v>
      </c>
      <c r="Y267" s="78">
        <v>29.6</v>
      </c>
      <c r="Z267" s="78">
        <v>1075</v>
      </c>
      <c r="AA267" s="78">
        <f t="shared" si="97"/>
        <v>1440</v>
      </c>
      <c r="AB267" s="81">
        <f t="shared" si="98"/>
        <v>0.82189116447904176</v>
      </c>
      <c r="AC267" s="81">
        <f t="shared" si="102"/>
        <v>0.75</v>
      </c>
      <c r="AD267" s="81">
        <f t="shared" si="99"/>
        <v>3.5999999999999996</v>
      </c>
      <c r="AE267" s="81">
        <f t="shared" si="103"/>
        <v>3.3488372093023253</v>
      </c>
      <c r="AF267" s="81">
        <f t="shared" si="90"/>
        <v>2.8499999999999996</v>
      </c>
      <c r="AG267" s="83">
        <v>1</v>
      </c>
      <c r="AH267" s="83">
        <v>3.8</v>
      </c>
      <c r="AI267" s="83">
        <f t="shared" si="94"/>
        <v>0.79166666666666663</v>
      </c>
      <c r="AJ267" s="81">
        <f t="shared" si="104"/>
        <v>1.0153634999999999</v>
      </c>
      <c r="AK267" s="81">
        <f t="shared" si="105"/>
        <v>0.78710348837209287</v>
      </c>
      <c r="AL267" s="81">
        <f t="shared" si="91"/>
        <v>0.26536349999999997</v>
      </c>
      <c r="AM267" s="83">
        <v>0.18</v>
      </c>
      <c r="AN267" s="83">
        <f t="shared" si="95"/>
        <v>0.15254237288135594</v>
      </c>
      <c r="AO267" s="83">
        <f t="shared" si="100"/>
        <v>4.8016022099447525E-2</v>
      </c>
      <c r="AP267" s="83">
        <v>0.35381800000000002</v>
      </c>
      <c r="AQ267" s="83">
        <f t="shared" si="101"/>
        <v>0.26134827576528014</v>
      </c>
      <c r="AR267" s="77" t="s">
        <v>147</v>
      </c>
    </row>
    <row r="268" spans="1:44" ht="15" customHeight="1" x14ac:dyDescent="0.25">
      <c r="A268" s="76">
        <v>267</v>
      </c>
      <c r="B268" s="76">
        <v>2000</v>
      </c>
      <c r="C268" s="77" t="s">
        <v>104</v>
      </c>
      <c r="D268" s="76">
        <v>12</v>
      </c>
      <c r="E268" s="78">
        <v>12</v>
      </c>
      <c r="F268" s="79">
        <v>2.5</v>
      </c>
      <c r="G268" s="80">
        <v>60</v>
      </c>
      <c r="H268" s="80">
        <v>22</v>
      </c>
      <c r="I268" s="78">
        <v>28</v>
      </c>
      <c r="J268" s="81">
        <v>8.0299999999999996E-2</v>
      </c>
      <c r="K268" s="77" t="s">
        <v>105</v>
      </c>
      <c r="L268" s="77" t="s">
        <v>36</v>
      </c>
      <c r="M268" s="77" t="s">
        <v>289</v>
      </c>
      <c r="N268" s="77">
        <v>20</v>
      </c>
      <c r="O268" s="77">
        <v>180</v>
      </c>
      <c r="P268" s="78"/>
      <c r="Q268" s="81">
        <v>18</v>
      </c>
      <c r="R268" s="82"/>
      <c r="S268" s="82">
        <v>2.0250989036877973E-4</v>
      </c>
      <c r="T268" s="82">
        <v>660000000</v>
      </c>
      <c r="U268" s="78">
        <v>2695</v>
      </c>
      <c r="V268" s="82">
        <v>1.7919999999999998E-2</v>
      </c>
      <c r="W268" s="82">
        <v>2.3040000000000001E-2</v>
      </c>
      <c r="X268" s="82">
        <v>0.54900000000000004</v>
      </c>
      <c r="Y268" s="78">
        <v>29.6</v>
      </c>
      <c r="Z268" s="78">
        <v>1075</v>
      </c>
      <c r="AA268" s="78">
        <f t="shared" si="97"/>
        <v>1440</v>
      </c>
      <c r="AB268" s="81">
        <f t="shared" si="98"/>
        <v>0.82189116447904176</v>
      </c>
      <c r="AC268" s="81">
        <f t="shared" si="102"/>
        <v>0.63759696787219688</v>
      </c>
      <c r="AD268" s="81">
        <f t="shared" si="99"/>
        <v>3.5999999999999996</v>
      </c>
      <c r="AE268" s="81">
        <f t="shared" si="103"/>
        <v>3.3488372093023253</v>
      </c>
      <c r="AF268" s="81">
        <f t="shared" si="90"/>
        <v>2.9624030321278028</v>
      </c>
      <c r="AG268" s="83">
        <v>1</v>
      </c>
      <c r="AH268" s="83">
        <v>4.6462000000000003</v>
      </c>
      <c r="AI268" s="83">
        <f t="shared" si="94"/>
        <v>0.8228897311466119</v>
      </c>
      <c r="AJ268" s="81">
        <f t="shared" si="104"/>
        <v>0.75633027522935736</v>
      </c>
      <c r="AK268" s="81">
        <f t="shared" si="105"/>
        <v>0.58630253893748641</v>
      </c>
      <c r="AL268" s="81">
        <f t="shared" si="91"/>
        <v>0.11873330735716049</v>
      </c>
      <c r="AM268" s="83">
        <v>0.18</v>
      </c>
      <c r="AN268" s="83">
        <f t="shared" si="95"/>
        <v>0.15254237288135594</v>
      </c>
      <c r="AO268" s="83">
        <f t="shared" si="100"/>
        <v>1.3926828176078104E-3</v>
      </c>
      <c r="AP268" s="83">
        <v>0.18622</v>
      </c>
      <c r="AQ268" s="83">
        <f t="shared" si="101"/>
        <v>0.15698605654937531</v>
      </c>
      <c r="AR268" s="77" t="s">
        <v>148</v>
      </c>
    </row>
    <row r="269" spans="1:44" ht="15" customHeight="1" x14ac:dyDescent="0.25">
      <c r="A269" s="76">
        <v>268</v>
      </c>
      <c r="B269" s="76">
        <v>2000</v>
      </c>
      <c r="C269" s="77" t="s">
        <v>104</v>
      </c>
      <c r="D269" s="76">
        <v>13</v>
      </c>
      <c r="E269" s="78">
        <v>8</v>
      </c>
      <c r="F269" s="79">
        <v>2.5</v>
      </c>
      <c r="G269" s="80">
        <v>60</v>
      </c>
      <c r="H269" s="80">
        <v>22</v>
      </c>
      <c r="I269" s="78">
        <v>38</v>
      </c>
      <c r="J269" s="81">
        <v>0.11169999999999999</v>
      </c>
      <c r="K269" s="77" t="s">
        <v>105</v>
      </c>
      <c r="L269" s="77" t="s">
        <v>36</v>
      </c>
      <c r="M269" s="77" t="s">
        <v>289</v>
      </c>
      <c r="N269" s="77">
        <v>20</v>
      </c>
      <c r="O269" s="77">
        <v>20</v>
      </c>
      <c r="P269" s="78"/>
      <c r="Q269" s="81">
        <v>16</v>
      </c>
      <c r="R269" s="82"/>
      <c r="S269" s="82">
        <v>2.0250989036877973E-4</v>
      </c>
      <c r="T269" s="82">
        <v>660000000</v>
      </c>
      <c r="U269" s="78">
        <v>2695</v>
      </c>
      <c r="V269" s="82">
        <v>1.7919999999999998E-2</v>
      </c>
      <c r="W269" s="82">
        <v>2.3040000000000001E-2</v>
      </c>
      <c r="X269" s="82">
        <v>0.54900000000000004</v>
      </c>
      <c r="Y269" s="78">
        <v>29.6</v>
      </c>
      <c r="Z269" s="78">
        <v>1075</v>
      </c>
      <c r="AA269" s="78">
        <f t="shared" si="97"/>
        <v>1440</v>
      </c>
      <c r="AB269" s="81">
        <f t="shared" si="98"/>
        <v>0.82189116447904176</v>
      </c>
      <c r="AC269" s="81">
        <f t="shared" si="102"/>
        <v>0.75630252100840334</v>
      </c>
      <c r="AD269" s="81">
        <f t="shared" si="99"/>
        <v>3.5999999999999996</v>
      </c>
      <c r="AE269" s="81">
        <f t="shared" si="103"/>
        <v>3.3488372093023253</v>
      </c>
      <c r="AF269" s="81">
        <f t="shared" si="90"/>
        <v>2.8436974789915963</v>
      </c>
      <c r="AG269" s="83">
        <v>1</v>
      </c>
      <c r="AH269" s="83">
        <v>3.76</v>
      </c>
      <c r="AI269" s="83">
        <f t="shared" si="94"/>
        <v>0.78991596638655459</v>
      </c>
      <c r="AJ269" s="81">
        <f t="shared" si="104"/>
        <v>0.89161109243697478</v>
      </c>
      <c r="AK269" s="81">
        <f t="shared" si="105"/>
        <v>0.69117138948602697</v>
      </c>
      <c r="AL269" s="81">
        <f t="shared" si="91"/>
        <v>0.13530857142857142</v>
      </c>
      <c r="AM269" s="83">
        <f>AP269</f>
        <v>0.17890800000000001</v>
      </c>
      <c r="AN269" s="83">
        <f t="shared" si="95"/>
        <v>0.15175738904138406</v>
      </c>
      <c r="AO269" s="83">
        <v>0</v>
      </c>
      <c r="AP269" s="83">
        <v>0.17890800000000001</v>
      </c>
      <c r="AQ269" s="83">
        <f t="shared" si="101"/>
        <v>0.15175738904138406</v>
      </c>
      <c r="AR269" s="77" t="s">
        <v>149</v>
      </c>
    </row>
    <row r="270" spans="1:44" ht="15" customHeight="1" x14ac:dyDescent="0.25">
      <c r="A270" s="76">
        <v>269</v>
      </c>
      <c r="B270" s="76">
        <v>2000</v>
      </c>
      <c r="C270" s="77" t="s">
        <v>104</v>
      </c>
      <c r="D270" s="76">
        <v>14</v>
      </c>
      <c r="E270" s="78">
        <v>8</v>
      </c>
      <c r="F270" s="79">
        <v>2.5</v>
      </c>
      <c r="G270" s="80">
        <v>60</v>
      </c>
      <c r="H270" s="80">
        <v>22</v>
      </c>
      <c r="I270" s="78">
        <v>38</v>
      </c>
      <c r="J270" s="81">
        <v>3.8899999999999997E-2</v>
      </c>
      <c r="K270" s="77" t="s">
        <v>105</v>
      </c>
      <c r="L270" s="77" t="s">
        <v>36</v>
      </c>
      <c r="M270" s="77" t="s">
        <v>289</v>
      </c>
      <c r="N270" s="77">
        <v>20</v>
      </c>
      <c r="O270" s="77">
        <v>60</v>
      </c>
      <c r="P270" s="78"/>
      <c r="Q270" s="81">
        <v>19</v>
      </c>
      <c r="R270" s="82"/>
      <c r="S270" s="82">
        <v>2.0250989036877973E-4</v>
      </c>
      <c r="T270" s="82">
        <v>660000000</v>
      </c>
      <c r="U270" s="78">
        <v>2695</v>
      </c>
      <c r="V270" s="82">
        <v>1.7919999999999998E-2</v>
      </c>
      <c r="W270" s="82">
        <v>2.3040000000000001E-2</v>
      </c>
      <c r="X270" s="82">
        <v>0.54900000000000004</v>
      </c>
      <c r="Y270" s="78">
        <v>29.6</v>
      </c>
      <c r="Z270" s="78">
        <v>1075</v>
      </c>
      <c r="AA270" s="78">
        <f t="shared" si="97"/>
        <v>1440</v>
      </c>
      <c r="AB270" s="81">
        <f t="shared" si="98"/>
        <v>0.82189116447904176</v>
      </c>
      <c r="AC270" s="81">
        <f t="shared" si="102"/>
        <v>0.75</v>
      </c>
      <c r="AD270" s="81">
        <f t="shared" si="99"/>
        <v>3.5999999999999996</v>
      </c>
      <c r="AE270" s="81">
        <f t="shared" si="103"/>
        <v>3.3488372093023253</v>
      </c>
      <c r="AF270" s="81">
        <f t="shared" si="90"/>
        <v>2.8499999999999996</v>
      </c>
      <c r="AG270" s="83">
        <v>1</v>
      </c>
      <c r="AH270" s="83">
        <v>3.8</v>
      </c>
      <c r="AI270" s="83">
        <f t="shared" si="94"/>
        <v>0.79166666666666663</v>
      </c>
      <c r="AJ270" s="81">
        <f t="shared" si="104"/>
        <v>0.89830499999999991</v>
      </c>
      <c r="AK270" s="81">
        <f t="shared" si="105"/>
        <v>0.69636046511627891</v>
      </c>
      <c r="AL270" s="81">
        <f t="shared" si="91"/>
        <v>0.14830499999999996</v>
      </c>
      <c r="AM270" s="83">
        <v>0.18</v>
      </c>
      <c r="AN270" s="83">
        <f t="shared" si="95"/>
        <v>0.15254237288135594</v>
      </c>
      <c r="AO270" s="83">
        <f>(AP270-AM270)/(AH270-AM270)</f>
        <v>4.9005524861878477E-3</v>
      </c>
      <c r="AP270" s="83">
        <v>0.19774</v>
      </c>
      <c r="AQ270" s="83">
        <f t="shared" si="101"/>
        <v>0.16509426085794912</v>
      </c>
      <c r="AR270" s="77" t="s">
        <v>150</v>
      </c>
    </row>
    <row r="271" spans="1:44" ht="15" customHeight="1" x14ac:dyDescent="0.25">
      <c r="A271" s="76">
        <v>270</v>
      </c>
      <c r="B271" s="76">
        <v>2000</v>
      </c>
      <c r="C271" s="77" t="s">
        <v>104</v>
      </c>
      <c r="D271" s="76">
        <v>15</v>
      </c>
      <c r="E271" s="78">
        <v>7</v>
      </c>
      <c r="F271" s="79">
        <v>2.5</v>
      </c>
      <c r="G271" s="80">
        <v>60</v>
      </c>
      <c r="H271" s="80">
        <v>22</v>
      </c>
      <c r="I271" s="78">
        <v>20</v>
      </c>
      <c r="J271" s="81">
        <v>7.8899999999999998E-2</v>
      </c>
      <c r="K271" s="77" t="s">
        <v>105</v>
      </c>
      <c r="L271" s="77" t="s">
        <v>36</v>
      </c>
      <c r="M271" s="77" t="s">
        <v>289</v>
      </c>
      <c r="N271" s="77">
        <v>20</v>
      </c>
      <c r="O271" s="77">
        <v>180</v>
      </c>
      <c r="P271" s="78"/>
      <c r="Q271" s="81">
        <v>24</v>
      </c>
      <c r="R271" s="82"/>
      <c r="S271" s="82">
        <v>2.0250989036877973E-4</v>
      </c>
      <c r="T271" s="82">
        <v>660000000</v>
      </c>
      <c r="U271" s="78">
        <v>2695</v>
      </c>
      <c r="V271" s="82">
        <v>1.7919999999999998E-2</v>
      </c>
      <c r="W271" s="82">
        <v>2.3040000000000001E-2</v>
      </c>
      <c r="X271" s="82">
        <v>0.54900000000000004</v>
      </c>
      <c r="Y271" s="78">
        <v>29.6</v>
      </c>
      <c r="Z271" s="78">
        <v>1075</v>
      </c>
      <c r="AA271" s="78">
        <f t="shared" si="97"/>
        <v>1440</v>
      </c>
      <c r="AB271" s="81">
        <f t="shared" si="98"/>
        <v>0.82189116447904176</v>
      </c>
      <c r="AC271" s="81">
        <f t="shared" si="102"/>
        <v>0.63911376224968031</v>
      </c>
      <c r="AD271" s="81">
        <f t="shared" si="99"/>
        <v>3.5999999999999996</v>
      </c>
      <c r="AE271" s="81">
        <f t="shared" si="103"/>
        <v>3.3488372093023253</v>
      </c>
      <c r="AF271" s="81">
        <f t="shared" si="90"/>
        <v>2.9608862377503193</v>
      </c>
      <c r="AG271" s="83">
        <v>1</v>
      </c>
      <c r="AH271" s="83">
        <v>4.6327999999999996</v>
      </c>
      <c r="AI271" s="83">
        <f t="shared" si="94"/>
        <v>0.82246839937508875</v>
      </c>
      <c r="AJ271" s="81">
        <f t="shared" si="104"/>
        <v>0.7474384320409031</v>
      </c>
      <c r="AK271" s="81">
        <f t="shared" si="105"/>
        <v>0.57940963724101024</v>
      </c>
      <c r="AL271" s="81">
        <f t="shared" si="91"/>
        <v>0.10832466979122282</v>
      </c>
      <c r="AM271" s="83">
        <f>AP271</f>
        <v>0.169492</v>
      </c>
      <c r="AN271" s="83">
        <f t="shared" si="95"/>
        <v>0.14492788321767058</v>
      </c>
      <c r="AO271" s="83">
        <v>0</v>
      </c>
      <c r="AP271" s="83">
        <v>0.169492</v>
      </c>
      <c r="AQ271" s="83">
        <f t="shared" si="101"/>
        <v>0.14492788321767058</v>
      </c>
      <c r="AR271" s="77" t="s">
        <v>151</v>
      </c>
    </row>
    <row r="272" spans="1:44" ht="15" customHeight="1" x14ac:dyDescent="0.25">
      <c r="A272" s="76">
        <v>271</v>
      </c>
      <c r="B272" s="76">
        <v>2000</v>
      </c>
      <c r="C272" s="77" t="s">
        <v>104</v>
      </c>
      <c r="D272" s="76">
        <v>16</v>
      </c>
      <c r="E272" s="78">
        <v>8</v>
      </c>
      <c r="F272" s="79">
        <v>2.5</v>
      </c>
      <c r="G272" s="80">
        <v>60</v>
      </c>
      <c r="H272" s="80">
        <v>22</v>
      </c>
      <c r="I272" s="78">
        <v>25</v>
      </c>
      <c r="J272" s="81">
        <v>0.19739999999999999</v>
      </c>
      <c r="K272" s="77" t="s">
        <v>105</v>
      </c>
      <c r="L272" s="77" t="s">
        <v>36</v>
      </c>
      <c r="M272" s="77" t="s">
        <v>289</v>
      </c>
      <c r="N272" s="77">
        <v>20</v>
      </c>
      <c r="O272" s="77">
        <v>20</v>
      </c>
      <c r="P272" s="78"/>
      <c r="Q272" s="81">
        <v>19</v>
      </c>
      <c r="R272" s="82"/>
      <c r="S272" s="82">
        <v>2.0250989036877973E-4</v>
      </c>
      <c r="T272" s="82">
        <v>660000000</v>
      </c>
      <c r="U272" s="78">
        <v>2695</v>
      </c>
      <c r="V272" s="82">
        <v>1.7919999999999998E-2</v>
      </c>
      <c r="W272" s="82">
        <v>2.3040000000000001E-2</v>
      </c>
      <c r="X272" s="82">
        <v>0.54900000000000004</v>
      </c>
      <c r="Y272" s="78">
        <v>29.6</v>
      </c>
      <c r="Z272" s="78">
        <v>1075</v>
      </c>
      <c r="AA272" s="78">
        <f t="shared" si="97"/>
        <v>1440</v>
      </c>
      <c r="AB272" s="81">
        <f t="shared" si="98"/>
        <v>0.82189116447904176</v>
      </c>
      <c r="AC272" s="81">
        <f t="shared" si="102"/>
        <v>0.79382579933847852</v>
      </c>
      <c r="AD272" s="81">
        <f t="shared" si="99"/>
        <v>3.5999999999999996</v>
      </c>
      <c r="AE272" s="81">
        <f t="shared" si="103"/>
        <v>3.3488372093023253</v>
      </c>
      <c r="AF272" s="81">
        <f t="shared" si="90"/>
        <v>2.8061742006615211</v>
      </c>
      <c r="AG272" s="83">
        <v>1</v>
      </c>
      <c r="AH272" s="83">
        <v>3.5350000000000001</v>
      </c>
      <c r="AI272" s="83">
        <f t="shared" ref="AI272:AI303" si="106">AH272/(AH272+1)</f>
        <v>0.77949283351708931</v>
      </c>
      <c r="AJ272" s="81">
        <f t="shared" si="104"/>
        <v>0.95889393605292172</v>
      </c>
      <c r="AK272" s="81">
        <f t="shared" si="105"/>
        <v>0.74332863259916415</v>
      </c>
      <c r="AL272" s="81">
        <f t="shared" si="91"/>
        <v>0.16506813671444323</v>
      </c>
      <c r="AM272" s="83">
        <v>0.18</v>
      </c>
      <c r="AN272" s="83">
        <f t="shared" ref="AN272:AN303" si="107">AM272/(AM272+1)</f>
        <v>0.15254237288135594</v>
      </c>
      <c r="AO272" s="83">
        <f>(AP272-AM272)/(AH272-AM272)</f>
        <v>8.3278688524590222E-3</v>
      </c>
      <c r="AP272" s="83">
        <v>0.20794000000000001</v>
      </c>
      <c r="AQ272" s="83">
        <f t="shared" si="101"/>
        <v>0.1721443118035664</v>
      </c>
      <c r="AR272" s="77" t="s">
        <v>362</v>
      </c>
    </row>
    <row r="273" spans="1:44" ht="15" customHeight="1" x14ac:dyDescent="0.25">
      <c r="A273" s="76">
        <v>272</v>
      </c>
      <c r="B273" s="76">
        <v>2000</v>
      </c>
      <c r="C273" s="77" t="s">
        <v>104</v>
      </c>
      <c r="D273" s="76">
        <v>17</v>
      </c>
      <c r="E273" s="78">
        <v>8</v>
      </c>
      <c r="F273" s="79">
        <v>2.5</v>
      </c>
      <c r="G273" s="80">
        <v>60</v>
      </c>
      <c r="H273" s="80">
        <v>22</v>
      </c>
      <c r="I273" s="78">
        <v>25</v>
      </c>
      <c r="J273" s="81">
        <v>8.1699999999999995E-2</v>
      </c>
      <c r="K273" s="77" t="s">
        <v>105</v>
      </c>
      <c r="L273" s="77" t="s">
        <v>36</v>
      </c>
      <c r="M273" s="77" t="s">
        <v>289</v>
      </c>
      <c r="N273" s="77">
        <v>20</v>
      </c>
      <c r="O273" s="77">
        <v>20</v>
      </c>
      <c r="P273" s="78"/>
      <c r="Q273" s="81">
        <v>23</v>
      </c>
      <c r="R273" s="82"/>
      <c r="S273" s="82">
        <v>2.0250989036877973E-4</v>
      </c>
      <c r="T273" s="82">
        <v>660000000</v>
      </c>
      <c r="U273" s="78">
        <v>2695</v>
      </c>
      <c r="V273" s="82">
        <v>1.7919999999999998E-2</v>
      </c>
      <c r="W273" s="82">
        <v>2.3040000000000001E-2</v>
      </c>
      <c r="X273" s="82">
        <v>0.54900000000000004</v>
      </c>
      <c r="Y273" s="78">
        <v>29.6</v>
      </c>
      <c r="Z273" s="78">
        <v>1075</v>
      </c>
      <c r="AA273" s="78">
        <f t="shared" si="97"/>
        <v>1440</v>
      </c>
      <c r="AB273" s="81">
        <f t="shared" si="98"/>
        <v>0.82189116447904176</v>
      </c>
      <c r="AC273" s="81">
        <f t="shared" si="102"/>
        <v>0.79382579933847852</v>
      </c>
      <c r="AD273" s="81">
        <f t="shared" si="99"/>
        <v>3.5999999999999996</v>
      </c>
      <c r="AE273" s="81">
        <f t="shared" si="103"/>
        <v>3.3488372093023253</v>
      </c>
      <c r="AF273" s="81">
        <f t="shared" si="90"/>
        <v>2.8061742006615211</v>
      </c>
      <c r="AG273" s="83">
        <v>1</v>
      </c>
      <c r="AH273" s="83">
        <v>3.5350000000000001</v>
      </c>
      <c r="AI273" s="83">
        <f t="shared" si="106"/>
        <v>0.77949283351708931</v>
      </c>
      <c r="AJ273" s="81">
        <f t="shared" si="104"/>
        <v>0.93639691289966931</v>
      </c>
      <c r="AK273" s="81">
        <f t="shared" si="105"/>
        <v>0.72588907976718553</v>
      </c>
      <c r="AL273" s="81">
        <f t="shared" si="91"/>
        <v>0.14257111356119076</v>
      </c>
      <c r="AM273" s="83">
        <f>AP273</f>
        <v>0.17960000000000001</v>
      </c>
      <c r="AN273" s="83">
        <f t="shared" si="107"/>
        <v>0.15225500169549</v>
      </c>
      <c r="AO273" s="83">
        <v>0</v>
      </c>
      <c r="AP273" s="83">
        <v>0.17960000000000001</v>
      </c>
      <c r="AQ273" s="83">
        <f t="shared" si="101"/>
        <v>0.15225500169549</v>
      </c>
      <c r="AR273" s="77" t="s">
        <v>363</v>
      </c>
    </row>
    <row r="274" spans="1:44" ht="15" hidden="1" customHeight="1" x14ac:dyDescent="0.25">
      <c r="A274" s="76">
        <v>273</v>
      </c>
      <c r="B274" s="76">
        <v>2000</v>
      </c>
      <c r="C274" s="77" t="s">
        <v>104</v>
      </c>
      <c r="D274" s="76">
        <v>18</v>
      </c>
      <c r="E274" s="78">
        <v>15</v>
      </c>
      <c r="F274" s="79">
        <v>2.5</v>
      </c>
      <c r="G274" s="80">
        <v>60</v>
      </c>
      <c r="H274" s="80">
        <v>22</v>
      </c>
      <c r="I274" s="78">
        <v>46</v>
      </c>
      <c r="J274" s="81">
        <v>0.11119999999999999</v>
      </c>
      <c r="K274" s="77" t="s">
        <v>105</v>
      </c>
      <c r="L274" s="77" t="s">
        <v>36</v>
      </c>
      <c r="M274" s="77" t="s">
        <v>290</v>
      </c>
      <c r="N274" s="77" t="s">
        <v>329</v>
      </c>
      <c r="O274" s="77" t="s">
        <v>329</v>
      </c>
      <c r="P274" s="78"/>
      <c r="Q274" s="81">
        <v>10</v>
      </c>
      <c r="R274" s="82"/>
      <c r="S274" s="82">
        <v>2.0250989036877973E-4</v>
      </c>
      <c r="T274" s="82">
        <v>660000000</v>
      </c>
      <c r="U274" s="78">
        <v>2695</v>
      </c>
      <c r="V274" s="82">
        <v>1.7919999999999998E-2</v>
      </c>
      <c r="W274" s="82">
        <v>2.3040000000000001E-2</v>
      </c>
      <c r="X274" s="82">
        <v>0.54900000000000004</v>
      </c>
      <c r="Y274" s="78">
        <v>29.6</v>
      </c>
      <c r="Z274" s="78">
        <v>1075</v>
      </c>
      <c r="AA274" s="78">
        <f t="shared" si="97"/>
        <v>1440</v>
      </c>
      <c r="AB274" s="81">
        <f t="shared" si="98"/>
        <v>0.82189116447904176</v>
      </c>
      <c r="AC274" s="81">
        <f t="shared" si="102"/>
        <v>0.65454545454545432</v>
      </c>
      <c r="AD274" s="81">
        <f t="shared" si="99"/>
        <v>3.5999999999999996</v>
      </c>
      <c r="AE274" s="81">
        <f t="shared" si="103"/>
        <v>3.3488372093023253</v>
      </c>
      <c r="AF274" s="81">
        <f t="shared" si="90"/>
        <v>2.9454545454545453</v>
      </c>
      <c r="AG274" s="83">
        <v>1</v>
      </c>
      <c r="AH274" s="83">
        <v>4.5</v>
      </c>
      <c r="AI274" s="83">
        <f t="shared" si="106"/>
        <v>0.81818181818181823</v>
      </c>
      <c r="AJ274" s="81">
        <f t="shared" si="104"/>
        <v>0.75951949090909066</v>
      </c>
      <c r="AK274" s="81">
        <f t="shared" si="105"/>
        <v>0.58877479915433384</v>
      </c>
      <c r="AL274" s="81">
        <f t="shared" si="91"/>
        <v>0.10497403636363631</v>
      </c>
      <c r="AM274" s="83">
        <f>AP274</f>
        <v>0.16037699999999999</v>
      </c>
      <c r="AN274" s="83">
        <f t="shared" si="107"/>
        <v>0.13821111587010082</v>
      </c>
      <c r="AO274" s="83">
        <v>0</v>
      </c>
      <c r="AP274" s="83">
        <v>0.16037699999999999</v>
      </c>
      <c r="AQ274" s="83">
        <f t="shared" si="101"/>
        <v>0.13821111587010082</v>
      </c>
      <c r="AR274" s="77" t="s">
        <v>152</v>
      </c>
    </row>
    <row r="275" spans="1:44" s="10" customFormat="1" ht="15" hidden="1" customHeight="1" x14ac:dyDescent="0.25">
      <c r="A275" s="1">
        <v>274</v>
      </c>
      <c r="B275" s="1">
        <v>2000</v>
      </c>
      <c r="C275" s="28" t="s">
        <v>104</v>
      </c>
      <c r="D275" s="1">
        <v>19</v>
      </c>
      <c r="E275" s="8">
        <v>6</v>
      </c>
      <c r="F275" s="31">
        <v>2.5</v>
      </c>
      <c r="G275" s="49">
        <v>60</v>
      </c>
      <c r="H275" s="49">
        <v>22</v>
      </c>
      <c r="I275" s="8">
        <v>9</v>
      </c>
      <c r="J275" s="51">
        <v>8.6800000000000002E-2</v>
      </c>
      <c r="K275" s="28" t="s">
        <v>105</v>
      </c>
      <c r="L275" s="28" t="s">
        <v>36</v>
      </c>
      <c r="M275" s="28" t="s">
        <v>290</v>
      </c>
      <c r="N275" s="28" t="s">
        <v>329</v>
      </c>
      <c r="O275" s="28" t="s">
        <v>329</v>
      </c>
      <c r="P275" s="8"/>
      <c r="Q275" s="51">
        <v>81</v>
      </c>
      <c r="R275" s="9"/>
      <c r="S275" s="9">
        <v>2.0250989036877973E-4</v>
      </c>
      <c r="T275" s="9">
        <v>660000000</v>
      </c>
      <c r="U275" s="8">
        <v>2695</v>
      </c>
      <c r="V275" s="9">
        <v>1.7919999999999998E-2</v>
      </c>
      <c r="W275" s="9">
        <v>2.3040000000000001E-2</v>
      </c>
      <c r="X275" s="9">
        <v>0.54900000000000004</v>
      </c>
      <c r="Y275" s="8">
        <v>29.6</v>
      </c>
      <c r="Z275" s="8">
        <v>1075</v>
      </c>
      <c r="AA275" s="8">
        <f t="shared" si="97"/>
        <v>1440</v>
      </c>
      <c r="AB275" s="51">
        <f t="shared" si="98"/>
        <v>0.82189116447904176</v>
      </c>
      <c r="AC275" s="51">
        <f t="shared" si="102"/>
        <v>0.63812702627487994</v>
      </c>
      <c r="AD275" s="51">
        <f t="shared" si="99"/>
        <v>3.5999999999999996</v>
      </c>
      <c r="AE275" s="51">
        <f t="shared" si="103"/>
        <v>3.3488372093023253</v>
      </c>
      <c r="AF275" s="51">
        <f t="shared" si="90"/>
        <v>2.9618729737251197</v>
      </c>
      <c r="AG275" s="52">
        <v>1</v>
      </c>
      <c r="AH275" s="52">
        <v>4.6415100000000002</v>
      </c>
      <c r="AI275" s="52">
        <f t="shared" si="106"/>
        <v>0.82274249270142219</v>
      </c>
      <c r="AJ275" s="51">
        <f t="shared" si="104"/>
        <v>0.75852819546539796</v>
      </c>
      <c r="AK275" s="51">
        <f t="shared" si="105"/>
        <v>0.58800635307395188</v>
      </c>
      <c r="AL275" s="51">
        <f t="shared" si="91"/>
        <v>0.12040116919051806</v>
      </c>
      <c r="AM275" s="52">
        <v>0.18</v>
      </c>
      <c r="AN275" s="52">
        <f t="shared" si="107"/>
        <v>0.15254237288135594</v>
      </c>
      <c r="AO275" s="52">
        <f t="shared" ref="AO275:AO280" si="108">(AP275-AM275)/(AH275-AM275)</f>
        <v>1.945305513155864E-3</v>
      </c>
      <c r="AP275" s="52">
        <v>0.18867900000000001</v>
      </c>
      <c r="AQ275" s="52">
        <f t="shared" si="101"/>
        <v>0.15872998513475883</v>
      </c>
      <c r="AR275" s="28" t="s">
        <v>153</v>
      </c>
    </row>
    <row r="276" spans="1:44" ht="15" customHeight="1" x14ac:dyDescent="0.25">
      <c r="A276" s="76">
        <v>275</v>
      </c>
      <c r="B276" s="76">
        <v>2001</v>
      </c>
      <c r="C276" s="77" t="s">
        <v>154</v>
      </c>
      <c r="D276" s="76">
        <v>1</v>
      </c>
      <c r="E276" s="78">
        <v>11</v>
      </c>
      <c r="F276" s="79">
        <v>2</v>
      </c>
      <c r="G276" s="80">
        <v>65</v>
      </c>
      <c r="H276" s="80">
        <v>20</v>
      </c>
      <c r="I276" s="78">
        <v>7</v>
      </c>
      <c r="J276" s="81">
        <v>0.1265</v>
      </c>
      <c r="K276" s="77" t="s">
        <v>306</v>
      </c>
      <c r="L276" s="77" t="s">
        <v>36</v>
      </c>
      <c r="M276" s="77" t="s">
        <v>289</v>
      </c>
      <c r="N276" s="77">
        <v>85</v>
      </c>
      <c r="O276" s="77">
        <v>2</v>
      </c>
      <c r="P276" s="78"/>
      <c r="Q276" s="81">
        <v>46</v>
      </c>
      <c r="R276" s="82"/>
      <c r="S276" s="82">
        <v>4.7992774415012311E-2</v>
      </c>
      <c r="T276" s="82">
        <v>910000000</v>
      </c>
      <c r="U276" s="78">
        <v>995</v>
      </c>
      <c r="V276" s="82">
        <v>1.0919999999999999E-2</v>
      </c>
      <c r="W276" s="82">
        <v>2.3040000000000001E-2</v>
      </c>
      <c r="X276" s="82">
        <v>0.54900000000000004</v>
      </c>
      <c r="Y276" s="78">
        <v>29.6</v>
      </c>
      <c r="Z276" s="78">
        <v>1075</v>
      </c>
      <c r="AA276" s="78">
        <f t="shared" ref="AA276:AA283" si="109">AD276/2.5</f>
        <v>480</v>
      </c>
      <c r="AB276" s="81">
        <f t="shared" ref="AB276:AB297" si="110">POWER(3/(4*PI())*AE276/AA276,1/3)</f>
        <v>0.82189116447904176</v>
      </c>
      <c r="AC276" s="81">
        <f t="shared" si="102"/>
        <v>339.95008399599999</v>
      </c>
      <c r="AD276" s="81">
        <v>1200</v>
      </c>
      <c r="AE276" s="81">
        <f t="shared" si="103"/>
        <v>1116.2790697674418</v>
      </c>
      <c r="AF276" s="81">
        <f t="shared" si="90"/>
        <v>860.04991600400001</v>
      </c>
      <c r="AG276" s="83">
        <v>1</v>
      </c>
      <c r="AH276" s="83">
        <v>2.5299299999999998</v>
      </c>
      <c r="AI276" s="83">
        <f t="shared" si="106"/>
        <v>0.71670826333666671</v>
      </c>
      <c r="AJ276" s="81">
        <f t="shared" si="104"/>
        <v>424.86281597652089</v>
      </c>
      <c r="AK276" s="81">
        <f t="shared" si="105"/>
        <v>329.35102013683792</v>
      </c>
      <c r="AL276" s="81">
        <f t="shared" si="91"/>
        <v>84.912731980520888</v>
      </c>
      <c r="AM276" s="83">
        <v>0.13</v>
      </c>
      <c r="AN276" s="83">
        <f t="shared" si="107"/>
        <v>0.11504424778761063</v>
      </c>
      <c r="AO276" s="83">
        <f t="shared" si="108"/>
        <v>4.990978903551354E-2</v>
      </c>
      <c r="AP276" s="83">
        <v>0.24978</v>
      </c>
      <c r="AQ276" s="83">
        <f t="shared" si="101"/>
        <v>0.19985917521483784</v>
      </c>
      <c r="AR276" s="77" t="s">
        <v>364</v>
      </c>
    </row>
    <row r="277" spans="1:44" ht="15" customHeight="1" x14ac:dyDescent="0.25">
      <c r="A277" s="76">
        <v>276</v>
      </c>
      <c r="B277" s="76">
        <v>2001</v>
      </c>
      <c r="C277" s="77" t="s">
        <v>154</v>
      </c>
      <c r="D277" s="76">
        <v>2</v>
      </c>
      <c r="E277" s="78">
        <v>13</v>
      </c>
      <c r="F277" s="79">
        <v>2</v>
      </c>
      <c r="G277" s="80">
        <v>65</v>
      </c>
      <c r="H277" s="80">
        <v>20</v>
      </c>
      <c r="I277" s="78">
        <v>14</v>
      </c>
      <c r="J277" s="81">
        <v>0.11849999999999999</v>
      </c>
      <c r="K277" s="77" t="s">
        <v>306</v>
      </c>
      <c r="L277" s="77" t="s">
        <v>36</v>
      </c>
      <c r="M277" s="77" t="s">
        <v>289</v>
      </c>
      <c r="N277" s="77">
        <v>100</v>
      </c>
      <c r="O277" s="77">
        <v>15</v>
      </c>
      <c r="P277" s="78"/>
      <c r="Q277" s="81">
        <v>27</v>
      </c>
      <c r="R277" s="82"/>
      <c r="S277" s="82">
        <v>4.7992774415012311E-2</v>
      </c>
      <c r="T277" s="82">
        <v>910000000</v>
      </c>
      <c r="U277" s="78">
        <v>995</v>
      </c>
      <c r="V277" s="82">
        <v>1.0919999999999999E-2</v>
      </c>
      <c r="W277" s="82">
        <v>2.3040000000000001E-2</v>
      </c>
      <c r="X277" s="82">
        <v>0.54900000000000004</v>
      </c>
      <c r="Y277" s="78">
        <v>29.6</v>
      </c>
      <c r="Z277" s="78">
        <v>1075</v>
      </c>
      <c r="AA277" s="78">
        <f t="shared" si="109"/>
        <v>480</v>
      </c>
      <c r="AB277" s="81">
        <f t="shared" si="110"/>
        <v>0.82189116447904176</v>
      </c>
      <c r="AC277" s="81">
        <f t="shared" si="102"/>
        <v>293.79936441404152</v>
      </c>
      <c r="AD277" s="81">
        <v>1200</v>
      </c>
      <c r="AE277" s="81">
        <f t="shared" si="103"/>
        <v>1116.2790697674418</v>
      </c>
      <c r="AF277" s="81">
        <f t="shared" si="90"/>
        <v>906.20063558595848</v>
      </c>
      <c r="AG277" s="83">
        <v>1</v>
      </c>
      <c r="AH277" s="83">
        <v>3.0844200000000002</v>
      </c>
      <c r="AI277" s="83">
        <f t="shared" si="106"/>
        <v>0.75516719632163209</v>
      </c>
      <c r="AJ277" s="81">
        <f t="shared" si="104"/>
        <v>367.35497328874101</v>
      </c>
      <c r="AK277" s="81">
        <f t="shared" si="105"/>
        <v>284.77129712305504</v>
      </c>
      <c r="AL277" s="81">
        <f t="shared" si="91"/>
        <v>73.555608874699445</v>
      </c>
      <c r="AM277" s="83">
        <v>0.13</v>
      </c>
      <c r="AN277" s="83">
        <f t="shared" si="107"/>
        <v>0.11504424778761063</v>
      </c>
      <c r="AO277" s="83">
        <f t="shared" si="108"/>
        <v>4.0738960608173523E-2</v>
      </c>
      <c r="AP277" s="83">
        <v>0.25036000000000003</v>
      </c>
      <c r="AQ277" s="83">
        <f t="shared" si="101"/>
        <v>0.2002303336639048</v>
      </c>
      <c r="AR277" s="77" t="s">
        <v>365</v>
      </c>
    </row>
    <row r="278" spans="1:44" ht="15" customHeight="1" x14ac:dyDescent="0.25">
      <c r="A278" s="76">
        <v>277</v>
      </c>
      <c r="B278" s="76">
        <v>2001</v>
      </c>
      <c r="C278" s="77" t="s">
        <v>154</v>
      </c>
      <c r="D278" s="76">
        <v>3</v>
      </c>
      <c r="E278" s="78">
        <v>13</v>
      </c>
      <c r="F278" s="79">
        <v>2</v>
      </c>
      <c r="G278" s="80">
        <v>65</v>
      </c>
      <c r="H278" s="80">
        <v>20</v>
      </c>
      <c r="I278" s="78">
        <v>6</v>
      </c>
      <c r="J278" s="81">
        <v>0.15210000000000001</v>
      </c>
      <c r="K278" s="77" t="s">
        <v>306</v>
      </c>
      <c r="L278" s="77" t="s">
        <v>36</v>
      </c>
      <c r="M278" s="77" t="s">
        <v>289</v>
      </c>
      <c r="N278" s="77">
        <v>25</v>
      </c>
      <c r="O278" s="77">
        <v>180</v>
      </c>
      <c r="P278" s="78"/>
      <c r="Q278" s="81">
        <v>38</v>
      </c>
      <c r="R278" s="82"/>
      <c r="S278" s="82">
        <v>4.7992774415012311E-2</v>
      </c>
      <c r="T278" s="82">
        <v>910000000</v>
      </c>
      <c r="U278" s="78">
        <v>995</v>
      </c>
      <c r="V278" s="82">
        <v>1.0919999999999999E-2</v>
      </c>
      <c r="W278" s="82">
        <v>2.3040000000000001E-2</v>
      </c>
      <c r="X278" s="82">
        <v>0.54900000000000004</v>
      </c>
      <c r="Y278" s="78">
        <v>29.6</v>
      </c>
      <c r="Z278" s="78">
        <v>1075</v>
      </c>
      <c r="AA278" s="78">
        <f t="shared" si="109"/>
        <v>480</v>
      </c>
      <c r="AB278" s="81">
        <f t="shared" si="110"/>
        <v>0.82189116447904176</v>
      </c>
      <c r="AC278" s="81">
        <f t="shared" si="102"/>
        <v>292.64366975161875</v>
      </c>
      <c r="AD278" s="81">
        <v>1200</v>
      </c>
      <c r="AE278" s="81">
        <f t="shared" si="103"/>
        <v>1116.2790697674418</v>
      </c>
      <c r="AF278" s="81">
        <f t="shared" si="90"/>
        <v>907.35633024838125</v>
      </c>
      <c r="AG278" s="83">
        <v>1</v>
      </c>
      <c r="AH278" s="83">
        <v>3.1005500000000001</v>
      </c>
      <c r="AI278" s="83">
        <f t="shared" si="106"/>
        <v>0.75613027520698439</v>
      </c>
      <c r="AJ278" s="81">
        <f t="shared" si="104"/>
        <v>365.94798258770169</v>
      </c>
      <c r="AK278" s="81">
        <f t="shared" si="105"/>
        <v>283.68060665713307</v>
      </c>
      <c r="AL278" s="81">
        <f t="shared" si="91"/>
        <v>73.304312836082957</v>
      </c>
      <c r="AM278" s="83">
        <v>0.13</v>
      </c>
      <c r="AN278" s="83">
        <f t="shared" si="107"/>
        <v>0.11504424778761063</v>
      </c>
      <c r="AO278" s="83">
        <f t="shared" si="108"/>
        <v>4.0561512177879511E-2</v>
      </c>
      <c r="AP278" s="83">
        <v>0.25048999999999999</v>
      </c>
      <c r="AQ278" s="83">
        <f t="shared" si="101"/>
        <v>0.20031347711697012</v>
      </c>
      <c r="AR278" s="77" t="s">
        <v>155</v>
      </c>
    </row>
    <row r="279" spans="1:44" ht="15" customHeight="1" x14ac:dyDescent="0.25">
      <c r="A279" s="76">
        <v>278</v>
      </c>
      <c r="B279" s="76">
        <v>2001</v>
      </c>
      <c r="C279" s="77" t="s">
        <v>154</v>
      </c>
      <c r="D279" s="76">
        <v>4</v>
      </c>
      <c r="E279" s="78">
        <v>13</v>
      </c>
      <c r="F279" s="79">
        <v>2</v>
      </c>
      <c r="G279" s="80">
        <v>65</v>
      </c>
      <c r="H279" s="80">
        <v>20</v>
      </c>
      <c r="I279" s="78">
        <v>9</v>
      </c>
      <c r="J279" s="81">
        <v>8.1299999999999997E-2</v>
      </c>
      <c r="K279" s="77" t="s">
        <v>306</v>
      </c>
      <c r="L279" s="77" t="s">
        <v>36</v>
      </c>
      <c r="M279" s="77" t="s">
        <v>289</v>
      </c>
      <c r="N279" s="77">
        <v>42</v>
      </c>
      <c r="O279" s="77">
        <v>60</v>
      </c>
      <c r="P279" s="78"/>
      <c r="Q279" s="81">
        <v>34</v>
      </c>
      <c r="R279" s="82"/>
      <c r="S279" s="82">
        <v>4.7992774415012311E-2</v>
      </c>
      <c r="T279" s="82">
        <v>910000000</v>
      </c>
      <c r="U279" s="78">
        <v>995</v>
      </c>
      <c r="V279" s="82">
        <v>1.0919999999999999E-2</v>
      </c>
      <c r="W279" s="82">
        <v>2.3040000000000001E-2</v>
      </c>
      <c r="X279" s="82">
        <v>0.54900000000000004</v>
      </c>
      <c r="Y279" s="78">
        <v>29.6</v>
      </c>
      <c r="Z279" s="78">
        <v>1075</v>
      </c>
      <c r="AA279" s="78">
        <f t="shared" si="109"/>
        <v>480</v>
      </c>
      <c r="AB279" s="81">
        <f t="shared" si="110"/>
        <v>0.82189116447904176</v>
      </c>
      <c r="AC279" s="81">
        <f t="shared" si="102"/>
        <v>292.61369871030513</v>
      </c>
      <c r="AD279" s="81">
        <v>1200</v>
      </c>
      <c r="AE279" s="81">
        <f t="shared" si="103"/>
        <v>1116.2790697674418</v>
      </c>
      <c r="AF279" s="81">
        <f t="shared" si="90"/>
        <v>907.38630128969487</v>
      </c>
      <c r="AG279" s="83">
        <v>1</v>
      </c>
      <c r="AH279" s="83">
        <v>3.1009699999999998</v>
      </c>
      <c r="AI279" s="83">
        <f t="shared" si="106"/>
        <v>0.75615525107474568</v>
      </c>
      <c r="AJ279" s="81">
        <f t="shared" si="104"/>
        <v>365.9456177440947</v>
      </c>
      <c r="AK279" s="81">
        <f t="shared" si="105"/>
        <v>283.67877344503466</v>
      </c>
      <c r="AL279" s="81">
        <f t="shared" si="91"/>
        <v>73.331919033789575</v>
      </c>
      <c r="AM279" s="83">
        <v>0.13</v>
      </c>
      <c r="AN279" s="83">
        <f t="shared" si="107"/>
        <v>0.11504424778761063</v>
      </c>
      <c r="AO279" s="83">
        <f t="shared" si="108"/>
        <v>4.0596168927993212E-2</v>
      </c>
      <c r="AP279" s="83">
        <v>0.25061</v>
      </c>
      <c r="AQ279" s="83">
        <f t="shared" si="101"/>
        <v>0.20039020957772608</v>
      </c>
      <c r="AR279" s="77" t="s">
        <v>366</v>
      </c>
    </row>
    <row r="280" spans="1:44" s="10" customFormat="1" ht="15" hidden="1" customHeight="1" x14ac:dyDescent="0.25">
      <c r="A280" s="1">
        <v>279</v>
      </c>
      <c r="B280" s="1">
        <v>2001</v>
      </c>
      <c r="C280" s="28" t="s">
        <v>154</v>
      </c>
      <c r="D280" s="1">
        <v>5</v>
      </c>
      <c r="E280" s="8">
        <v>13</v>
      </c>
      <c r="F280" s="31">
        <v>2</v>
      </c>
      <c r="G280" s="49">
        <v>65</v>
      </c>
      <c r="H280" s="49">
        <v>20</v>
      </c>
      <c r="I280" s="8">
        <v>27</v>
      </c>
      <c r="J280" s="51">
        <v>0.36070000000000002</v>
      </c>
      <c r="K280" s="28" t="s">
        <v>306</v>
      </c>
      <c r="L280" s="28" t="s">
        <v>36</v>
      </c>
      <c r="M280" s="28" t="s">
        <v>34</v>
      </c>
      <c r="N280" s="28" t="s">
        <v>34</v>
      </c>
      <c r="O280" s="28" t="s">
        <v>34</v>
      </c>
      <c r="P280" s="8"/>
      <c r="Q280" s="51">
        <v>16</v>
      </c>
      <c r="R280" s="9"/>
      <c r="S280" s="9">
        <v>4.7992774415012311E-2</v>
      </c>
      <c r="T280" s="9">
        <v>910000000</v>
      </c>
      <c r="U280" s="8">
        <v>995</v>
      </c>
      <c r="V280" s="9">
        <v>1.0919999999999999E-2</v>
      </c>
      <c r="W280" s="9">
        <v>2.3040000000000001E-2</v>
      </c>
      <c r="X280" s="9">
        <v>0.54900000000000004</v>
      </c>
      <c r="Y280" s="8">
        <v>29.6</v>
      </c>
      <c r="Z280" s="8">
        <v>1075</v>
      </c>
      <c r="AA280" s="8">
        <f t="shared" si="109"/>
        <v>480</v>
      </c>
      <c r="AB280" s="51">
        <f t="shared" si="110"/>
        <v>0.82189116447904176</v>
      </c>
      <c r="AC280" s="51">
        <f t="shared" si="102"/>
        <v>293.51622655539131</v>
      </c>
      <c r="AD280" s="51">
        <v>1200</v>
      </c>
      <c r="AE280" s="51">
        <f t="shared" si="103"/>
        <v>1116.2790697674418</v>
      </c>
      <c r="AF280" s="51">
        <f t="shared" si="90"/>
        <v>906.48377344460869</v>
      </c>
      <c r="AG280" s="52">
        <v>1</v>
      </c>
      <c r="AH280" s="52">
        <v>3.0883600000000002</v>
      </c>
      <c r="AI280" s="52">
        <f t="shared" si="106"/>
        <v>0.75540314453717394</v>
      </c>
      <c r="AJ280" s="51">
        <f t="shared" si="104"/>
        <v>366.95985676408134</v>
      </c>
      <c r="AK280" s="51">
        <f t="shared" si="105"/>
        <v>284.46500524347391</v>
      </c>
      <c r="AL280" s="51">
        <f t="shared" si="91"/>
        <v>73.44363020869001</v>
      </c>
      <c r="AM280" s="52">
        <v>0.13</v>
      </c>
      <c r="AN280" s="52">
        <f t="shared" si="107"/>
        <v>0.11504424778761063</v>
      </c>
      <c r="AO280" s="52">
        <f t="shared" si="108"/>
        <v>4.0637380170094238E-2</v>
      </c>
      <c r="AP280" s="52">
        <v>0.25022</v>
      </c>
      <c r="AQ280" s="52">
        <f t="shared" si="101"/>
        <v>0.20014077522356064</v>
      </c>
      <c r="AR280" s="28" t="s">
        <v>34</v>
      </c>
    </row>
    <row r="281" spans="1:44" ht="15" customHeight="1" x14ac:dyDescent="0.25">
      <c r="A281" s="76">
        <v>280</v>
      </c>
      <c r="B281" s="76">
        <v>2001</v>
      </c>
      <c r="C281" s="77" t="s">
        <v>156</v>
      </c>
      <c r="D281" s="76">
        <v>1</v>
      </c>
      <c r="E281" s="78">
        <v>11</v>
      </c>
      <c r="F281" s="74">
        <v>1.5</v>
      </c>
      <c r="G281" s="75">
        <v>32.4</v>
      </c>
      <c r="H281" s="75">
        <v>55</v>
      </c>
      <c r="I281" s="78">
        <v>82</v>
      </c>
      <c r="J281" s="81">
        <v>0.20810000000000001</v>
      </c>
      <c r="K281" s="77" t="s">
        <v>306</v>
      </c>
      <c r="L281" s="77" t="s">
        <v>36</v>
      </c>
      <c r="M281" s="77" t="s">
        <v>289</v>
      </c>
      <c r="N281" s="77">
        <v>25</v>
      </c>
      <c r="O281" s="77">
        <v>180</v>
      </c>
      <c r="P281" s="78"/>
      <c r="Q281" s="81">
        <v>85</v>
      </c>
      <c r="R281" s="82"/>
      <c r="S281" s="82">
        <v>5.228751983702612E-4</v>
      </c>
      <c r="T281" s="82">
        <v>770000000</v>
      </c>
      <c r="U281" s="78">
        <v>2229</v>
      </c>
      <c r="V281" s="82">
        <v>1.7919999999999998E-2</v>
      </c>
      <c r="W281" s="82">
        <v>2.3040000000000001E-2</v>
      </c>
      <c r="X281" s="82">
        <v>0.14899999999999999</v>
      </c>
      <c r="Y281" s="78">
        <v>29.6</v>
      </c>
      <c r="Z281" s="78">
        <v>1075</v>
      </c>
      <c r="AA281" s="78">
        <f t="shared" si="109"/>
        <v>400</v>
      </c>
      <c r="AB281" s="81">
        <f t="shared" si="110"/>
        <v>0.82189116447904176</v>
      </c>
      <c r="AC281" s="81">
        <f t="shared" si="102"/>
        <v>316.69121023545995</v>
      </c>
      <c r="AD281" s="81">
        <v>1000</v>
      </c>
      <c r="AE281" s="81">
        <f t="shared" si="103"/>
        <v>930.23255813953483</v>
      </c>
      <c r="AF281" s="81">
        <f t="shared" si="90"/>
        <v>683.30878976454005</v>
      </c>
      <c r="AG281" s="83">
        <v>1</v>
      </c>
      <c r="AH281" s="83">
        <v>2.1576499999999998</v>
      </c>
      <c r="AI281" s="83">
        <f t="shared" si="106"/>
        <v>0.68330878976454001</v>
      </c>
      <c r="AJ281" s="81">
        <f t="shared" si="104"/>
        <v>368.62856881376246</v>
      </c>
      <c r="AK281" s="81">
        <f t="shared" si="105"/>
        <v>285.75858047578487</v>
      </c>
      <c r="AL281" s="81">
        <f t="shared" si="91"/>
        <v>51.937358578302515</v>
      </c>
      <c r="AM281" s="83">
        <v>6.3055632900000005E-2</v>
      </c>
      <c r="AN281" s="83">
        <f t="shared" si="107"/>
        <v>5.9315459086543919E-2</v>
      </c>
      <c r="AO281" s="83">
        <v>4.8192800000000001E-2</v>
      </c>
      <c r="AP281" s="83">
        <f t="shared" ref="AP281:AP289" si="111">AO281*(AH281-AM281)+AM281</f>
        <v>0.16400000031477691</v>
      </c>
      <c r="AQ281" s="83">
        <f t="shared" si="101"/>
        <v>0.14089347102270353</v>
      </c>
      <c r="AR281" s="77" t="s">
        <v>157</v>
      </c>
    </row>
    <row r="282" spans="1:44" ht="15" customHeight="1" x14ac:dyDescent="0.25">
      <c r="A282" s="76">
        <v>281</v>
      </c>
      <c r="B282" s="76">
        <v>2001</v>
      </c>
      <c r="C282" s="77" t="s">
        <v>156</v>
      </c>
      <c r="D282" s="76">
        <v>2</v>
      </c>
      <c r="E282" s="78">
        <v>9</v>
      </c>
      <c r="F282" s="74">
        <v>0.5</v>
      </c>
      <c r="G282" s="75">
        <v>38.9</v>
      </c>
      <c r="H282" s="75">
        <v>40</v>
      </c>
      <c r="I282" s="78">
        <v>68</v>
      </c>
      <c r="J282" s="81">
        <v>8.14E-2</v>
      </c>
      <c r="K282" s="77" t="s">
        <v>306</v>
      </c>
      <c r="L282" s="77" t="s">
        <v>36</v>
      </c>
      <c r="M282" s="77" t="s">
        <v>289</v>
      </c>
      <c r="N282" s="77">
        <v>25</v>
      </c>
      <c r="O282" s="77">
        <v>180</v>
      </c>
      <c r="P282" s="78"/>
      <c r="Q282" s="81">
        <v>54</v>
      </c>
      <c r="R282" s="82"/>
      <c r="S282" s="82">
        <v>6.0867754880237395E-4</v>
      </c>
      <c r="T282" s="82">
        <v>770000000</v>
      </c>
      <c r="U282" s="78">
        <v>2229</v>
      </c>
      <c r="V282" s="82">
        <v>1.7919999999999998E-2</v>
      </c>
      <c r="W282" s="82">
        <v>2.3040000000000001E-2</v>
      </c>
      <c r="X282" s="82">
        <v>0.14899999999999999</v>
      </c>
      <c r="Y282" s="78">
        <v>29.6</v>
      </c>
      <c r="Z282" s="78">
        <v>1075</v>
      </c>
      <c r="AA282" s="78">
        <f t="shared" si="109"/>
        <v>400</v>
      </c>
      <c r="AB282" s="81">
        <f t="shared" si="110"/>
        <v>0.82189116447904176</v>
      </c>
      <c r="AC282" s="81">
        <f t="shared" si="102"/>
        <v>338.30872701192197</v>
      </c>
      <c r="AD282" s="81">
        <v>1000</v>
      </c>
      <c r="AE282" s="81">
        <f t="shared" si="103"/>
        <v>930.23255813953483</v>
      </c>
      <c r="AF282" s="81">
        <f t="shared" si="90"/>
        <v>661.69127298807803</v>
      </c>
      <c r="AG282" s="83">
        <v>1</v>
      </c>
      <c r="AH282" s="83">
        <v>1.9558800000000001</v>
      </c>
      <c r="AI282" s="83">
        <f t="shared" si="106"/>
        <v>0.66169127298807806</v>
      </c>
      <c r="AJ282" s="81">
        <f t="shared" si="104"/>
        <v>387.06510411111896</v>
      </c>
      <c r="AK282" s="81">
        <f t="shared" si="105"/>
        <v>300.05046830319299</v>
      </c>
      <c r="AL282" s="81">
        <f t="shared" si="91"/>
        <v>48.756377099196982</v>
      </c>
      <c r="AM282" s="83">
        <v>4.9366570300000003E-2</v>
      </c>
      <c r="AN282" s="83">
        <f t="shared" si="107"/>
        <v>4.704416139908741E-2</v>
      </c>
      <c r="AO282" s="83">
        <v>4.9698800000000001E-2</v>
      </c>
      <c r="AP282" s="83">
        <f t="shared" si="111"/>
        <v>0.14411799993997437</v>
      </c>
      <c r="AQ282" s="83">
        <f t="shared" si="101"/>
        <v>0.12596427986233541</v>
      </c>
      <c r="AR282" s="77" t="s">
        <v>157</v>
      </c>
    </row>
    <row r="283" spans="1:44" ht="15" customHeight="1" x14ac:dyDescent="0.25">
      <c r="A283" s="76">
        <v>282</v>
      </c>
      <c r="B283" s="76">
        <v>2001</v>
      </c>
      <c r="C283" s="77" t="s">
        <v>156</v>
      </c>
      <c r="D283" s="76">
        <v>3</v>
      </c>
      <c r="E283" s="78">
        <v>8</v>
      </c>
      <c r="F283" s="74">
        <v>1</v>
      </c>
      <c r="G283" s="75">
        <v>39.6</v>
      </c>
      <c r="H283" s="75">
        <v>35</v>
      </c>
      <c r="I283" s="78">
        <v>59</v>
      </c>
      <c r="J283" s="81">
        <v>6.2399999999999997E-2</v>
      </c>
      <c r="K283" s="77" t="s">
        <v>306</v>
      </c>
      <c r="L283" s="77" t="s">
        <v>36</v>
      </c>
      <c r="M283" s="77" t="s">
        <v>289</v>
      </c>
      <c r="N283" s="77">
        <v>25</v>
      </c>
      <c r="O283" s="77">
        <v>180</v>
      </c>
      <c r="P283" s="78"/>
      <c r="Q283" s="81">
        <v>53</v>
      </c>
      <c r="R283" s="82"/>
      <c r="S283" s="82">
        <v>6.1848649099828751E-4</v>
      </c>
      <c r="T283" s="82">
        <v>770000000</v>
      </c>
      <c r="U283" s="78">
        <v>2229</v>
      </c>
      <c r="V283" s="82">
        <v>1.7919999999999998E-2</v>
      </c>
      <c r="W283" s="82">
        <v>2.3040000000000001E-2</v>
      </c>
      <c r="X283" s="82">
        <v>0.14899999999999999</v>
      </c>
      <c r="Y283" s="78">
        <v>29.6</v>
      </c>
      <c r="Z283" s="78">
        <v>1075</v>
      </c>
      <c r="AA283" s="78">
        <f t="shared" si="109"/>
        <v>400</v>
      </c>
      <c r="AB283" s="81">
        <f t="shared" si="110"/>
        <v>0.82189116447904176</v>
      </c>
      <c r="AC283" s="81">
        <f t="shared" si="102"/>
        <v>328.69327986589315</v>
      </c>
      <c r="AD283" s="81">
        <v>1000</v>
      </c>
      <c r="AE283" s="81">
        <f t="shared" si="103"/>
        <v>930.23255813953483</v>
      </c>
      <c r="AF283" s="81">
        <f t="shared" si="90"/>
        <v>671.30672013410685</v>
      </c>
      <c r="AG283" s="83">
        <v>1</v>
      </c>
      <c r="AH283" s="83">
        <v>2.0423499999999999</v>
      </c>
      <c r="AI283" s="83">
        <f t="shared" si="106"/>
        <v>0.67130672013410686</v>
      </c>
      <c r="AJ283" s="81">
        <f t="shared" si="104"/>
        <v>374.71033906208214</v>
      </c>
      <c r="AK283" s="81">
        <f t="shared" si="105"/>
        <v>290.47313105587762</v>
      </c>
      <c r="AL283" s="81">
        <f t="shared" si="91"/>
        <v>46.017059196188995</v>
      </c>
      <c r="AM283" s="83">
        <v>4.9983486299999998E-2</v>
      </c>
      <c r="AN283" s="83">
        <f t="shared" si="107"/>
        <v>4.7604068970775015E-2</v>
      </c>
      <c r="AO283" s="83">
        <v>4.5180699999999997E-2</v>
      </c>
      <c r="AP283" s="83">
        <f t="shared" si="111"/>
        <v>0.14000000004552557</v>
      </c>
      <c r="AQ283" s="83">
        <f t="shared" si="101"/>
        <v>0.12280701757889011</v>
      </c>
      <c r="AR283" s="77" t="s">
        <v>157</v>
      </c>
    </row>
    <row r="284" spans="1:44" s="12" customFormat="1" ht="15" customHeight="1" x14ac:dyDescent="0.25">
      <c r="A284" s="3">
        <v>283</v>
      </c>
      <c r="B284" s="3">
        <v>2002</v>
      </c>
      <c r="C284" s="27" t="s">
        <v>158</v>
      </c>
      <c r="D284" s="3">
        <v>1</v>
      </c>
      <c r="E284" s="11">
        <v>108</v>
      </c>
      <c r="F284" s="34">
        <v>1.5</v>
      </c>
      <c r="G284" s="58">
        <v>40</v>
      </c>
      <c r="H284" s="58">
        <v>15</v>
      </c>
      <c r="I284" s="11">
        <v>18</v>
      </c>
      <c r="J284" s="47">
        <v>1.6E-2</v>
      </c>
      <c r="K284" s="27" t="s">
        <v>306</v>
      </c>
      <c r="L284" s="27" t="s">
        <v>36</v>
      </c>
      <c r="M284" s="27" t="s">
        <v>289</v>
      </c>
      <c r="N284" s="27">
        <v>90</v>
      </c>
      <c r="O284" s="27">
        <v>10</v>
      </c>
      <c r="P284" s="11"/>
      <c r="Q284" s="47">
        <v>32</v>
      </c>
      <c r="R284" s="4"/>
      <c r="S284" s="4">
        <v>8.078113713002119E-5</v>
      </c>
      <c r="T284" s="4">
        <v>820000000</v>
      </c>
      <c r="U284" s="11">
        <v>2889</v>
      </c>
      <c r="V284" s="4">
        <v>1.7919999999999998E-2</v>
      </c>
      <c r="W284" s="4">
        <v>2.3040000000000001E-2</v>
      </c>
      <c r="X284" s="4">
        <v>0.14899999999999999</v>
      </c>
      <c r="Y284" s="11">
        <v>29.6</v>
      </c>
      <c r="Z284" s="11">
        <v>1075</v>
      </c>
      <c r="AA284" s="11">
        <f t="shared" ref="AA284:AA289" si="112">INT(AD284/2.5)</f>
        <v>400</v>
      </c>
      <c r="AB284" s="47">
        <f t="shared" si="110"/>
        <v>0.82189116447904176</v>
      </c>
      <c r="AC284" s="47">
        <f t="shared" si="102"/>
        <v>229.8850574712643</v>
      </c>
      <c r="AD284" s="47">
        <v>1000</v>
      </c>
      <c r="AE284" s="47">
        <f t="shared" si="103"/>
        <v>930.23255813953483</v>
      </c>
      <c r="AF284" s="47">
        <f t="shared" si="90"/>
        <v>770.1149425287357</v>
      </c>
      <c r="AG284" s="53">
        <v>1</v>
      </c>
      <c r="AH284" s="53">
        <v>3.35</v>
      </c>
      <c r="AI284" s="53">
        <f t="shared" si="106"/>
        <v>0.77011494252873569</v>
      </c>
      <c r="AJ284" s="47">
        <f t="shared" si="104"/>
        <v>619.27860716700445</v>
      </c>
      <c r="AK284" s="47">
        <f t="shared" si="105"/>
        <v>480.06093578837556</v>
      </c>
      <c r="AL284" s="47">
        <f t="shared" si="91"/>
        <v>389.39354969574015</v>
      </c>
      <c r="AM284" s="53">
        <f t="shared" ref="AM284:AM289" si="113">3/17</f>
        <v>0.17647058823529413</v>
      </c>
      <c r="AN284" s="53">
        <f t="shared" si="107"/>
        <v>0.15</v>
      </c>
      <c r="AO284" s="53">
        <v>0.47814000000000001</v>
      </c>
      <c r="AP284" s="53">
        <f t="shared" si="111"/>
        <v>1.6938619411764708</v>
      </c>
      <c r="AQ284" s="53">
        <f t="shared" si="101"/>
        <v>0.62878572776328789</v>
      </c>
      <c r="AR284" s="27" t="s">
        <v>367</v>
      </c>
    </row>
    <row r="285" spans="1:44" ht="15" customHeight="1" x14ac:dyDescent="0.25">
      <c r="A285" s="76">
        <v>284</v>
      </c>
      <c r="B285" s="76">
        <v>2002</v>
      </c>
      <c r="C285" s="77" t="s">
        <v>158</v>
      </c>
      <c r="D285" s="76">
        <v>2</v>
      </c>
      <c r="E285" s="78">
        <v>112</v>
      </c>
      <c r="F285" s="74">
        <v>0.5</v>
      </c>
      <c r="G285" s="75">
        <v>50</v>
      </c>
      <c r="H285" s="75">
        <v>9</v>
      </c>
      <c r="I285" s="78">
        <v>18</v>
      </c>
      <c r="J285" s="81">
        <v>1.54E-2</v>
      </c>
      <c r="K285" s="77" t="s">
        <v>306</v>
      </c>
      <c r="L285" s="77" t="s">
        <v>36</v>
      </c>
      <c r="M285" s="77" t="s">
        <v>289</v>
      </c>
      <c r="N285" s="77">
        <v>90</v>
      </c>
      <c r="O285" s="77">
        <v>10</v>
      </c>
      <c r="P285" s="78"/>
      <c r="Q285" s="81">
        <v>24</v>
      </c>
      <c r="R285" s="82"/>
      <c r="S285" s="82">
        <v>1.0747041271604964E-4</v>
      </c>
      <c r="T285" s="82">
        <v>820000000</v>
      </c>
      <c r="U285" s="78">
        <v>2889</v>
      </c>
      <c r="V285" s="82">
        <v>1.7919999999999998E-2</v>
      </c>
      <c r="W285" s="82">
        <v>2.3040000000000001E-2</v>
      </c>
      <c r="X285" s="82">
        <v>0.14899999999999999</v>
      </c>
      <c r="Y285" s="78">
        <v>29.6</v>
      </c>
      <c r="Z285" s="78">
        <v>1075</v>
      </c>
      <c r="AA285" s="78">
        <f t="shared" si="112"/>
        <v>400</v>
      </c>
      <c r="AB285" s="81">
        <f t="shared" si="110"/>
        <v>0.82189116447904176</v>
      </c>
      <c r="AC285" s="81">
        <f t="shared" si="102"/>
        <v>237.52969121140143</v>
      </c>
      <c r="AD285" s="81">
        <v>1000</v>
      </c>
      <c r="AE285" s="81">
        <f t="shared" si="103"/>
        <v>930.23255813953483</v>
      </c>
      <c r="AF285" s="81">
        <f t="shared" si="90"/>
        <v>762.47030878859857</v>
      </c>
      <c r="AG285" s="83">
        <v>1</v>
      </c>
      <c r="AH285" s="83">
        <v>3.21</v>
      </c>
      <c r="AI285" s="83">
        <f t="shared" si="106"/>
        <v>0.76247030878859856</v>
      </c>
      <c r="AJ285" s="81">
        <f t="shared" si="104"/>
        <v>539.55202738577634</v>
      </c>
      <c r="AK285" s="81">
        <f t="shared" si="105"/>
        <v>418.25738557036925</v>
      </c>
      <c r="AL285" s="81">
        <f t="shared" si="91"/>
        <v>302.02233617437491</v>
      </c>
      <c r="AM285" s="83">
        <f t="shared" si="113"/>
        <v>0.17647058823529413</v>
      </c>
      <c r="AN285" s="83">
        <f t="shared" si="107"/>
        <v>0.15</v>
      </c>
      <c r="AO285" s="83">
        <v>0.36098000000000002</v>
      </c>
      <c r="AP285" s="83">
        <f t="shared" si="111"/>
        <v>1.2715140352941179</v>
      </c>
      <c r="AQ285" s="83">
        <f t="shared" si="101"/>
        <v>0.55976499177980255</v>
      </c>
      <c r="AR285" s="77" t="s">
        <v>367</v>
      </c>
    </row>
    <row r="286" spans="1:44" ht="15" customHeight="1" x14ac:dyDescent="0.25">
      <c r="A286" s="76">
        <v>285</v>
      </c>
      <c r="B286" s="76">
        <v>2002</v>
      </c>
      <c r="C286" s="77" t="s">
        <v>158</v>
      </c>
      <c r="D286" s="76">
        <v>3</v>
      </c>
      <c r="E286" s="78">
        <v>107</v>
      </c>
      <c r="F286" s="74">
        <v>0.5</v>
      </c>
      <c r="G286" s="75">
        <v>60</v>
      </c>
      <c r="H286" s="75">
        <v>5.6</v>
      </c>
      <c r="I286" s="78">
        <v>18</v>
      </c>
      <c r="J286" s="81">
        <v>1.35E-2</v>
      </c>
      <c r="K286" s="77" t="s">
        <v>306</v>
      </c>
      <c r="L286" s="77" t="s">
        <v>36</v>
      </c>
      <c r="M286" s="77" t="s">
        <v>289</v>
      </c>
      <c r="N286" s="77">
        <v>90</v>
      </c>
      <c r="O286" s="77">
        <v>10</v>
      </c>
      <c r="P286" s="78"/>
      <c r="Q286" s="81">
        <v>24</v>
      </c>
      <c r="R286" s="82"/>
      <c r="S286" s="82">
        <v>1.4054819213269243E-4</v>
      </c>
      <c r="T286" s="82">
        <v>820000000</v>
      </c>
      <c r="U286" s="78">
        <v>2889</v>
      </c>
      <c r="V286" s="82">
        <v>1.7919999999999998E-2</v>
      </c>
      <c r="W286" s="82">
        <v>2.3040000000000001E-2</v>
      </c>
      <c r="X286" s="82">
        <v>0.14899999999999999</v>
      </c>
      <c r="Y286" s="78">
        <v>29.6</v>
      </c>
      <c r="Z286" s="78">
        <v>1075</v>
      </c>
      <c r="AA286" s="78">
        <f t="shared" si="112"/>
        <v>400</v>
      </c>
      <c r="AB286" s="81">
        <f t="shared" si="110"/>
        <v>0.82189116447904176</v>
      </c>
      <c r="AC286" s="81">
        <f t="shared" si="102"/>
        <v>236.40661938534288</v>
      </c>
      <c r="AD286" s="81">
        <v>1000</v>
      </c>
      <c r="AE286" s="81">
        <f t="shared" si="103"/>
        <v>930.23255813953483</v>
      </c>
      <c r="AF286" s="81">
        <f t="shared" ref="AF286:AF349" si="114">AD286*AI286</f>
        <v>763.59338061465712</v>
      </c>
      <c r="AG286" s="83">
        <v>1</v>
      </c>
      <c r="AH286" s="83">
        <v>3.23</v>
      </c>
      <c r="AI286" s="83">
        <f t="shared" si="106"/>
        <v>0.76359338061465709</v>
      </c>
      <c r="AJ286" s="81">
        <f t="shared" si="104"/>
        <v>409.58601168126842</v>
      </c>
      <c r="AK286" s="81">
        <f t="shared" si="105"/>
        <v>317.50853618702979</v>
      </c>
      <c r="AL286" s="81">
        <f t="shared" si="91"/>
        <v>173.17939229592557</v>
      </c>
      <c r="AM286" s="83">
        <f t="shared" si="113"/>
        <v>0.17647058823529413</v>
      </c>
      <c r="AN286" s="83">
        <f t="shared" si="107"/>
        <v>0.15</v>
      </c>
      <c r="AO286" s="83">
        <v>0.18210999999999999</v>
      </c>
      <c r="AP286" s="83">
        <f t="shared" si="111"/>
        <v>0.7325488294117648</v>
      </c>
      <c r="AQ286" s="83">
        <f t="shared" si="101"/>
        <v>0.42281569037247851</v>
      </c>
      <c r="AR286" s="77" t="s">
        <v>367</v>
      </c>
    </row>
    <row r="287" spans="1:44" ht="15" customHeight="1" x14ac:dyDescent="0.25">
      <c r="A287" s="76">
        <v>286</v>
      </c>
      <c r="B287" s="76">
        <v>2002</v>
      </c>
      <c r="C287" s="77" t="s">
        <v>158</v>
      </c>
      <c r="D287" s="76">
        <v>4</v>
      </c>
      <c r="E287" s="78">
        <v>63</v>
      </c>
      <c r="F287" s="74">
        <v>1</v>
      </c>
      <c r="G287" s="75">
        <v>60</v>
      </c>
      <c r="H287" s="75">
        <v>5.6</v>
      </c>
      <c r="I287" s="78">
        <v>24</v>
      </c>
      <c r="J287" s="81">
        <v>1.38E-2</v>
      </c>
      <c r="K287" s="77" t="s">
        <v>159</v>
      </c>
      <c r="L287" s="77" t="s">
        <v>36</v>
      </c>
      <c r="M287" s="77" t="s">
        <v>289</v>
      </c>
      <c r="N287" s="77">
        <v>90</v>
      </c>
      <c r="O287" s="77">
        <v>10</v>
      </c>
      <c r="P287" s="78"/>
      <c r="Q287" s="81">
        <v>27</v>
      </c>
      <c r="R287" s="82"/>
      <c r="S287" s="82">
        <v>1.4054819213269243E-4</v>
      </c>
      <c r="T287" s="82">
        <v>820000000</v>
      </c>
      <c r="U287" s="78">
        <v>2889</v>
      </c>
      <c r="V287" s="82">
        <v>1.7919999999999998E-2</v>
      </c>
      <c r="W287" s="82">
        <v>2.3040000000000001E-2</v>
      </c>
      <c r="X287" s="82">
        <v>0.14899999999999999</v>
      </c>
      <c r="Y287" s="78">
        <v>29.6</v>
      </c>
      <c r="Z287" s="78">
        <v>1075</v>
      </c>
      <c r="AA287" s="78">
        <f t="shared" si="112"/>
        <v>400</v>
      </c>
      <c r="AB287" s="81">
        <f t="shared" si="110"/>
        <v>0.82189116447904176</v>
      </c>
      <c r="AC287" s="81">
        <f t="shared" si="102"/>
        <v>219.29824561403518</v>
      </c>
      <c r="AD287" s="81">
        <v>1000</v>
      </c>
      <c r="AE287" s="81">
        <f t="shared" si="103"/>
        <v>930.23255813953483</v>
      </c>
      <c r="AF287" s="81">
        <f t="shared" si="114"/>
        <v>780.70175438596482</v>
      </c>
      <c r="AG287" s="83">
        <v>1</v>
      </c>
      <c r="AH287" s="83">
        <v>3.56</v>
      </c>
      <c r="AI287" s="83">
        <f t="shared" si="106"/>
        <v>0.78070175438596479</v>
      </c>
      <c r="AJ287" s="81">
        <f t="shared" si="104"/>
        <v>273.142198142415</v>
      </c>
      <c r="AK287" s="81">
        <f t="shared" si="105"/>
        <v>211.73813809489533</v>
      </c>
      <c r="AL287" s="81">
        <f t="shared" si="91"/>
        <v>53.843952528379809</v>
      </c>
      <c r="AM287" s="83">
        <f t="shared" si="113"/>
        <v>0.17647058823529413</v>
      </c>
      <c r="AN287" s="83">
        <f t="shared" si="107"/>
        <v>0.15</v>
      </c>
      <c r="AO287" s="83">
        <v>2.0410000000000001E-2</v>
      </c>
      <c r="AP287" s="83">
        <f t="shared" si="111"/>
        <v>0.24552842352941179</v>
      </c>
      <c r="AQ287" s="83">
        <f t="shared" si="101"/>
        <v>0.19712791686733749</v>
      </c>
      <c r="AR287" s="77" t="s">
        <v>367</v>
      </c>
    </row>
    <row r="288" spans="1:44" ht="15" customHeight="1" x14ac:dyDescent="0.25">
      <c r="A288" s="76">
        <v>287</v>
      </c>
      <c r="B288" s="76">
        <v>2002</v>
      </c>
      <c r="C288" s="77" t="s">
        <v>158</v>
      </c>
      <c r="D288" s="76">
        <v>5</v>
      </c>
      <c r="E288" s="78">
        <v>51</v>
      </c>
      <c r="F288" s="74">
        <v>2</v>
      </c>
      <c r="G288" s="75">
        <v>60</v>
      </c>
      <c r="H288" s="75">
        <v>5.6</v>
      </c>
      <c r="I288" s="78">
        <v>20</v>
      </c>
      <c r="J288" s="81">
        <v>2.5999999999999999E-3</v>
      </c>
      <c r="K288" s="77" t="s">
        <v>159</v>
      </c>
      <c r="L288" s="77" t="s">
        <v>36</v>
      </c>
      <c r="M288" s="77" t="s">
        <v>289</v>
      </c>
      <c r="N288" s="77">
        <v>90</v>
      </c>
      <c r="O288" s="77">
        <v>10</v>
      </c>
      <c r="P288" s="78"/>
      <c r="Q288" s="81">
        <v>40</v>
      </c>
      <c r="R288" s="82"/>
      <c r="S288" s="82">
        <v>1.4054819213269243E-4</v>
      </c>
      <c r="T288" s="82">
        <v>820000000</v>
      </c>
      <c r="U288" s="78">
        <v>2889</v>
      </c>
      <c r="V288" s="82">
        <v>1.7919999999999998E-2</v>
      </c>
      <c r="W288" s="82">
        <v>2.3040000000000001E-2</v>
      </c>
      <c r="X288" s="82">
        <v>0.14899999999999999</v>
      </c>
      <c r="Y288" s="78">
        <v>29.6</v>
      </c>
      <c r="Z288" s="78">
        <v>1075</v>
      </c>
      <c r="AA288" s="78">
        <f t="shared" si="112"/>
        <v>400</v>
      </c>
      <c r="AB288" s="81">
        <f t="shared" si="110"/>
        <v>0.82189116447904176</v>
      </c>
      <c r="AC288" s="81">
        <f t="shared" si="102"/>
        <v>221.23893805309729</v>
      </c>
      <c r="AD288" s="81">
        <v>1000</v>
      </c>
      <c r="AE288" s="81">
        <f t="shared" si="103"/>
        <v>930.23255813953483</v>
      </c>
      <c r="AF288" s="81">
        <f t="shared" si="114"/>
        <v>778.76106194690271</v>
      </c>
      <c r="AG288" s="83">
        <v>1</v>
      </c>
      <c r="AH288" s="83">
        <v>3.52</v>
      </c>
      <c r="AI288" s="83">
        <f t="shared" si="106"/>
        <v>0.77876106194690276</v>
      </c>
      <c r="AJ288" s="81">
        <f t="shared" si="104"/>
        <v>263.01806350858919</v>
      </c>
      <c r="AK288" s="81">
        <f t="shared" si="105"/>
        <v>203.88997171208464</v>
      </c>
      <c r="AL288" s="81">
        <f t="shared" si="91"/>
        <v>41.779125455491922</v>
      </c>
      <c r="AM288" s="83">
        <f t="shared" si="113"/>
        <v>0.17647058823529413</v>
      </c>
      <c r="AN288" s="83">
        <f t="shared" si="107"/>
        <v>0.15</v>
      </c>
      <c r="AO288" s="83">
        <v>3.7000000000000002E-3</v>
      </c>
      <c r="AP288" s="83">
        <f t="shared" si="111"/>
        <v>0.18884164705882353</v>
      </c>
      <c r="AQ288" s="83">
        <f t="shared" si="101"/>
        <v>0.15884508044112935</v>
      </c>
      <c r="AR288" s="77" t="s">
        <v>367</v>
      </c>
    </row>
    <row r="289" spans="1:44" s="10" customFormat="1" ht="15" customHeight="1" x14ac:dyDescent="0.25">
      <c r="A289" s="1">
        <v>288</v>
      </c>
      <c r="B289" s="1">
        <v>2002</v>
      </c>
      <c r="C289" s="28" t="s">
        <v>158</v>
      </c>
      <c r="D289" s="1">
        <v>6</v>
      </c>
      <c r="E289" s="8">
        <v>55</v>
      </c>
      <c r="F289" s="35">
        <v>1.5</v>
      </c>
      <c r="G289" s="59">
        <v>70</v>
      </c>
      <c r="H289" s="59">
        <v>4</v>
      </c>
      <c r="I289" s="8">
        <v>17</v>
      </c>
      <c r="J289" s="51">
        <v>1.1599999999999999E-2</v>
      </c>
      <c r="K289" s="28" t="s">
        <v>159</v>
      </c>
      <c r="L289" s="28" t="s">
        <v>36</v>
      </c>
      <c r="M289" s="28" t="s">
        <v>289</v>
      </c>
      <c r="N289" s="28">
        <v>90</v>
      </c>
      <c r="O289" s="28">
        <v>10</v>
      </c>
      <c r="P289" s="8"/>
      <c r="Q289" s="51">
        <v>50</v>
      </c>
      <c r="R289" s="9"/>
      <c r="S289" s="9">
        <v>1.8095461206129102E-4</v>
      </c>
      <c r="T289" s="9">
        <v>820000000</v>
      </c>
      <c r="U289" s="8">
        <v>2889</v>
      </c>
      <c r="V289" s="9">
        <v>1.7919999999999998E-2</v>
      </c>
      <c r="W289" s="9">
        <v>2.3040000000000001E-2</v>
      </c>
      <c r="X289" s="9">
        <v>0.14899999999999999</v>
      </c>
      <c r="Y289" s="8">
        <v>29.6</v>
      </c>
      <c r="Z289" s="8">
        <v>1075</v>
      </c>
      <c r="AA289" s="8">
        <f t="shared" si="112"/>
        <v>400</v>
      </c>
      <c r="AB289" s="51">
        <f t="shared" si="110"/>
        <v>0.82189116447904176</v>
      </c>
      <c r="AC289" s="51">
        <f t="shared" si="102"/>
        <v>210.52631578947364</v>
      </c>
      <c r="AD289" s="51">
        <v>1000</v>
      </c>
      <c r="AE289" s="51">
        <f t="shared" si="103"/>
        <v>930.23255813953483</v>
      </c>
      <c r="AF289" s="51">
        <f t="shared" si="114"/>
        <v>789.47368421052636</v>
      </c>
      <c r="AG289" s="52">
        <v>1</v>
      </c>
      <c r="AH289" s="52">
        <v>3.75</v>
      </c>
      <c r="AI289" s="52">
        <f t="shared" si="106"/>
        <v>0.78947368421052633</v>
      </c>
      <c r="AJ289" s="51">
        <f t="shared" si="104"/>
        <v>254.65956656346745</v>
      </c>
      <c r="AK289" s="51">
        <f t="shared" si="105"/>
        <v>197.41051671586624</v>
      </c>
      <c r="AL289" s="51">
        <f t="shared" si="91"/>
        <v>44.133250773993801</v>
      </c>
      <c r="AM289" s="52">
        <f t="shared" si="113"/>
        <v>0.17647058823529413</v>
      </c>
      <c r="AN289" s="52">
        <f t="shared" si="107"/>
        <v>0.15</v>
      </c>
      <c r="AO289" s="52">
        <v>9.2800000000000001E-3</v>
      </c>
      <c r="AP289" s="52">
        <f t="shared" si="111"/>
        <v>0.20963294117647061</v>
      </c>
      <c r="AQ289" s="52">
        <f t="shared" si="101"/>
        <v>0.17330293681700235</v>
      </c>
      <c r="AR289" s="28" t="s">
        <v>367</v>
      </c>
    </row>
    <row r="290" spans="1:44" ht="15" customHeight="1" x14ac:dyDescent="0.25">
      <c r="A290" s="76">
        <v>289</v>
      </c>
      <c r="B290" s="76">
        <v>2002</v>
      </c>
      <c r="C290" s="77" t="s">
        <v>160</v>
      </c>
      <c r="D290" s="76">
        <v>1</v>
      </c>
      <c r="E290" s="78">
        <v>38</v>
      </c>
      <c r="F290" s="79">
        <v>1.2</v>
      </c>
      <c r="G290" s="80">
        <v>60</v>
      </c>
      <c r="H290" s="80">
        <v>20</v>
      </c>
      <c r="I290" s="78">
        <v>22</v>
      </c>
      <c r="J290" s="81">
        <v>1.0699999999999999E-2</v>
      </c>
      <c r="K290" s="77" t="s">
        <v>306</v>
      </c>
      <c r="L290" s="77" t="s">
        <v>36</v>
      </c>
      <c r="M290" s="77" t="s">
        <v>289</v>
      </c>
      <c r="N290" s="77">
        <v>25</v>
      </c>
      <c r="O290" s="77">
        <v>180</v>
      </c>
      <c r="P290" s="78"/>
      <c r="Q290" s="81">
        <v>11</v>
      </c>
      <c r="R290" s="82"/>
      <c r="S290" s="82">
        <v>3.7282149378317788E-4</v>
      </c>
      <c r="T290" s="82">
        <v>900000000</v>
      </c>
      <c r="U290" s="78">
        <v>2595</v>
      </c>
      <c r="V290" s="82">
        <v>1.0919999999999999E-2</v>
      </c>
      <c r="W290" s="82">
        <v>2.3040000000000001E-2</v>
      </c>
      <c r="X290" s="82">
        <v>0.54900000000000004</v>
      </c>
      <c r="Y290" s="78">
        <v>29.6</v>
      </c>
      <c r="Z290" s="78">
        <v>1075</v>
      </c>
      <c r="AA290" s="78">
        <f t="shared" ref="AA290:AA309" si="115">AD290/2.5</f>
        <v>400</v>
      </c>
      <c r="AB290" s="81">
        <f t="shared" si="110"/>
        <v>0.82189116447904176</v>
      </c>
      <c r="AC290" s="81">
        <f t="shared" si="102"/>
        <v>150</v>
      </c>
      <c r="AD290" s="81">
        <v>1000</v>
      </c>
      <c r="AE290" s="81">
        <f t="shared" si="103"/>
        <v>930.23255813953483</v>
      </c>
      <c r="AF290" s="81">
        <f t="shared" si="114"/>
        <v>850</v>
      </c>
      <c r="AG290" s="83">
        <v>1</v>
      </c>
      <c r="AH290" s="83">
        <f>85/15</f>
        <v>5.666666666666667</v>
      </c>
      <c r="AI290" s="83">
        <f t="shared" si="106"/>
        <v>0.85</v>
      </c>
      <c r="AJ290" s="81">
        <f t="shared" si="104"/>
        <v>199.104499995</v>
      </c>
      <c r="AK290" s="81">
        <f t="shared" si="105"/>
        <v>154.34457363953487</v>
      </c>
      <c r="AL290" s="81">
        <f t="shared" si="91"/>
        <v>49.104499994999998</v>
      </c>
      <c r="AM290" s="83">
        <v>0.2</v>
      </c>
      <c r="AN290" s="83">
        <f t="shared" si="107"/>
        <v>0.16666666666666669</v>
      </c>
      <c r="AO290" s="83">
        <f>(AP290-AM290)/(AH290-AM290)</f>
        <v>2.3298170725609753E-2</v>
      </c>
      <c r="AP290" s="83">
        <v>0.3273633333</v>
      </c>
      <c r="AQ290" s="83">
        <f t="shared" si="101"/>
        <v>0.24662677134988475</v>
      </c>
      <c r="AR290" s="77" t="s">
        <v>161</v>
      </c>
    </row>
    <row r="291" spans="1:44" ht="15" customHeight="1" x14ac:dyDescent="0.25">
      <c r="A291" s="76">
        <v>290</v>
      </c>
      <c r="B291" s="76">
        <v>2002</v>
      </c>
      <c r="C291" s="77" t="s">
        <v>160</v>
      </c>
      <c r="D291" s="76">
        <v>2</v>
      </c>
      <c r="E291" s="78">
        <v>33</v>
      </c>
      <c r="F291" s="79">
        <v>1.2</v>
      </c>
      <c r="G291" s="80">
        <v>60</v>
      </c>
      <c r="H291" s="80">
        <v>20</v>
      </c>
      <c r="I291" s="78">
        <v>21</v>
      </c>
      <c r="J291" s="81">
        <v>9.4999999999999998E-3</v>
      </c>
      <c r="K291" s="77" t="s">
        <v>306</v>
      </c>
      <c r="L291" s="77" t="s">
        <v>36</v>
      </c>
      <c r="M291" s="77" t="s">
        <v>289</v>
      </c>
      <c r="N291" s="77">
        <v>25</v>
      </c>
      <c r="O291" s="77">
        <v>180</v>
      </c>
      <c r="P291" s="78"/>
      <c r="Q291" s="81">
        <v>27</v>
      </c>
      <c r="R291" s="82"/>
      <c r="S291" s="82">
        <v>3.7282149378317788E-4</v>
      </c>
      <c r="T291" s="82">
        <v>900000000</v>
      </c>
      <c r="U291" s="78">
        <v>2595</v>
      </c>
      <c r="V291" s="82">
        <v>1.0919999999999999E-2</v>
      </c>
      <c r="W291" s="82">
        <v>2.3040000000000001E-2</v>
      </c>
      <c r="X291" s="82">
        <v>0.54900000000000004</v>
      </c>
      <c r="Y291" s="78">
        <v>29.6</v>
      </c>
      <c r="Z291" s="78">
        <v>1075</v>
      </c>
      <c r="AA291" s="78">
        <f t="shared" si="115"/>
        <v>400</v>
      </c>
      <c r="AB291" s="81">
        <f t="shared" si="110"/>
        <v>0.82189116447904176</v>
      </c>
      <c r="AC291" s="81">
        <f t="shared" si="102"/>
        <v>150</v>
      </c>
      <c r="AD291" s="81">
        <v>1000</v>
      </c>
      <c r="AE291" s="81">
        <f t="shared" si="103"/>
        <v>930.23255813953483</v>
      </c>
      <c r="AF291" s="81">
        <f t="shared" si="114"/>
        <v>850</v>
      </c>
      <c r="AG291" s="83">
        <v>1</v>
      </c>
      <c r="AH291" s="83">
        <f>85/15</f>
        <v>5.666666666666667</v>
      </c>
      <c r="AI291" s="83">
        <f t="shared" si="106"/>
        <v>0.85</v>
      </c>
      <c r="AJ291" s="81">
        <f t="shared" si="104"/>
        <v>190.714999995</v>
      </c>
      <c r="AK291" s="81">
        <f t="shared" si="105"/>
        <v>147.84108526744185</v>
      </c>
      <c r="AL291" s="81">
        <f t="shared" si="91"/>
        <v>40.714999994999999</v>
      </c>
      <c r="AM291" s="83">
        <v>0.2</v>
      </c>
      <c r="AN291" s="83">
        <f t="shared" si="107"/>
        <v>0.16666666666666669</v>
      </c>
      <c r="AO291" s="83">
        <f>(AP291-AM291)/(AH291-AM291)</f>
        <v>1.3067073164634149E-2</v>
      </c>
      <c r="AP291" s="83">
        <v>0.27143333330000002</v>
      </c>
      <c r="AQ291" s="83">
        <f t="shared" si="101"/>
        <v>0.21348609179177008</v>
      </c>
      <c r="AR291" s="77" t="s">
        <v>162</v>
      </c>
    </row>
    <row r="292" spans="1:44" s="10" customFormat="1" ht="15" hidden="1" customHeight="1" x14ac:dyDescent="0.25">
      <c r="A292" s="1">
        <v>291</v>
      </c>
      <c r="B292" s="1">
        <v>2002</v>
      </c>
      <c r="C292" s="28" t="s">
        <v>160</v>
      </c>
      <c r="D292" s="1">
        <v>3</v>
      </c>
      <c r="E292" s="8">
        <v>44</v>
      </c>
      <c r="F292" s="31">
        <v>1.2</v>
      </c>
      <c r="G292" s="49">
        <v>60</v>
      </c>
      <c r="H292" s="49">
        <v>20</v>
      </c>
      <c r="I292" s="8">
        <v>48</v>
      </c>
      <c r="J292" s="51">
        <v>1.6199999999999999E-2</v>
      </c>
      <c r="K292" s="28" t="s">
        <v>306</v>
      </c>
      <c r="L292" s="28" t="s">
        <v>36</v>
      </c>
      <c r="M292" s="28" t="s">
        <v>34</v>
      </c>
      <c r="N292" s="28" t="s">
        <v>34</v>
      </c>
      <c r="O292" s="28" t="s">
        <v>34</v>
      </c>
      <c r="P292" s="8"/>
      <c r="Q292" s="51">
        <v>31</v>
      </c>
      <c r="R292" s="9"/>
      <c r="S292" s="9">
        <v>3.7282149378317788E-4</v>
      </c>
      <c r="T292" s="9">
        <v>900000000</v>
      </c>
      <c r="U292" s="8">
        <v>2595</v>
      </c>
      <c r="V292" s="9">
        <v>1.0919999999999999E-2</v>
      </c>
      <c r="W292" s="9">
        <v>2.3040000000000001E-2</v>
      </c>
      <c r="X292" s="9">
        <v>0.54900000000000004</v>
      </c>
      <c r="Y292" s="8">
        <v>29.6</v>
      </c>
      <c r="Z292" s="8">
        <v>1075</v>
      </c>
      <c r="AA292" s="8">
        <f t="shared" si="115"/>
        <v>400</v>
      </c>
      <c r="AB292" s="51">
        <f t="shared" si="110"/>
        <v>0.82189116447904176</v>
      </c>
      <c r="AC292" s="51">
        <f t="shared" si="102"/>
        <v>150</v>
      </c>
      <c r="AD292" s="51">
        <v>1000</v>
      </c>
      <c r="AE292" s="51">
        <f t="shared" si="103"/>
        <v>930.23255813953483</v>
      </c>
      <c r="AF292" s="51">
        <f t="shared" si="114"/>
        <v>850</v>
      </c>
      <c r="AG292" s="52">
        <v>1</v>
      </c>
      <c r="AH292" s="52">
        <f>85/15</f>
        <v>5.666666666666667</v>
      </c>
      <c r="AI292" s="52">
        <f t="shared" si="106"/>
        <v>0.85</v>
      </c>
      <c r="AJ292" s="51">
        <f t="shared" si="104"/>
        <v>178.56</v>
      </c>
      <c r="AK292" s="51">
        <f t="shared" si="105"/>
        <v>138.41860465116278</v>
      </c>
      <c r="AL292" s="51">
        <f t="shared" si="91"/>
        <v>28.560000000000006</v>
      </c>
      <c r="AM292" s="52">
        <f>AP292</f>
        <v>0.19040000000000001</v>
      </c>
      <c r="AN292" s="52">
        <f t="shared" si="107"/>
        <v>0.15994623655913981</v>
      </c>
      <c r="AO292" s="52">
        <v>0</v>
      </c>
      <c r="AP292" s="52">
        <v>0.19040000000000001</v>
      </c>
      <c r="AQ292" s="52">
        <f t="shared" si="101"/>
        <v>0.15994623655913981</v>
      </c>
      <c r="AR292" s="28" t="s">
        <v>34</v>
      </c>
    </row>
    <row r="293" spans="1:44" ht="15" hidden="1" customHeight="1" x14ac:dyDescent="0.25">
      <c r="A293" s="76">
        <v>292</v>
      </c>
      <c r="B293" s="76">
        <v>2002</v>
      </c>
      <c r="C293" s="77" t="s">
        <v>163</v>
      </c>
      <c r="D293" s="76">
        <v>1</v>
      </c>
      <c r="E293" s="78">
        <v>22</v>
      </c>
      <c r="F293" s="79">
        <v>2.2000000000000002</v>
      </c>
      <c r="G293" s="56">
        <v>27.5</v>
      </c>
      <c r="H293" s="56">
        <v>55</v>
      </c>
      <c r="I293" s="78">
        <v>72</v>
      </c>
      <c r="J293" s="81">
        <v>0.79500000000000004</v>
      </c>
      <c r="K293" s="77" t="s">
        <v>5</v>
      </c>
      <c r="L293" s="77" t="s">
        <v>36</v>
      </c>
      <c r="M293" s="77" t="s">
        <v>34</v>
      </c>
      <c r="N293" s="77" t="s">
        <v>34</v>
      </c>
      <c r="O293" s="77" t="s">
        <v>34</v>
      </c>
      <c r="P293" s="78"/>
      <c r="Q293" s="81">
        <v>61</v>
      </c>
      <c r="R293" s="82"/>
      <c r="S293" s="82">
        <v>0.13682809608889407</v>
      </c>
      <c r="T293" s="82">
        <v>990000000</v>
      </c>
      <c r="U293" s="78">
        <v>595</v>
      </c>
      <c r="V293" s="82">
        <v>1.0919999999999999E-2</v>
      </c>
      <c r="W293" s="82">
        <v>2.3040000000000001E-2</v>
      </c>
      <c r="X293" s="82">
        <v>0.54900000000000004</v>
      </c>
      <c r="Y293" s="78">
        <v>29.6</v>
      </c>
      <c r="Z293" s="78">
        <v>1075</v>
      </c>
      <c r="AA293" s="78">
        <f t="shared" si="115"/>
        <v>400</v>
      </c>
      <c r="AB293" s="81">
        <f t="shared" si="110"/>
        <v>0.82189116447904176</v>
      </c>
      <c r="AC293" s="81">
        <f t="shared" si="102"/>
        <v>209.4799999999999</v>
      </c>
      <c r="AD293" s="81">
        <v>1000</v>
      </c>
      <c r="AE293" s="81">
        <f t="shared" si="103"/>
        <v>930.23255813953483</v>
      </c>
      <c r="AF293" s="81">
        <f t="shared" si="114"/>
        <v>790.5200000000001</v>
      </c>
      <c r="AG293" s="83">
        <v>1</v>
      </c>
      <c r="AH293" s="83">
        <f>79.052/20.948</f>
        <v>3.7737254153141113</v>
      </c>
      <c r="AI293" s="83">
        <f t="shared" si="106"/>
        <v>0.79052000000000011</v>
      </c>
      <c r="AJ293" s="81">
        <f t="shared" si="104"/>
        <v>252.97072746594523</v>
      </c>
      <c r="AK293" s="81">
        <f t="shared" si="105"/>
        <v>196.10133912088779</v>
      </c>
      <c r="AL293" s="81">
        <f t="shared" si="91"/>
        <v>43.490727465945305</v>
      </c>
      <c r="AM293" s="83">
        <f>AP293</f>
        <v>0.20761279103468264</v>
      </c>
      <c r="AN293" s="83">
        <f t="shared" si="107"/>
        <v>0.17192000000000002</v>
      </c>
      <c r="AO293" s="83">
        <v>0</v>
      </c>
      <c r="AP293" s="83">
        <f>17.192/82.808</f>
        <v>0.20761279103468264</v>
      </c>
      <c r="AQ293" s="83">
        <f t="shared" si="101"/>
        <v>0.17192000000000002</v>
      </c>
      <c r="AR293" s="77" t="s">
        <v>34</v>
      </c>
    </row>
    <row r="294" spans="1:44" s="10" customFormat="1" ht="15" hidden="1" customHeight="1" x14ac:dyDescent="0.25">
      <c r="A294" s="1">
        <v>293</v>
      </c>
      <c r="B294" s="1">
        <v>2002</v>
      </c>
      <c r="C294" s="28" t="s">
        <v>163</v>
      </c>
      <c r="D294" s="1">
        <v>2</v>
      </c>
      <c r="E294" s="8">
        <v>21</v>
      </c>
      <c r="F294" s="31">
        <v>0.3</v>
      </c>
      <c r="G294" s="57">
        <v>34</v>
      </c>
      <c r="H294" s="57">
        <v>38</v>
      </c>
      <c r="I294" s="8">
        <v>60</v>
      </c>
      <c r="J294" s="51">
        <v>0.12620000000000001</v>
      </c>
      <c r="K294" s="28" t="s">
        <v>5</v>
      </c>
      <c r="L294" s="28" t="s">
        <v>36</v>
      </c>
      <c r="M294" s="28" t="s">
        <v>34</v>
      </c>
      <c r="N294" s="28" t="s">
        <v>34</v>
      </c>
      <c r="O294" s="28" t="s">
        <v>34</v>
      </c>
      <c r="P294" s="8"/>
      <c r="Q294" s="51">
        <v>57</v>
      </c>
      <c r="R294" s="9"/>
      <c r="S294" s="9">
        <v>0.14267991404785441</v>
      </c>
      <c r="T294" s="9">
        <v>990000000</v>
      </c>
      <c r="U294" s="8">
        <v>595</v>
      </c>
      <c r="V294" s="9">
        <v>1.0919999999999999E-2</v>
      </c>
      <c r="W294" s="9">
        <v>2.3040000000000001E-2</v>
      </c>
      <c r="X294" s="9">
        <v>0.54900000000000004</v>
      </c>
      <c r="Y294" s="8">
        <v>29.6</v>
      </c>
      <c r="Z294" s="8">
        <v>1075</v>
      </c>
      <c r="AA294" s="8">
        <f t="shared" si="115"/>
        <v>400</v>
      </c>
      <c r="AB294" s="51">
        <f t="shared" si="110"/>
        <v>0.82189116447904176</v>
      </c>
      <c r="AC294" s="51">
        <f t="shared" si="102"/>
        <v>209.4799999999999</v>
      </c>
      <c r="AD294" s="51">
        <v>1000</v>
      </c>
      <c r="AE294" s="51">
        <f t="shared" si="103"/>
        <v>930.23255813953483</v>
      </c>
      <c r="AF294" s="51">
        <f t="shared" si="114"/>
        <v>790.5200000000001</v>
      </c>
      <c r="AG294" s="52">
        <v>1</v>
      </c>
      <c r="AH294" s="52">
        <f>79.052/20.948</f>
        <v>3.7737254153141113</v>
      </c>
      <c r="AI294" s="52">
        <f t="shared" si="106"/>
        <v>0.79052000000000011</v>
      </c>
      <c r="AJ294" s="51">
        <f t="shared" si="104"/>
        <v>257.37173186553952</v>
      </c>
      <c r="AK294" s="51">
        <f t="shared" si="105"/>
        <v>199.5129704384027</v>
      </c>
      <c r="AL294" s="51">
        <f t="shared" si="91"/>
        <v>47.891731865539597</v>
      </c>
      <c r="AM294" s="52">
        <f>9/41</f>
        <v>0.21951219512195122</v>
      </c>
      <c r="AN294" s="52">
        <f t="shared" si="107"/>
        <v>0.18</v>
      </c>
      <c r="AO294" s="52">
        <f>(AP294-AM294)/(AH294-AM294)</f>
        <v>2.5630939686537477E-3</v>
      </c>
      <c r="AP294" s="52">
        <f>18.608/81.392</f>
        <v>0.22862197758993516</v>
      </c>
      <c r="AQ294" s="52">
        <f t="shared" si="101"/>
        <v>0.18608000000000002</v>
      </c>
      <c r="AR294" s="28" t="s">
        <v>34</v>
      </c>
    </row>
    <row r="295" spans="1:44" ht="15" customHeight="1" x14ac:dyDescent="0.25">
      <c r="A295" s="76">
        <v>294</v>
      </c>
      <c r="B295" s="76">
        <v>2002</v>
      </c>
      <c r="C295" s="77" t="s">
        <v>139</v>
      </c>
      <c r="D295" s="76">
        <v>1</v>
      </c>
      <c r="E295" s="78">
        <v>54</v>
      </c>
      <c r="F295" s="73">
        <v>0.13</v>
      </c>
      <c r="G295" s="56">
        <v>50</v>
      </c>
      <c r="H295" s="56">
        <v>18</v>
      </c>
      <c r="I295" s="78">
        <v>344</v>
      </c>
      <c r="J295" s="81">
        <v>0.25480000000000003</v>
      </c>
      <c r="K295" s="77" t="s">
        <v>306</v>
      </c>
      <c r="L295" s="77" t="s">
        <v>36</v>
      </c>
      <c r="M295" s="77" t="s">
        <v>289</v>
      </c>
      <c r="N295" s="77">
        <v>25</v>
      </c>
      <c r="O295" s="77">
        <v>180</v>
      </c>
      <c r="P295" s="88"/>
      <c r="Q295" s="81">
        <v>5</v>
      </c>
      <c r="R295" s="82"/>
      <c r="S295" s="82">
        <v>2.164113140249731E-5</v>
      </c>
      <c r="T295" s="82">
        <v>580000000</v>
      </c>
      <c r="U295" s="78">
        <v>3295</v>
      </c>
      <c r="V295" s="82">
        <v>1.7919999999999998E-2</v>
      </c>
      <c r="W295" s="82">
        <v>2.3040000000000001E-2</v>
      </c>
      <c r="X295" s="82">
        <v>0.54900000000000004</v>
      </c>
      <c r="Y295" s="78">
        <v>29.6</v>
      </c>
      <c r="Z295" s="78">
        <v>1075</v>
      </c>
      <c r="AA295" s="78">
        <f t="shared" si="115"/>
        <v>80</v>
      </c>
      <c r="AB295" s="81">
        <f t="shared" si="110"/>
        <v>0.82189116447904176</v>
      </c>
      <c r="AC295" s="81">
        <f t="shared" si="102"/>
        <v>44.484975199626319</v>
      </c>
      <c r="AD295" s="81">
        <v>200</v>
      </c>
      <c r="AE295" s="81">
        <f t="shared" si="103"/>
        <v>186.04651162790697</v>
      </c>
      <c r="AF295" s="81">
        <f t="shared" si="114"/>
        <v>155.51502480037368</v>
      </c>
      <c r="AG295" s="83">
        <v>1</v>
      </c>
      <c r="AH295" s="83">
        <v>3.4958999999999998</v>
      </c>
      <c r="AI295" s="83">
        <f t="shared" si="106"/>
        <v>0.77757512400186835</v>
      </c>
      <c r="AJ295" s="81">
        <f t="shared" si="104"/>
        <v>50.004203429791581</v>
      </c>
      <c r="AK295" s="81">
        <f t="shared" si="105"/>
        <v>38.762948395187273</v>
      </c>
      <c r="AL295" s="81">
        <f t="shared" ref="AL295:AL356" si="116">AJ295*AQ295</f>
        <v>5.5192282301652602</v>
      </c>
      <c r="AM295" s="83">
        <v>0</v>
      </c>
      <c r="AN295" s="83">
        <f t="shared" si="107"/>
        <v>0</v>
      </c>
      <c r="AO295" s="83">
        <v>3.5490000000000001E-2</v>
      </c>
      <c r="AP295" s="83">
        <f>AO295*AH295</f>
        <v>0.12406949099999999</v>
      </c>
      <c r="AQ295" s="83">
        <f t="shared" si="101"/>
        <v>0.11037528550803803</v>
      </c>
      <c r="AR295" s="77" t="s">
        <v>164</v>
      </c>
    </row>
    <row r="296" spans="1:44" ht="15" customHeight="1" x14ac:dyDescent="0.25">
      <c r="A296" s="76">
        <v>295</v>
      </c>
      <c r="B296" s="76">
        <v>2002</v>
      </c>
      <c r="C296" s="77" t="s">
        <v>139</v>
      </c>
      <c r="D296" s="76">
        <v>2</v>
      </c>
      <c r="E296" s="78">
        <v>28</v>
      </c>
      <c r="F296" s="73">
        <v>0.22</v>
      </c>
      <c r="G296" s="56">
        <v>50</v>
      </c>
      <c r="H296" s="56">
        <v>18</v>
      </c>
      <c r="I296" s="78">
        <v>151</v>
      </c>
      <c r="J296" s="81">
        <v>0.2321</v>
      </c>
      <c r="K296" s="77" t="s">
        <v>306</v>
      </c>
      <c r="L296" s="77" t="s">
        <v>36</v>
      </c>
      <c r="M296" s="77" t="s">
        <v>289</v>
      </c>
      <c r="N296" s="77">
        <v>25</v>
      </c>
      <c r="O296" s="77">
        <v>180</v>
      </c>
      <c r="P296" s="88" t="s">
        <v>382</v>
      </c>
      <c r="Q296" s="81">
        <v>8</v>
      </c>
      <c r="R296" s="82"/>
      <c r="S296" s="82">
        <v>2.164113140249731E-5</v>
      </c>
      <c r="T296" s="82">
        <v>580000000</v>
      </c>
      <c r="U296" s="78">
        <v>3295</v>
      </c>
      <c r="V296" s="82">
        <v>1.7919999999999998E-2</v>
      </c>
      <c r="W296" s="82">
        <v>2.3040000000000001E-2</v>
      </c>
      <c r="X296" s="82">
        <v>0.54900000000000004</v>
      </c>
      <c r="Y296" s="78">
        <v>29.6</v>
      </c>
      <c r="Z296" s="78">
        <v>1075</v>
      </c>
      <c r="AA296" s="78">
        <f t="shared" si="115"/>
        <v>80</v>
      </c>
      <c r="AB296" s="81">
        <f t="shared" si="110"/>
        <v>0.82189116447904176</v>
      </c>
      <c r="AC296" s="81">
        <f t="shared" si="102"/>
        <v>44.484975199626319</v>
      </c>
      <c r="AD296" s="81">
        <v>200</v>
      </c>
      <c r="AE296" s="81">
        <f t="shared" si="103"/>
        <v>186.04651162790697</v>
      </c>
      <c r="AF296" s="81">
        <f t="shared" si="114"/>
        <v>155.51502480037368</v>
      </c>
      <c r="AG296" s="83">
        <v>1</v>
      </c>
      <c r="AH296" s="83">
        <v>3.4958999999999998</v>
      </c>
      <c r="AI296" s="83">
        <f t="shared" si="106"/>
        <v>0.77757512400186835</v>
      </c>
      <c r="AJ296" s="81">
        <f t="shared" si="104"/>
        <v>49.355705776374023</v>
      </c>
      <c r="AK296" s="81">
        <f t="shared" si="105"/>
        <v>38.260237035948855</v>
      </c>
      <c r="AL296" s="81">
        <f t="shared" si="116"/>
        <v>4.8707305767477029</v>
      </c>
      <c r="AM296" s="83">
        <v>0</v>
      </c>
      <c r="AN296" s="83">
        <f t="shared" si="107"/>
        <v>0</v>
      </c>
      <c r="AO296" s="83">
        <v>3.1320000000000001E-2</v>
      </c>
      <c r="AP296" s="83">
        <f>AO296*AH296</f>
        <v>0.109491588</v>
      </c>
      <c r="AQ296" s="83">
        <f t="shared" si="101"/>
        <v>9.868627142759373E-2</v>
      </c>
      <c r="AR296" s="77" t="s">
        <v>164</v>
      </c>
    </row>
    <row r="297" spans="1:44" s="10" customFormat="1" ht="15" customHeight="1" x14ac:dyDescent="0.25">
      <c r="A297" s="1">
        <v>296</v>
      </c>
      <c r="B297" s="1">
        <v>2002</v>
      </c>
      <c r="C297" s="28" t="s">
        <v>139</v>
      </c>
      <c r="D297" s="1">
        <v>3</v>
      </c>
      <c r="E297" s="8">
        <v>27</v>
      </c>
      <c r="F297" s="33">
        <v>0.6</v>
      </c>
      <c r="G297" s="57">
        <v>52.5</v>
      </c>
      <c r="H297" s="57">
        <v>15</v>
      </c>
      <c r="I297" s="8">
        <v>79</v>
      </c>
      <c r="J297" s="51">
        <v>0.1298</v>
      </c>
      <c r="K297" s="28" t="s">
        <v>306</v>
      </c>
      <c r="L297" s="28" t="s">
        <v>36</v>
      </c>
      <c r="M297" s="28" t="s">
        <v>289</v>
      </c>
      <c r="N297" s="28">
        <v>25</v>
      </c>
      <c r="O297" s="28">
        <v>180</v>
      </c>
      <c r="P297" s="89"/>
      <c r="Q297" s="51">
        <v>10</v>
      </c>
      <c r="R297" s="9"/>
      <c r="S297" s="9">
        <v>2.3403111726376024E-5</v>
      </c>
      <c r="T297" s="9">
        <v>580000000</v>
      </c>
      <c r="U297" s="8">
        <v>3295</v>
      </c>
      <c r="V297" s="9">
        <v>1.7919999999999998E-2</v>
      </c>
      <c r="W297" s="9">
        <v>2.3040000000000001E-2</v>
      </c>
      <c r="X297" s="9">
        <v>0.54900000000000004</v>
      </c>
      <c r="Y297" s="8">
        <v>29.6</v>
      </c>
      <c r="Z297" s="8">
        <v>1075</v>
      </c>
      <c r="AA297" s="8">
        <f t="shared" si="115"/>
        <v>80</v>
      </c>
      <c r="AB297" s="51">
        <f t="shared" si="110"/>
        <v>0.82189116447904176</v>
      </c>
      <c r="AC297" s="51">
        <f t="shared" si="102"/>
        <v>44.484975199626319</v>
      </c>
      <c r="AD297" s="51">
        <v>200</v>
      </c>
      <c r="AE297" s="51">
        <f t="shared" si="103"/>
        <v>186.04651162790697</v>
      </c>
      <c r="AF297" s="51">
        <f t="shared" si="114"/>
        <v>155.51502480037368</v>
      </c>
      <c r="AG297" s="52">
        <v>1</v>
      </c>
      <c r="AH297" s="52">
        <v>3.4958999999999998</v>
      </c>
      <c r="AI297" s="52">
        <f t="shared" si="106"/>
        <v>0.77757512400186835</v>
      </c>
      <c r="AJ297" s="51">
        <f t="shared" si="104"/>
        <v>52.047420943023639</v>
      </c>
      <c r="AK297" s="51">
        <f t="shared" si="105"/>
        <v>40.346837940328399</v>
      </c>
      <c r="AL297" s="51">
        <f t="shared" si="116"/>
        <v>7.5624457433973156</v>
      </c>
      <c r="AM297" s="52">
        <v>0</v>
      </c>
      <c r="AN297" s="52">
        <f t="shared" si="107"/>
        <v>0</v>
      </c>
      <c r="AO297" s="52">
        <v>4.8628392999999999E-2</v>
      </c>
      <c r="AP297" s="52">
        <f>AO297*AH297</f>
        <v>0.16999999908869998</v>
      </c>
      <c r="AQ297" s="52">
        <f t="shared" si="101"/>
        <v>0.14529914463342827</v>
      </c>
      <c r="AR297" s="28" t="s">
        <v>164</v>
      </c>
    </row>
    <row r="298" spans="1:44" ht="15" hidden="1" customHeight="1" x14ac:dyDescent="0.25">
      <c r="A298" s="76">
        <v>297</v>
      </c>
      <c r="B298" s="76">
        <v>2004</v>
      </c>
      <c r="C298" s="77" t="s">
        <v>165</v>
      </c>
      <c r="D298" s="76">
        <v>1</v>
      </c>
      <c r="E298" s="78">
        <v>13</v>
      </c>
      <c r="F298" s="73">
        <v>0.2</v>
      </c>
      <c r="G298" s="80">
        <v>60</v>
      </c>
      <c r="H298" s="80">
        <v>14</v>
      </c>
      <c r="I298" s="78">
        <v>12</v>
      </c>
      <c r="J298" s="81">
        <v>6.3600000000000004E-2</v>
      </c>
      <c r="K298" s="77" t="s">
        <v>5</v>
      </c>
      <c r="L298" s="77" t="s">
        <v>36</v>
      </c>
      <c r="M298" s="77" t="s">
        <v>34</v>
      </c>
      <c r="N298" s="77" t="s">
        <v>34</v>
      </c>
      <c r="O298" s="77" t="s">
        <v>34</v>
      </c>
      <c r="P298" s="78"/>
      <c r="Q298" s="81">
        <v>58</v>
      </c>
      <c r="R298" s="82"/>
      <c r="S298" s="82">
        <v>1.7464933452383585E-3</v>
      </c>
      <c r="T298" s="82">
        <v>940000000</v>
      </c>
      <c r="U298" s="78">
        <v>2095</v>
      </c>
      <c r="V298" s="82">
        <v>1.7919999999999998E-2</v>
      </c>
      <c r="W298" s="82">
        <v>2.3040000000000001E-2</v>
      </c>
      <c r="X298" s="82">
        <v>0.54900000000000004</v>
      </c>
      <c r="Y298" s="78">
        <v>29.6</v>
      </c>
      <c r="Z298" s="78">
        <v>1075</v>
      </c>
      <c r="AA298" s="78">
        <f t="shared" si="115"/>
        <v>400</v>
      </c>
      <c r="AB298" s="81">
        <f t="array" ref="AB298:AB309">POWER(3/(4*PI())*AE298/AA298,1/3)</f>
        <v>0.82189116447904176</v>
      </c>
      <c r="AC298" s="81">
        <f t="shared" si="102"/>
        <v>118.79729617353905</v>
      </c>
      <c r="AD298" s="81">
        <v>1000</v>
      </c>
      <c r="AE298" s="81">
        <f t="shared" si="103"/>
        <v>930.23255813953483</v>
      </c>
      <c r="AF298" s="81">
        <f t="shared" si="114"/>
        <v>881.20270382646095</v>
      </c>
      <c r="AG298" s="83">
        <v>1</v>
      </c>
      <c r="AH298" s="83">
        <v>7.4177</v>
      </c>
      <c r="AI298" s="83">
        <f t="shared" si="106"/>
        <v>0.88120270382646093</v>
      </c>
      <c r="AJ298" s="81">
        <f t="shared" si="104"/>
        <v>160.89905793744128</v>
      </c>
      <c r="AK298" s="81">
        <f t="shared" si="105"/>
        <v>124.72795188948938</v>
      </c>
      <c r="AL298" s="81">
        <f t="shared" si="116"/>
        <v>42.101761763902239</v>
      </c>
      <c r="AM298" s="83">
        <v>0</v>
      </c>
      <c r="AN298" s="83">
        <f t="shared" si="107"/>
        <v>0</v>
      </c>
      <c r="AO298" s="83">
        <f t="shared" ref="AO298:AO309" si="117">AP298/AH298</f>
        <v>4.777761300672715E-2</v>
      </c>
      <c r="AP298" s="83">
        <v>0.35439999999999999</v>
      </c>
      <c r="AQ298" s="83">
        <f t="shared" si="101"/>
        <v>0.26166568222090963</v>
      </c>
      <c r="AR298" s="77" t="s">
        <v>34</v>
      </c>
    </row>
    <row r="299" spans="1:44" ht="15" hidden="1" customHeight="1" x14ac:dyDescent="0.25">
      <c r="A299" s="76">
        <v>298</v>
      </c>
      <c r="B299" s="76">
        <v>2004</v>
      </c>
      <c r="C299" s="77" t="s">
        <v>165</v>
      </c>
      <c r="D299" s="76">
        <v>2</v>
      </c>
      <c r="E299" s="78">
        <v>13</v>
      </c>
      <c r="F299" s="73">
        <v>0.2</v>
      </c>
      <c r="G299" s="80">
        <v>60</v>
      </c>
      <c r="H299" s="80">
        <v>14</v>
      </c>
      <c r="I299" s="78">
        <v>12</v>
      </c>
      <c r="J299" s="81">
        <v>0.1108</v>
      </c>
      <c r="K299" s="77" t="s">
        <v>5</v>
      </c>
      <c r="L299" s="77" t="s">
        <v>36</v>
      </c>
      <c r="M299" s="77" t="s">
        <v>34</v>
      </c>
      <c r="N299" s="77" t="s">
        <v>34</v>
      </c>
      <c r="O299" s="77" t="s">
        <v>34</v>
      </c>
      <c r="P299" s="78"/>
      <c r="Q299" s="81">
        <v>21</v>
      </c>
      <c r="R299" s="82"/>
      <c r="S299" s="82">
        <v>1.7464933452383585E-3</v>
      </c>
      <c r="T299" s="82">
        <v>940000000</v>
      </c>
      <c r="U299" s="78">
        <v>2095</v>
      </c>
      <c r="V299" s="82">
        <v>1.7919999999999998E-2</v>
      </c>
      <c r="W299" s="82">
        <v>2.3040000000000001E-2</v>
      </c>
      <c r="X299" s="82">
        <v>0.54900000000000004</v>
      </c>
      <c r="Y299" s="78">
        <v>29.6</v>
      </c>
      <c r="Z299" s="78">
        <v>1075</v>
      </c>
      <c r="AA299" s="78">
        <f t="shared" si="115"/>
        <v>400</v>
      </c>
      <c r="AB299" s="81">
        <v>0.82189116447904176</v>
      </c>
      <c r="AC299" s="81">
        <f t="shared" si="102"/>
        <v>118.79729617353905</v>
      </c>
      <c r="AD299" s="81">
        <v>1000</v>
      </c>
      <c r="AE299" s="81">
        <f t="shared" si="103"/>
        <v>930.23255813953483</v>
      </c>
      <c r="AF299" s="81">
        <f t="shared" si="114"/>
        <v>881.20270382646095</v>
      </c>
      <c r="AG299" s="83">
        <v>1</v>
      </c>
      <c r="AH299" s="83">
        <v>7.4177</v>
      </c>
      <c r="AI299" s="83">
        <f t="shared" si="106"/>
        <v>0.88120270382646093</v>
      </c>
      <c r="AJ299" s="81">
        <f t="shared" si="104"/>
        <v>440.13210259334477</v>
      </c>
      <c r="AK299" s="81">
        <f t="shared" si="105"/>
        <v>341.18767642894943</v>
      </c>
      <c r="AL299" s="81">
        <f t="shared" si="116"/>
        <v>321.33480641980572</v>
      </c>
      <c r="AM299" s="83">
        <v>0</v>
      </c>
      <c r="AN299" s="83">
        <f t="shared" si="107"/>
        <v>0</v>
      </c>
      <c r="AO299" s="83">
        <f t="shared" si="117"/>
        <v>0.36465481213853351</v>
      </c>
      <c r="AP299" s="83">
        <v>2.7048999999999999</v>
      </c>
      <c r="AQ299" s="83">
        <f t="shared" si="101"/>
        <v>0.73008718184026555</v>
      </c>
      <c r="AR299" s="77" t="s">
        <v>34</v>
      </c>
    </row>
    <row r="300" spans="1:44" ht="15" hidden="1" customHeight="1" x14ac:dyDescent="0.25">
      <c r="A300" s="76">
        <v>299</v>
      </c>
      <c r="B300" s="76">
        <v>2004</v>
      </c>
      <c r="C300" s="77" t="s">
        <v>165</v>
      </c>
      <c r="D300" s="76">
        <v>3</v>
      </c>
      <c r="E300" s="78">
        <v>9</v>
      </c>
      <c r="F300" s="73">
        <v>0.5</v>
      </c>
      <c r="G300" s="80">
        <v>60</v>
      </c>
      <c r="H300" s="80">
        <v>14</v>
      </c>
      <c r="I300" s="78">
        <v>8</v>
      </c>
      <c r="J300" s="81">
        <v>1.95E-2</v>
      </c>
      <c r="K300" s="77" t="s">
        <v>5</v>
      </c>
      <c r="L300" s="77" t="s">
        <v>36</v>
      </c>
      <c r="M300" s="77" t="s">
        <v>34</v>
      </c>
      <c r="N300" s="77" t="s">
        <v>34</v>
      </c>
      <c r="O300" s="77" t="s">
        <v>34</v>
      </c>
      <c r="P300" s="78"/>
      <c r="Q300" s="81">
        <v>58</v>
      </c>
      <c r="R300" s="82"/>
      <c r="S300" s="82">
        <v>1.7464933452383585E-3</v>
      </c>
      <c r="T300" s="82">
        <v>940000000</v>
      </c>
      <c r="U300" s="78">
        <v>2095</v>
      </c>
      <c r="V300" s="82">
        <v>1.7919999999999998E-2</v>
      </c>
      <c r="W300" s="82">
        <v>2.3040000000000001E-2</v>
      </c>
      <c r="X300" s="82">
        <v>0.54900000000000004</v>
      </c>
      <c r="Y300" s="78">
        <v>29.6</v>
      </c>
      <c r="Z300" s="78">
        <v>1075</v>
      </c>
      <c r="AA300" s="78">
        <f t="shared" si="115"/>
        <v>400</v>
      </c>
      <c r="AB300" s="81">
        <v>0.82189116447904176</v>
      </c>
      <c r="AC300" s="81">
        <f t="shared" si="102"/>
        <v>118.79729617353905</v>
      </c>
      <c r="AD300" s="81">
        <v>1000</v>
      </c>
      <c r="AE300" s="81">
        <f t="shared" si="103"/>
        <v>930.23255813953483</v>
      </c>
      <c r="AF300" s="81">
        <f t="shared" si="114"/>
        <v>881.20270382646095</v>
      </c>
      <c r="AG300" s="83">
        <v>1</v>
      </c>
      <c r="AH300" s="83">
        <v>7.4177</v>
      </c>
      <c r="AI300" s="83">
        <f t="shared" si="106"/>
        <v>0.88120270382646093</v>
      </c>
      <c r="AJ300" s="81">
        <f t="shared" si="104"/>
        <v>119.81895292063149</v>
      </c>
      <c r="AK300" s="81">
        <f t="shared" si="105"/>
        <v>92.882909240799606</v>
      </c>
      <c r="AL300" s="81">
        <f t="shared" si="116"/>
        <v>1.021656747092436</v>
      </c>
      <c r="AM300" s="83">
        <v>0</v>
      </c>
      <c r="AN300" s="83">
        <f t="shared" si="107"/>
        <v>0</v>
      </c>
      <c r="AO300" s="83">
        <f t="shared" si="117"/>
        <v>1.1593890289442819E-3</v>
      </c>
      <c r="AP300" s="83">
        <v>8.6E-3</v>
      </c>
      <c r="AQ300" s="83">
        <f t="shared" si="101"/>
        <v>8.5266706325599854E-3</v>
      </c>
      <c r="AR300" s="77" t="s">
        <v>34</v>
      </c>
    </row>
    <row r="301" spans="1:44" ht="15" hidden="1" customHeight="1" x14ac:dyDescent="0.25">
      <c r="A301" s="76">
        <v>300</v>
      </c>
      <c r="B301" s="76">
        <v>2004</v>
      </c>
      <c r="C301" s="77" t="s">
        <v>165</v>
      </c>
      <c r="D301" s="76">
        <v>4</v>
      </c>
      <c r="E301" s="78">
        <v>13</v>
      </c>
      <c r="F301" s="73">
        <v>0.5</v>
      </c>
      <c r="G301" s="80">
        <v>60</v>
      </c>
      <c r="H301" s="80">
        <v>14</v>
      </c>
      <c r="I301" s="78">
        <v>12</v>
      </c>
      <c r="J301" s="81">
        <v>3.7600000000000001E-2</v>
      </c>
      <c r="K301" s="77" t="s">
        <v>5</v>
      </c>
      <c r="L301" s="77" t="s">
        <v>36</v>
      </c>
      <c r="M301" s="77" t="s">
        <v>34</v>
      </c>
      <c r="N301" s="77" t="s">
        <v>34</v>
      </c>
      <c r="O301" s="77" t="s">
        <v>34</v>
      </c>
      <c r="P301" s="78"/>
      <c r="Q301" s="81">
        <v>41</v>
      </c>
      <c r="R301" s="82"/>
      <c r="S301" s="82">
        <v>1.7464933452383585E-3</v>
      </c>
      <c r="T301" s="82">
        <v>940000000</v>
      </c>
      <c r="U301" s="78">
        <v>2095</v>
      </c>
      <c r="V301" s="82">
        <v>1.7919999999999998E-2</v>
      </c>
      <c r="W301" s="82">
        <v>2.3040000000000001E-2</v>
      </c>
      <c r="X301" s="82">
        <v>0.54900000000000004</v>
      </c>
      <c r="Y301" s="78">
        <v>29.6</v>
      </c>
      <c r="Z301" s="78">
        <v>1075</v>
      </c>
      <c r="AA301" s="78">
        <f t="shared" si="115"/>
        <v>400</v>
      </c>
      <c r="AB301" s="81">
        <v>0.82189116447904176</v>
      </c>
      <c r="AC301" s="81">
        <f t="shared" si="102"/>
        <v>118.79729617353905</v>
      </c>
      <c r="AD301" s="81">
        <v>1000</v>
      </c>
      <c r="AE301" s="81">
        <f t="shared" si="103"/>
        <v>930.23255813953483</v>
      </c>
      <c r="AF301" s="81">
        <f t="shared" si="114"/>
        <v>881.20270382646095</v>
      </c>
      <c r="AG301" s="83">
        <v>1</v>
      </c>
      <c r="AH301" s="83">
        <v>7.4177</v>
      </c>
      <c r="AI301" s="83">
        <f t="shared" si="106"/>
        <v>0.88120270382646093</v>
      </c>
      <c r="AJ301" s="81">
        <f t="shared" si="104"/>
        <v>263.15977048362367</v>
      </c>
      <c r="AK301" s="81">
        <f t="shared" si="105"/>
        <v>203.99982208032844</v>
      </c>
      <c r="AL301" s="81">
        <f t="shared" si="116"/>
        <v>144.36247431008462</v>
      </c>
      <c r="AM301" s="83">
        <v>0</v>
      </c>
      <c r="AN301" s="83">
        <f t="shared" si="107"/>
        <v>0</v>
      </c>
      <c r="AO301" s="83">
        <f t="shared" si="117"/>
        <v>0.16382436604338274</v>
      </c>
      <c r="AP301" s="83">
        <v>1.2152000000000001</v>
      </c>
      <c r="AQ301" s="83">
        <f t="shared" si="101"/>
        <v>0.54857349223546403</v>
      </c>
      <c r="AR301" s="77" t="s">
        <v>34</v>
      </c>
    </row>
    <row r="302" spans="1:44" ht="15" hidden="1" customHeight="1" x14ac:dyDescent="0.25">
      <c r="A302" s="76">
        <v>301</v>
      </c>
      <c r="B302" s="76">
        <v>2004</v>
      </c>
      <c r="C302" s="77" t="s">
        <v>165</v>
      </c>
      <c r="D302" s="76">
        <v>5</v>
      </c>
      <c r="E302" s="78">
        <v>7</v>
      </c>
      <c r="F302" s="73">
        <v>0.2</v>
      </c>
      <c r="G302" s="80">
        <v>60</v>
      </c>
      <c r="H302" s="80">
        <v>14</v>
      </c>
      <c r="I302" s="78">
        <v>6</v>
      </c>
      <c r="J302" s="81">
        <v>4.5499999999999999E-2</v>
      </c>
      <c r="K302" s="77" t="s">
        <v>5</v>
      </c>
      <c r="L302" s="77" t="s">
        <v>36</v>
      </c>
      <c r="M302" s="77" t="s">
        <v>34</v>
      </c>
      <c r="N302" s="77" t="s">
        <v>34</v>
      </c>
      <c r="O302" s="77" t="s">
        <v>34</v>
      </c>
      <c r="P302" s="78"/>
      <c r="Q302" s="81">
        <v>76</v>
      </c>
      <c r="R302" s="82"/>
      <c r="S302" s="82">
        <v>1.7464933452383585E-3</v>
      </c>
      <c r="T302" s="82">
        <v>940000000</v>
      </c>
      <c r="U302" s="78">
        <v>2095</v>
      </c>
      <c r="V302" s="82">
        <v>1.7919999999999998E-2</v>
      </c>
      <c r="W302" s="82">
        <v>2.3040000000000001E-2</v>
      </c>
      <c r="X302" s="82">
        <v>0.54900000000000004</v>
      </c>
      <c r="Y302" s="78">
        <v>29.6</v>
      </c>
      <c r="Z302" s="78">
        <v>1075</v>
      </c>
      <c r="AA302" s="78">
        <f t="shared" si="115"/>
        <v>400</v>
      </c>
      <c r="AB302" s="81">
        <v>0.82189116447904176</v>
      </c>
      <c r="AC302" s="81">
        <f t="shared" si="102"/>
        <v>118.79729617353905</v>
      </c>
      <c r="AD302" s="81">
        <v>1000</v>
      </c>
      <c r="AE302" s="81">
        <f t="shared" si="103"/>
        <v>930.23255813953483</v>
      </c>
      <c r="AF302" s="81">
        <f t="shared" si="114"/>
        <v>881.20270382646095</v>
      </c>
      <c r="AG302" s="83">
        <v>1</v>
      </c>
      <c r="AH302" s="83">
        <v>7.4177</v>
      </c>
      <c r="AI302" s="83">
        <f t="shared" si="106"/>
        <v>0.88120270382646093</v>
      </c>
      <c r="AJ302" s="81">
        <f t="shared" si="104"/>
        <v>118.79729617353905</v>
      </c>
      <c r="AK302" s="81">
        <f t="shared" si="105"/>
        <v>92.090927266309336</v>
      </c>
      <c r="AL302" s="81">
        <f t="shared" si="116"/>
        <v>0</v>
      </c>
      <c r="AM302" s="83">
        <v>0</v>
      </c>
      <c r="AN302" s="83">
        <f t="shared" si="107"/>
        <v>0</v>
      </c>
      <c r="AO302" s="83">
        <f t="shared" si="117"/>
        <v>0</v>
      </c>
      <c r="AP302" s="83">
        <v>0</v>
      </c>
      <c r="AQ302" s="83">
        <f t="shared" si="101"/>
        <v>0</v>
      </c>
      <c r="AR302" s="77" t="s">
        <v>34</v>
      </c>
    </row>
    <row r="303" spans="1:44" ht="15" hidden="1" customHeight="1" x14ac:dyDescent="0.25">
      <c r="A303" s="76">
        <v>302</v>
      </c>
      <c r="B303" s="76">
        <v>2004</v>
      </c>
      <c r="C303" s="77" t="s">
        <v>165</v>
      </c>
      <c r="D303" s="76">
        <v>6</v>
      </c>
      <c r="E303" s="78">
        <v>10</v>
      </c>
      <c r="F303" s="73">
        <v>0.2</v>
      </c>
      <c r="G303" s="80">
        <v>60</v>
      </c>
      <c r="H303" s="80">
        <v>14</v>
      </c>
      <c r="I303" s="78">
        <v>9</v>
      </c>
      <c r="J303" s="81">
        <v>7.6E-3</v>
      </c>
      <c r="K303" s="77" t="s">
        <v>5</v>
      </c>
      <c r="L303" s="77" t="s">
        <v>36</v>
      </c>
      <c r="M303" s="77" t="s">
        <v>34</v>
      </c>
      <c r="N303" s="77" t="s">
        <v>34</v>
      </c>
      <c r="O303" s="77" t="s">
        <v>34</v>
      </c>
      <c r="P303" s="78"/>
      <c r="Q303" s="81">
        <v>59</v>
      </c>
      <c r="R303" s="82"/>
      <c r="S303" s="82">
        <v>1.7464933452383585E-3</v>
      </c>
      <c r="T303" s="82">
        <v>940000000</v>
      </c>
      <c r="U303" s="78">
        <v>2095</v>
      </c>
      <c r="V303" s="82">
        <v>1.7919999999999998E-2</v>
      </c>
      <c r="W303" s="82">
        <v>2.3040000000000001E-2</v>
      </c>
      <c r="X303" s="82">
        <v>0.54900000000000004</v>
      </c>
      <c r="Y303" s="78">
        <v>29.6</v>
      </c>
      <c r="Z303" s="78">
        <v>1075</v>
      </c>
      <c r="AA303" s="78">
        <f t="shared" si="115"/>
        <v>400</v>
      </c>
      <c r="AB303" s="81">
        <v>0.82189116447904176</v>
      </c>
      <c r="AC303" s="81">
        <f t="shared" si="102"/>
        <v>118.79729617353905</v>
      </c>
      <c r="AD303" s="81">
        <v>1000</v>
      </c>
      <c r="AE303" s="81">
        <f t="shared" si="103"/>
        <v>930.23255813953483</v>
      </c>
      <c r="AF303" s="81">
        <f t="shared" si="114"/>
        <v>881.20270382646095</v>
      </c>
      <c r="AG303" s="83">
        <v>1</v>
      </c>
      <c r="AH303" s="83">
        <v>7.4177</v>
      </c>
      <c r="AI303" s="83">
        <f t="shared" si="106"/>
        <v>0.88120270382646093</v>
      </c>
      <c r="AJ303" s="81">
        <f t="shared" si="104"/>
        <v>118.79729617353905</v>
      </c>
      <c r="AK303" s="81">
        <f t="shared" si="105"/>
        <v>92.090927266309336</v>
      </c>
      <c r="AL303" s="81">
        <f t="shared" si="116"/>
        <v>0</v>
      </c>
      <c r="AM303" s="83">
        <v>0</v>
      </c>
      <c r="AN303" s="83">
        <f t="shared" si="107"/>
        <v>0</v>
      </c>
      <c r="AO303" s="83">
        <f t="shared" si="117"/>
        <v>0</v>
      </c>
      <c r="AP303" s="83">
        <v>0</v>
      </c>
      <c r="AQ303" s="83">
        <f t="shared" si="101"/>
        <v>0</v>
      </c>
      <c r="AR303" s="77" t="s">
        <v>34</v>
      </c>
    </row>
    <row r="304" spans="1:44" ht="15" hidden="1" customHeight="1" x14ac:dyDescent="0.25">
      <c r="A304" s="76">
        <v>303</v>
      </c>
      <c r="B304" s="76">
        <v>2004</v>
      </c>
      <c r="C304" s="77" t="s">
        <v>165</v>
      </c>
      <c r="D304" s="76">
        <v>7</v>
      </c>
      <c r="E304" s="78">
        <v>6</v>
      </c>
      <c r="F304" s="73">
        <v>0.5</v>
      </c>
      <c r="G304" s="80">
        <v>60</v>
      </c>
      <c r="H304" s="80">
        <v>14</v>
      </c>
      <c r="I304" s="78">
        <v>5</v>
      </c>
      <c r="J304" s="81">
        <v>9.35E-2</v>
      </c>
      <c r="K304" s="77" t="s">
        <v>5</v>
      </c>
      <c r="L304" s="77" t="s">
        <v>36</v>
      </c>
      <c r="M304" s="77" t="s">
        <v>34</v>
      </c>
      <c r="N304" s="77" t="s">
        <v>34</v>
      </c>
      <c r="O304" s="77" t="s">
        <v>34</v>
      </c>
      <c r="P304" s="78"/>
      <c r="Q304" s="81">
        <v>94</v>
      </c>
      <c r="R304" s="82"/>
      <c r="S304" s="82">
        <v>1.7464933452383585E-3</v>
      </c>
      <c r="T304" s="82">
        <v>940000000</v>
      </c>
      <c r="U304" s="78">
        <v>2095</v>
      </c>
      <c r="V304" s="82">
        <v>1.7919999999999998E-2</v>
      </c>
      <c r="W304" s="82">
        <v>2.3040000000000001E-2</v>
      </c>
      <c r="X304" s="82">
        <v>0.54900000000000004</v>
      </c>
      <c r="Y304" s="78">
        <v>29.6</v>
      </c>
      <c r="Z304" s="78">
        <v>1075</v>
      </c>
      <c r="AA304" s="78">
        <f t="shared" si="115"/>
        <v>400</v>
      </c>
      <c r="AB304" s="81">
        <v>0.82189116447904176</v>
      </c>
      <c r="AC304" s="81">
        <f t="shared" si="102"/>
        <v>118.79729617353905</v>
      </c>
      <c r="AD304" s="81">
        <v>1000</v>
      </c>
      <c r="AE304" s="81">
        <f t="shared" si="103"/>
        <v>930.23255813953483</v>
      </c>
      <c r="AF304" s="81">
        <f t="shared" si="114"/>
        <v>881.20270382646095</v>
      </c>
      <c r="AG304" s="83">
        <v>1</v>
      </c>
      <c r="AH304" s="83">
        <v>7.4177</v>
      </c>
      <c r="AI304" s="83">
        <f t="shared" ref="AI304:AI335" si="118">AH304/(AH304+1)</f>
        <v>0.88120270382646093</v>
      </c>
      <c r="AJ304" s="81">
        <f t="shared" si="104"/>
        <v>118.79729617353905</v>
      </c>
      <c r="AK304" s="81">
        <f t="shared" si="105"/>
        <v>92.090927266309336</v>
      </c>
      <c r="AL304" s="81">
        <f t="shared" si="116"/>
        <v>0</v>
      </c>
      <c r="AM304" s="83">
        <v>0</v>
      </c>
      <c r="AN304" s="83">
        <f t="shared" ref="AN304:AN309" si="119">AM304/(AM304+1)</f>
        <v>0</v>
      </c>
      <c r="AO304" s="83">
        <f t="shared" si="117"/>
        <v>0</v>
      </c>
      <c r="AP304" s="83">
        <v>0</v>
      </c>
      <c r="AQ304" s="83">
        <f t="shared" si="101"/>
        <v>0</v>
      </c>
      <c r="AR304" s="77" t="s">
        <v>34</v>
      </c>
    </row>
    <row r="305" spans="1:44" ht="15" hidden="1" customHeight="1" x14ac:dyDescent="0.25">
      <c r="A305" s="76">
        <v>304</v>
      </c>
      <c r="B305" s="76">
        <v>2004</v>
      </c>
      <c r="C305" s="77" t="s">
        <v>165</v>
      </c>
      <c r="D305" s="76">
        <v>8</v>
      </c>
      <c r="E305" s="78">
        <v>8</v>
      </c>
      <c r="F305" s="73">
        <v>0.5</v>
      </c>
      <c r="G305" s="80">
        <v>60</v>
      </c>
      <c r="H305" s="80">
        <v>14</v>
      </c>
      <c r="I305" s="78">
        <v>7</v>
      </c>
      <c r="J305" s="81">
        <v>1.89E-2</v>
      </c>
      <c r="K305" s="77" t="s">
        <v>5</v>
      </c>
      <c r="L305" s="77" t="s">
        <v>36</v>
      </c>
      <c r="M305" s="77" t="s">
        <v>34</v>
      </c>
      <c r="N305" s="77" t="s">
        <v>34</v>
      </c>
      <c r="O305" s="77" t="s">
        <v>34</v>
      </c>
      <c r="P305" s="78"/>
      <c r="Q305" s="81">
        <v>66</v>
      </c>
      <c r="R305" s="82"/>
      <c r="S305" s="82">
        <v>1.7464933452383585E-3</v>
      </c>
      <c r="T305" s="82">
        <v>940000000</v>
      </c>
      <c r="U305" s="78">
        <v>2095</v>
      </c>
      <c r="V305" s="82">
        <v>1.7919999999999998E-2</v>
      </c>
      <c r="W305" s="82">
        <v>2.3040000000000001E-2</v>
      </c>
      <c r="X305" s="82">
        <v>0.54900000000000004</v>
      </c>
      <c r="Y305" s="78">
        <v>29.6</v>
      </c>
      <c r="Z305" s="78">
        <v>1075</v>
      </c>
      <c r="AA305" s="78">
        <f t="shared" si="115"/>
        <v>400</v>
      </c>
      <c r="AB305" s="81">
        <v>0.82189116447904176</v>
      </c>
      <c r="AC305" s="81">
        <f t="shared" si="102"/>
        <v>118.79729617353905</v>
      </c>
      <c r="AD305" s="81">
        <v>1000</v>
      </c>
      <c r="AE305" s="81">
        <f t="shared" si="103"/>
        <v>930.23255813953483</v>
      </c>
      <c r="AF305" s="81">
        <f t="shared" si="114"/>
        <v>881.20270382646095</v>
      </c>
      <c r="AG305" s="83">
        <v>1</v>
      </c>
      <c r="AH305" s="83">
        <v>7.4177</v>
      </c>
      <c r="AI305" s="83">
        <f t="shared" si="118"/>
        <v>0.88120270382646093</v>
      </c>
      <c r="AJ305" s="81">
        <f t="shared" si="104"/>
        <v>122.30181641065846</v>
      </c>
      <c r="AK305" s="81">
        <f t="shared" si="105"/>
        <v>94.807609620665474</v>
      </c>
      <c r="AL305" s="81">
        <f t="shared" si="116"/>
        <v>3.5045202371194017</v>
      </c>
      <c r="AM305" s="83">
        <v>0</v>
      </c>
      <c r="AN305" s="83">
        <f t="shared" si="119"/>
        <v>0</v>
      </c>
      <c r="AO305" s="83">
        <f t="shared" si="117"/>
        <v>3.9769739946344555E-3</v>
      </c>
      <c r="AP305" s="83">
        <v>2.9499999999999998E-2</v>
      </c>
      <c r="AQ305" s="83">
        <f t="shared" si="101"/>
        <v>2.865468674113647E-2</v>
      </c>
      <c r="AR305" s="77" t="s">
        <v>34</v>
      </c>
    </row>
    <row r="306" spans="1:44" ht="15" hidden="1" customHeight="1" x14ac:dyDescent="0.25">
      <c r="A306" s="76">
        <v>305</v>
      </c>
      <c r="B306" s="76">
        <v>2004</v>
      </c>
      <c r="C306" s="77" t="s">
        <v>165</v>
      </c>
      <c r="D306" s="76">
        <v>9</v>
      </c>
      <c r="E306" s="78">
        <v>8</v>
      </c>
      <c r="F306" s="73">
        <v>0.2</v>
      </c>
      <c r="G306" s="80">
        <v>60</v>
      </c>
      <c r="H306" s="80">
        <v>14</v>
      </c>
      <c r="I306" s="78">
        <v>7</v>
      </c>
      <c r="J306" s="81">
        <v>1.2200000000000001E-2</v>
      </c>
      <c r="K306" s="77" t="s">
        <v>5</v>
      </c>
      <c r="L306" s="77" t="s">
        <v>36</v>
      </c>
      <c r="M306" s="77" t="s">
        <v>34</v>
      </c>
      <c r="N306" s="77" t="s">
        <v>34</v>
      </c>
      <c r="O306" s="77" t="s">
        <v>34</v>
      </c>
      <c r="P306" s="78"/>
      <c r="Q306" s="81">
        <v>68</v>
      </c>
      <c r="R306" s="82"/>
      <c r="S306" s="82">
        <v>1.7464933452383585E-3</v>
      </c>
      <c r="T306" s="82">
        <v>940000000</v>
      </c>
      <c r="U306" s="78">
        <v>2095</v>
      </c>
      <c r="V306" s="82">
        <v>1.7919999999999998E-2</v>
      </c>
      <c r="W306" s="82">
        <v>2.3040000000000001E-2</v>
      </c>
      <c r="X306" s="82">
        <v>0.54900000000000004</v>
      </c>
      <c r="Y306" s="78">
        <v>29.6</v>
      </c>
      <c r="Z306" s="78">
        <v>1075</v>
      </c>
      <c r="AA306" s="78">
        <f t="shared" si="115"/>
        <v>400</v>
      </c>
      <c r="AB306" s="81">
        <v>0.82189116447904176</v>
      </c>
      <c r="AC306" s="81">
        <f t="shared" si="102"/>
        <v>118.79729617353905</v>
      </c>
      <c r="AD306" s="81">
        <v>1000</v>
      </c>
      <c r="AE306" s="81">
        <f t="shared" si="103"/>
        <v>930.23255813953483</v>
      </c>
      <c r="AF306" s="81">
        <f t="shared" si="114"/>
        <v>881.20270382646095</v>
      </c>
      <c r="AG306" s="83">
        <v>1</v>
      </c>
      <c r="AH306" s="83">
        <v>7.4177</v>
      </c>
      <c r="AI306" s="83">
        <f t="shared" si="118"/>
        <v>0.88120270382646093</v>
      </c>
      <c r="AJ306" s="81">
        <f t="shared" si="104"/>
        <v>122.31369614027581</v>
      </c>
      <c r="AK306" s="81">
        <f t="shared" si="105"/>
        <v>94.816818713392109</v>
      </c>
      <c r="AL306" s="81">
        <f t="shared" si="116"/>
        <v>3.5163999667367558</v>
      </c>
      <c r="AM306" s="83">
        <v>0</v>
      </c>
      <c r="AN306" s="83">
        <f t="shared" si="119"/>
        <v>0</v>
      </c>
      <c r="AO306" s="83">
        <f t="shared" si="117"/>
        <v>3.9904552624128774E-3</v>
      </c>
      <c r="AP306" s="83">
        <v>2.9600000000000001E-2</v>
      </c>
      <c r="AQ306" s="83">
        <f t="shared" si="101"/>
        <v>2.8749028749028748E-2</v>
      </c>
      <c r="AR306" s="77" t="s">
        <v>34</v>
      </c>
    </row>
    <row r="307" spans="1:44" ht="15" hidden="1" customHeight="1" x14ac:dyDescent="0.25">
      <c r="A307" s="76">
        <v>306</v>
      </c>
      <c r="B307" s="76">
        <v>2004</v>
      </c>
      <c r="C307" s="77" t="s">
        <v>165</v>
      </c>
      <c r="D307" s="76">
        <v>10</v>
      </c>
      <c r="E307" s="78">
        <v>13</v>
      </c>
      <c r="F307" s="73">
        <v>0.2</v>
      </c>
      <c r="G307" s="80">
        <v>60</v>
      </c>
      <c r="H307" s="80">
        <v>14</v>
      </c>
      <c r="I307" s="78">
        <v>12</v>
      </c>
      <c r="J307" s="81">
        <v>1.41E-2</v>
      </c>
      <c r="K307" s="77" t="s">
        <v>5</v>
      </c>
      <c r="L307" s="77" t="s">
        <v>36</v>
      </c>
      <c r="M307" s="77" t="s">
        <v>34</v>
      </c>
      <c r="N307" s="77" t="s">
        <v>34</v>
      </c>
      <c r="O307" s="77" t="s">
        <v>34</v>
      </c>
      <c r="P307" s="78"/>
      <c r="Q307" s="81">
        <v>41</v>
      </c>
      <c r="R307" s="82"/>
      <c r="S307" s="82">
        <v>1.7464933452383585E-3</v>
      </c>
      <c r="T307" s="82">
        <v>940000000</v>
      </c>
      <c r="U307" s="78">
        <v>2095</v>
      </c>
      <c r="V307" s="82">
        <v>1.7919999999999998E-2</v>
      </c>
      <c r="W307" s="82">
        <v>2.3040000000000001E-2</v>
      </c>
      <c r="X307" s="82">
        <v>0.54900000000000004</v>
      </c>
      <c r="Y307" s="78">
        <v>29.6</v>
      </c>
      <c r="Z307" s="78">
        <v>1075</v>
      </c>
      <c r="AA307" s="78">
        <f t="shared" si="115"/>
        <v>400</v>
      </c>
      <c r="AB307" s="81">
        <v>0.82189116447904176</v>
      </c>
      <c r="AC307" s="81">
        <f t="shared" si="102"/>
        <v>118.79729617353905</v>
      </c>
      <c r="AD307" s="81">
        <v>1000</v>
      </c>
      <c r="AE307" s="81">
        <f t="shared" si="103"/>
        <v>930.23255813953483</v>
      </c>
      <c r="AF307" s="81">
        <f t="shared" si="114"/>
        <v>881.20270382646095</v>
      </c>
      <c r="AG307" s="83">
        <v>1</v>
      </c>
      <c r="AH307" s="83">
        <v>7.4177</v>
      </c>
      <c r="AI307" s="83">
        <f t="shared" si="118"/>
        <v>0.88120270382646093</v>
      </c>
      <c r="AJ307" s="81">
        <f t="shared" si="104"/>
        <v>215.03498580372306</v>
      </c>
      <c r="AK307" s="81">
        <f t="shared" si="105"/>
        <v>166.69378744474656</v>
      </c>
      <c r="AL307" s="81">
        <f t="shared" si="116"/>
        <v>96.237689630183993</v>
      </c>
      <c r="AM307" s="83">
        <v>0</v>
      </c>
      <c r="AN307" s="83">
        <f t="shared" si="119"/>
        <v>0</v>
      </c>
      <c r="AO307" s="83">
        <f t="shared" si="117"/>
        <v>0.10921175027299568</v>
      </c>
      <c r="AP307" s="83">
        <v>0.81010000000000004</v>
      </c>
      <c r="AQ307" s="83">
        <f t="shared" si="101"/>
        <v>0.44754433456715098</v>
      </c>
      <c r="AR307" s="77" t="s">
        <v>34</v>
      </c>
    </row>
    <row r="308" spans="1:44" ht="15" hidden="1" customHeight="1" x14ac:dyDescent="0.25">
      <c r="A308" s="76">
        <v>307</v>
      </c>
      <c r="B308" s="76">
        <v>2004</v>
      </c>
      <c r="C308" s="77" t="s">
        <v>165</v>
      </c>
      <c r="D308" s="76">
        <v>11</v>
      </c>
      <c r="E308" s="78">
        <v>7</v>
      </c>
      <c r="F308" s="73">
        <v>0.5</v>
      </c>
      <c r="G308" s="80">
        <v>60</v>
      </c>
      <c r="H308" s="80">
        <v>14</v>
      </c>
      <c r="I308" s="78">
        <v>6</v>
      </c>
      <c r="J308" s="81">
        <v>4.2200000000000001E-2</v>
      </c>
      <c r="K308" s="77" t="s">
        <v>5</v>
      </c>
      <c r="L308" s="77" t="s">
        <v>36</v>
      </c>
      <c r="M308" s="77" t="s">
        <v>34</v>
      </c>
      <c r="N308" s="77" t="s">
        <v>34</v>
      </c>
      <c r="O308" s="77" t="s">
        <v>34</v>
      </c>
      <c r="P308" s="78"/>
      <c r="Q308" s="81">
        <v>78</v>
      </c>
      <c r="R308" s="82"/>
      <c r="S308" s="82">
        <v>1.7464933452383585E-3</v>
      </c>
      <c r="T308" s="82">
        <v>940000000</v>
      </c>
      <c r="U308" s="78">
        <v>2095</v>
      </c>
      <c r="V308" s="82">
        <v>1.7919999999999998E-2</v>
      </c>
      <c r="W308" s="82">
        <v>2.3040000000000001E-2</v>
      </c>
      <c r="X308" s="82">
        <v>0.54900000000000004</v>
      </c>
      <c r="Y308" s="78">
        <v>29.6</v>
      </c>
      <c r="Z308" s="78">
        <v>1075</v>
      </c>
      <c r="AA308" s="78">
        <f t="shared" si="115"/>
        <v>400</v>
      </c>
      <c r="AB308" s="81">
        <v>0.82189116447904176</v>
      </c>
      <c r="AC308" s="81">
        <f t="shared" si="102"/>
        <v>118.79729617353905</v>
      </c>
      <c r="AD308" s="81">
        <v>1000</v>
      </c>
      <c r="AE308" s="81">
        <f t="shared" si="103"/>
        <v>930.23255813953483</v>
      </c>
      <c r="AF308" s="81">
        <f t="shared" si="114"/>
        <v>881.20270382646095</v>
      </c>
      <c r="AG308" s="83">
        <v>1</v>
      </c>
      <c r="AH308" s="83">
        <v>7.4177</v>
      </c>
      <c r="AI308" s="83">
        <f t="shared" si="118"/>
        <v>0.88120270382646093</v>
      </c>
      <c r="AJ308" s="81">
        <f t="shared" si="104"/>
        <v>124.83219881915484</v>
      </c>
      <c r="AK308" s="81">
        <f t="shared" si="105"/>
        <v>96.76914637143787</v>
      </c>
      <c r="AL308" s="81">
        <f t="shared" si="116"/>
        <v>6.0349026456157837</v>
      </c>
      <c r="AM308" s="83">
        <v>0</v>
      </c>
      <c r="AN308" s="83">
        <f t="shared" si="119"/>
        <v>0</v>
      </c>
      <c r="AO308" s="83">
        <f t="shared" si="117"/>
        <v>6.8484840314383165E-3</v>
      </c>
      <c r="AP308" s="83">
        <v>5.0799999999999998E-2</v>
      </c>
      <c r="AQ308" s="83">
        <f t="shared" si="101"/>
        <v>4.8344118766653975E-2</v>
      </c>
      <c r="AR308" s="77" t="s">
        <v>34</v>
      </c>
    </row>
    <row r="309" spans="1:44" s="10" customFormat="1" ht="15" hidden="1" customHeight="1" x14ac:dyDescent="0.25">
      <c r="A309" s="1">
        <v>308</v>
      </c>
      <c r="B309" s="1">
        <v>2004</v>
      </c>
      <c r="C309" s="28" t="s">
        <v>165</v>
      </c>
      <c r="D309" s="1">
        <v>12</v>
      </c>
      <c r="E309" s="8">
        <v>10</v>
      </c>
      <c r="F309" s="33">
        <v>0.5</v>
      </c>
      <c r="G309" s="49">
        <v>60</v>
      </c>
      <c r="H309" s="49">
        <v>14</v>
      </c>
      <c r="I309" s="8">
        <v>9</v>
      </c>
      <c r="J309" s="51">
        <v>8.5000000000000006E-3</v>
      </c>
      <c r="K309" s="28" t="s">
        <v>5</v>
      </c>
      <c r="L309" s="28" t="s">
        <v>36</v>
      </c>
      <c r="M309" s="28" t="s">
        <v>34</v>
      </c>
      <c r="N309" s="28" t="s">
        <v>34</v>
      </c>
      <c r="O309" s="28" t="s">
        <v>34</v>
      </c>
      <c r="P309" s="8"/>
      <c r="Q309" s="51">
        <v>64</v>
      </c>
      <c r="R309" s="9"/>
      <c r="S309" s="9">
        <v>1.7464933452383585E-3</v>
      </c>
      <c r="T309" s="9">
        <v>940000000</v>
      </c>
      <c r="U309" s="8">
        <v>2095</v>
      </c>
      <c r="V309" s="9">
        <v>1.7919999999999998E-2</v>
      </c>
      <c r="W309" s="9">
        <v>2.3040000000000001E-2</v>
      </c>
      <c r="X309" s="9">
        <v>0.54900000000000004</v>
      </c>
      <c r="Y309" s="8">
        <v>29.6</v>
      </c>
      <c r="Z309" s="8">
        <v>1075</v>
      </c>
      <c r="AA309" s="8">
        <f t="shared" si="115"/>
        <v>400</v>
      </c>
      <c r="AB309" s="51">
        <v>0.82189116447904176</v>
      </c>
      <c r="AC309" s="51">
        <f t="shared" si="102"/>
        <v>118.79729617353905</v>
      </c>
      <c r="AD309" s="51">
        <v>1000</v>
      </c>
      <c r="AE309" s="51">
        <f t="shared" si="103"/>
        <v>930.23255813953483</v>
      </c>
      <c r="AF309" s="51">
        <f t="shared" si="114"/>
        <v>881.20270382646095</v>
      </c>
      <c r="AG309" s="52">
        <v>1</v>
      </c>
      <c r="AH309" s="52">
        <v>7.4177</v>
      </c>
      <c r="AI309" s="52">
        <f t="shared" si="118"/>
        <v>0.88120270382646093</v>
      </c>
      <c r="AJ309" s="51">
        <f t="shared" si="104"/>
        <v>123.33535288736824</v>
      </c>
      <c r="AK309" s="51">
        <f t="shared" si="105"/>
        <v>95.608800687882351</v>
      </c>
      <c r="AL309" s="51">
        <f t="shared" si="116"/>
        <v>4.5380567138291914</v>
      </c>
      <c r="AM309" s="52">
        <v>0</v>
      </c>
      <c r="AN309" s="52">
        <f t="shared" si="119"/>
        <v>0</v>
      </c>
      <c r="AO309" s="52">
        <f t="shared" si="117"/>
        <v>5.1498442913571587E-3</v>
      </c>
      <c r="AP309" s="52">
        <v>3.8199999999999998E-2</v>
      </c>
      <c r="AQ309" s="52">
        <f t="shared" si="101"/>
        <v>3.6794451936043152E-2</v>
      </c>
      <c r="AR309" s="28" t="s">
        <v>34</v>
      </c>
    </row>
    <row r="310" spans="1:44" s="26" customFormat="1" ht="15" customHeight="1" x14ac:dyDescent="0.25">
      <c r="A310" s="23">
        <v>309</v>
      </c>
      <c r="B310" s="23">
        <v>2004</v>
      </c>
      <c r="C310" s="29" t="s">
        <v>166</v>
      </c>
      <c r="D310" s="23">
        <v>1</v>
      </c>
      <c r="E310" s="24">
        <v>97</v>
      </c>
      <c r="F310" s="36">
        <v>0.05</v>
      </c>
      <c r="G310" s="62">
        <v>37</v>
      </c>
      <c r="H310" s="62">
        <v>20</v>
      </c>
      <c r="I310" s="24">
        <v>115</v>
      </c>
      <c r="J310" s="63">
        <v>8.4400000000000003E-2</v>
      </c>
      <c r="K310" s="29" t="s">
        <v>5</v>
      </c>
      <c r="L310" s="29" t="s">
        <v>305</v>
      </c>
      <c r="M310" s="29" t="s">
        <v>289</v>
      </c>
      <c r="N310" s="29">
        <v>25</v>
      </c>
      <c r="O310" s="29">
        <v>120</v>
      </c>
      <c r="P310" s="24"/>
      <c r="Q310" s="63">
        <v>10</v>
      </c>
      <c r="R310" s="25"/>
      <c r="S310" s="25">
        <v>1.8960080178937694E-4</v>
      </c>
      <c r="T310" s="25">
        <v>310000000</v>
      </c>
      <c r="U310" s="24">
        <v>2295</v>
      </c>
      <c r="V310" s="25">
        <v>1.7919999999999998E-2</v>
      </c>
      <c r="W310" s="25">
        <v>2.3040000000000001E-2</v>
      </c>
      <c r="X310" s="25">
        <v>0.54900000000000004</v>
      </c>
      <c r="Y310" s="24">
        <v>29.6</v>
      </c>
      <c r="Z310" s="24">
        <v>1075</v>
      </c>
      <c r="AA310" s="24">
        <f>INT(AD310/2.5)</f>
        <v>244</v>
      </c>
      <c r="AB310" s="63">
        <f>POWER(3/(4*PI())*AE310/AA310,1/3)</f>
        <v>0.82203485802879928</v>
      </c>
      <c r="AC310" s="63">
        <f t="shared" si="102"/>
        <v>120.85544554455441</v>
      </c>
      <c r="AD310" s="63">
        <v>610.32000000000005</v>
      </c>
      <c r="AE310" s="63">
        <f t="shared" si="103"/>
        <v>567.73953488372092</v>
      </c>
      <c r="AF310" s="63">
        <f t="shared" si="114"/>
        <v>489.46455445544564</v>
      </c>
      <c r="AG310" s="64">
        <v>1</v>
      </c>
      <c r="AH310" s="64">
        <v>4.05</v>
      </c>
      <c r="AI310" s="64">
        <f t="shared" si="118"/>
        <v>0.80198019801980203</v>
      </c>
      <c r="AJ310" s="63">
        <f t="shared" si="104"/>
        <v>214.53896126732664</v>
      </c>
      <c r="AK310" s="63">
        <f t="shared" si="105"/>
        <v>166.30927230025321</v>
      </c>
      <c r="AL310" s="63">
        <f t="shared" si="116"/>
        <v>93.683515722772242</v>
      </c>
      <c r="AM310" s="64">
        <v>0</v>
      </c>
      <c r="AN310" s="64">
        <v>0</v>
      </c>
      <c r="AO310" s="64">
        <v>0.19139999999999999</v>
      </c>
      <c r="AP310" s="64">
        <f>AO310*AH310</f>
        <v>0.77516999999999991</v>
      </c>
      <c r="AQ310" s="64">
        <f t="shared" si="101"/>
        <v>0.4366736706906944</v>
      </c>
      <c r="AR310" s="29" t="s">
        <v>167</v>
      </c>
    </row>
    <row r="311" spans="1:44" ht="15" customHeight="1" x14ac:dyDescent="0.25">
      <c r="A311" s="76">
        <v>310</v>
      </c>
      <c r="B311" s="76">
        <v>2005</v>
      </c>
      <c r="C311" s="77" t="s">
        <v>168</v>
      </c>
      <c r="D311" s="76">
        <v>1</v>
      </c>
      <c r="E311" s="78">
        <v>10</v>
      </c>
      <c r="F311" s="79">
        <v>1.5</v>
      </c>
      <c r="G311" s="80">
        <v>70</v>
      </c>
      <c r="H311" s="80">
        <v>0</v>
      </c>
      <c r="I311" s="78">
        <v>6</v>
      </c>
      <c r="J311" s="81">
        <v>1.38E-2</v>
      </c>
      <c r="K311" s="77" t="s">
        <v>169</v>
      </c>
      <c r="L311" s="77" t="s">
        <v>73</v>
      </c>
      <c r="M311" s="77" t="s">
        <v>289</v>
      </c>
      <c r="N311" s="77">
        <v>90</v>
      </c>
      <c r="O311" s="77">
        <v>60</v>
      </c>
      <c r="P311" s="78"/>
      <c r="Q311" s="81">
        <v>21</v>
      </c>
      <c r="R311" s="82"/>
      <c r="S311" s="82">
        <v>9.9677453481857524E-4</v>
      </c>
      <c r="T311" s="82">
        <v>800000000</v>
      </c>
      <c r="U311" s="78">
        <v>2295</v>
      </c>
      <c r="V311" s="82">
        <v>1.7919999999999998E-2</v>
      </c>
      <c r="W311" s="82">
        <v>2.3040000000000001E-2</v>
      </c>
      <c r="X311" s="82">
        <v>0.54900000000000004</v>
      </c>
      <c r="Y311" s="78">
        <v>29.6</v>
      </c>
      <c r="Z311" s="78">
        <v>1075</v>
      </c>
      <c r="AA311" s="78">
        <f t="shared" ref="AA311:AA356" si="120">AD311/2.5</f>
        <v>400</v>
      </c>
      <c r="AB311" s="81">
        <f>POWER(3/(4*PI())*AE311/AA311,1/3)</f>
        <v>0.82189116447904176</v>
      </c>
      <c r="AC311" s="81">
        <f t="shared" si="102"/>
        <v>174.61179432825963</v>
      </c>
      <c r="AD311" s="81">
        <v>1000</v>
      </c>
      <c r="AE311" s="81">
        <f t="shared" si="103"/>
        <v>930.23255813953483</v>
      </c>
      <c r="AF311" s="81">
        <f t="shared" si="114"/>
        <v>825.38820567174037</v>
      </c>
      <c r="AG311" s="83">
        <v>1</v>
      </c>
      <c r="AH311" s="83">
        <v>4.7269899999999998</v>
      </c>
      <c r="AI311" s="83">
        <f t="shared" si="118"/>
        <v>0.82538820567174032</v>
      </c>
      <c r="AJ311" s="81">
        <f t="shared" si="104"/>
        <v>481.11136914854023</v>
      </c>
      <c r="AK311" s="81">
        <f t="shared" si="105"/>
        <v>372.95454972755056</v>
      </c>
      <c r="AL311" s="81">
        <f t="shared" si="116"/>
        <v>306.4995748202806</v>
      </c>
      <c r="AM311" s="83">
        <v>0.12</v>
      </c>
      <c r="AN311" s="83">
        <f t="shared" ref="AN311:AN356" si="121">AM311/(AM311+1)</f>
        <v>0.10714285714285712</v>
      </c>
      <c r="AO311" s="83">
        <f>(AP311-AM311)/(AH311-AM311)</f>
        <v>0.35496495542642814</v>
      </c>
      <c r="AP311" s="83">
        <v>1.75532</v>
      </c>
      <c r="AQ311" s="83">
        <f t="shared" si="101"/>
        <v>0.63706574916888048</v>
      </c>
      <c r="AR311" s="77" t="s">
        <v>170</v>
      </c>
    </row>
    <row r="312" spans="1:44" s="10" customFormat="1" ht="15" customHeight="1" x14ac:dyDescent="0.25">
      <c r="A312" s="1">
        <v>311</v>
      </c>
      <c r="B312" s="1">
        <v>2005</v>
      </c>
      <c r="C312" s="28" t="s">
        <v>168</v>
      </c>
      <c r="D312" s="1">
        <v>2</v>
      </c>
      <c r="E312" s="8">
        <v>10</v>
      </c>
      <c r="F312" s="31">
        <v>1.5</v>
      </c>
      <c r="G312" s="49">
        <v>70</v>
      </c>
      <c r="H312" s="49">
        <v>0</v>
      </c>
      <c r="I312" s="8">
        <v>4</v>
      </c>
      <c r="J312" s="51">
        <v>1.1000000000000001E-3</v>
      </c>
      <c r="K312" s="28" t="s">
        <v>169</v>
      </c>
      <c r="L312" s="28" t="s">
        <v>73</v>
      </c>
      <c r="M312" s="28" t="s">
        <v>289</v>
      </c>
      <c r="N312" s="28">
        <v>90</v>
      </c>
      <c r="O312" s="28">
        <v>60</v>
      </c>
      <c r="P312" s="8"/>
      <c r="Q312" s="51">
        <v>160</v>
      </c>
      <c r="R312" s="9"/>
      <c r="S312" s="9">
        <v>9.9677453481857524E-4</v>
      </c>
      <c r="T312" s="9">
        <v>800000000</v>
      </c>
      <c r="U312" s="8">
        <v>2295</v>
      </c>
      <c r="V312" s="9">
        <v>1.7919999999999998E-2</v>
      </c>
      <c r="W312" s="9">
        <v>2.3040000000000001E-2</v>
      </c>
      <c r="X312" s="9">
        <v>0.54900000000000004</v>
      </c>
      <c r="Y312" s="8">
        <v>29.6</v>
      </c>
      <c r="Z312" s="8">
        <v>1075</v>
      </c>
      <c r="AA312" s="8">
        <f t="shared" si="120"/>
        <v>400</v>
      </c>
      <c r="AB312" s="51">
        <f>POWER(3/(4*PI())*AE312/AA312,1/3)</f>
        <v>0.82189116447904176</v>
      </c>
      <c r="AC312" s="51">
        <f t="shared" si="102"/>
        <v>174.61179432825963</v>
      </c>
      <c r="AD312" s="51">
        <v>1000</v>
      </c>
      <c r="AE312" s="51">
        <f t="shared" si="103"/>
        <v>930.23255813953483</v>
      </c>
      <c r="AF312" s="51">
        <f t="shared" si="114"/>
        <v>825.38820567174037</v>
      </c>
      <c r="AG312" s="52">
        <v>1</v>
      </c>
      <c r="AH312" s="52">
        <v>4.7269899999999998</v>
      </c>
      <c r="AI312" s="52">
        <f t="shared" si="118"/>
        <v>0.82538820567174032</v>
      </c>
      <c r="AJ312" s="51">
        <f t="shared" si="104"/>
        <v>195.83061957502974</v>
      </c>
      <c r="AK312" s="51">
        <f t="shared" si="105"/>
        <v>151.80668184110831</v>
      </c>
      <c r="AL312" s="51">
        <f t="shared" si="116"/>
        <v>21.218825246770109</v>
      </c>
      <c r="AM312" s="52">
        <v>0.12</v>
      </c>
      <c r="AN312" s="52">
        <f t="shared" si="121"/>
        <v>0.10714285714285712</v>
      </c>
      <c r="AO312" s="52">
        <f>(AP312-AM312)/(AH312-AM312)</f>
        <v>3.2993342724859563E-4</v>
      </c>
      <c r="AP312" s="52">
        <v>0.12152</v>
      </c>
      <c r="AQ312" s="52">
        <f t="shared" si="101"/>
        <v>0.10835294956844282</v>
      </c>
      <c r="AR312" s="28" t="s">
        <v>171</v>
      </c>
    </row>
    <row r="313" spans="1:44" ht="15" customHeight="1" x14ac:dyDescent="0.25">
      <c r="A313" s="76">
        <v>312</v>
      </c>
      <c r="B313" s="76">
        <v>2005</v>
      </c>
      <c r="C313" s="77" t="s">
        <v>172</v>
      </c>
      <c r="D313" s="76">
        <v>1</v>
      </c>
      <c r="E313" s="78">
        <v>50</v>
      </c>
      <c r="F313" s="79">
        <v>0.01</v>
      </c>
      <c r="G313" s="80">
        <v>28.5</v>
      </c>
      <c r="H313" s="80">
        <v>50</v>
      </c>
      <c r="I313" s="78">
        <v>244</v>
      </c>
      <c r="J313" s="81">
        <v>0.2457</v>
      </c>
      <c r="K313" s="77" t="s">
        <v>306</v>
      </c>
      <c r="L313" s="77" t="s">
        <v>305</v>
      </c>
      <c r="M313" s="77" t="s">
        <v>289</v>
      </c>
      <c r="N313" s="77">
        <v>90</v>
      </c>
      <c r="O313" s="77">
        <v>10</v>
      </c>
      <c r="P313" s="78"/>
      <c r="Q313" s="81">
        <v>13</v>
      </c>
      <c r="R313" s="82"/>
      <c r="S313" s="82">
        <v>4.7557449578004062E-5</v>
      </c>
      <c r="T313" s="82">
        <v>700000000</v>
      </c>
      <c r="U313" s="78">
        <v>2895</v>
      </c>
      <c r="V313" s="82">
        <v>1.7919999999999998E-2</v>
      </c>
      <c r="W313" s="82">
        <v>2.3040000000000001E-2</v>
      </c>
      <c r="X313" s="82">
        <v>0.54900000000000004</v>
      </c>
      <c r="Y313" s="78">
        <v>29.6</v>
      </c>
      <c r="Z313" s="78">
        <v>1075</v>
      </c>
      <c r="AA313" s="78">
        <f t="shared" si="120"/>
        <v>400</v>
      </c>
      <c r="AB313" s="81">
        <f t="array" ref="AB313:AB315">POWER(3/(4*PI())*AE313/AA313,1/3)</f>
        <v>0.82189116447904176</v>
      </c>
      <c r="AC313" s="81">
        <f t="shared" si="102"/>
        <v>166.66666666666663</v>
      </c>
      <c r="AD313" s="81">
        <v>1000</v>
      </c>
      <c r="AE313" s="81">
        <f t="shared" si="103"/>
        <v>930.23255813953483</v>
      </c>
      <c r="AF313" s="81">
        <f t="shared" si="114"/>
        <v>833.33333333333337</v>
      </c>
      <c r="AG313" s="83">
        <v>1</v>
      </c>
      <c r="AH313" s="83">
        <v>5</v>
      </c>
      <c r="AI313" s="83">
        <f t="shared" si="118"/>
        <v>0.83333333333333337</v>
      </c>
      <c r="AJ313" s="81">
        <f t="shared" si="104"/>
        <v>366.2999999999999</v>
      </c>
      <c r="AK313" s="81">
        <f t="shared" si="105"/>
        <v>283.95348837209292</v>
      </c>
      <c r="AL313" s="81">
        <f t="shared" si="116"/>
        <v>199.63333333333327</v>
      </c>
      <c r="AM313" s="83">
        <v>0.16</v>
      </c>
      <c r="AN313" s="83">
        <f t="shared" si="121"/>
        <v>0.13793103448275865</v>
      </c>
      <c r="AO313" s="83">
        <f>(AP313-AM313)/(AH313-AM313)</f>
        <v>0.21442148760330582</v>
      </c>
      <c r="AP313" s="83">
        <v>1.1978</v>
      </c>
      <c r="AQ313" s="83">
        <f t="shared" si="101"/>
        <v>0.54499954499954495</v>
      </c>
      <c r="AR313" s="77" t="s">
        <v>368</v>
      </c>
    </row>
    <row r="314" spans="1:44" ht="15" customHeight="1" x14ac:dyDescent="0.25">
      <c r="A314" s="76">
        <v>313</v>
      </c>
      <c r="B314" s="76">
        <v>2005</v>
      </c>
      <c r="C314" s="77" t="s">
        <v>172</v>
      </c>
      <c r="D314" s="76">
        <v>2</v>
      </c>
      <c r="E314" s="78">
        <v>45</v>
      </c>
      <c r="F314" s="79">
        <v>0.1</v>
      </c>
      <c r="G314" s="80">
        <v>28.5</v>
      </c>
      <c r="H314" s="80">
        <v>50</v>
      </c>
      <c r="I314" s="78">
        <v>219</v>
      </c>
      <c r="J314" s="81">
        <v>0.32519999999999999</v>
      </c>
      <c r="K314" s="77" t="s">
        <v>306</v>
      </c>
      <c r="L314" s="77" t="s">
        <v>36</v>
      </c>
      <c r="M314" s="77" t="s">
        <v>289</v>
      </c>
      <c r="N314" s="77">
        <v>90</v>
      </c>
      <c r="O314" s="77">
        <v>10</v>
      </c>
      <c r="P314" s="78"/>
      <c r="Q314" s="81">
        <v>56</v>
      </c>
      <c r="R314" s="82"/>
      <c r="S314" s="82">
        <v>4.7557449578004062E-5</v>
      </c>
      <c r="T314" s="82">
        <v>700000000</v>
      </c>
      <c r="U314" s="78">
        <v>2895</v>
      </c>
      <c r="V314" s="82">
        <v>1.7919999999999998E-2</v>
      </c>
      <c r="W314" s="82">
        <v>2.3040000000000001E-2</v>
      </c>
      <c r="X314" s="82">
        <v>0.54900000000000004</v>
      </c>
      <c r="Y314" s="78">
        <v>29.6</v>
      </c>
      <c r="Z314" s="78">
        <v>1075</v>
      </c>
      <c r="AA314" s="78">
        <f t="shared" si="120"/>
        <v>400</v>
      </c>
      <c r="AB314" s="81">
        <v>0.82189116447904176</v>
      </c>
      <c r="AC314" s="81">
        <f t="shared" si="102"/>
        <v>138.8888888888888</v>
      </c>
      <c r="AD314" s="81">
        <v>1000</v>
      </c>
      <c r="AE314" s="81">
        <f t="shared" si="103"/>
        <v>930.23255813953483</v>
      </c>
      <c r="AF314" s="81">
        <f t="shared" si="114"/>
        <v>861.1111111111112</v>
      </c>
      <c r="AG314" s="83">
        <v>1</v>
      </c>
      <c r="AH314" s="83">
        <v>6.2</v>
      </c>
      <c r="AI314" s="83">
        <f t="shared" si="118"/>
        <v>0.86111111111111116</v>
      </c>
      <c r="AJ314" s="81">
        <f t="shared" si="104"/>
        <v>157.20833333333323</v>
      </c>
      <c r="AK314" s="81">
        <f t="shared" si="105"/>
        <v>121.8669250645994</v>
      </c>
      <c r="AL314" s="81">
        <f t="shared" si="116"/>
        <v>18.319444444444432</v>
      </c>
      <c r="AM314" s="83">
        <f>AP314</f>
        <v>0.13189999999999999</v>
      </c>
      <c r="AN314" s="83">
        <f t="shared" si="121"/>
        <v>0.11652972877462674</v>
      </c>
      <c r="AO314" s="83">
        <f>(AP314-AM314)/(AH314-AM314)</f>
        <v>0</v>
      </c>
      <c r="AP314" s="83">
        <v>0.13189999999999999</v>
      </c>
      <c r="AQ314" s="83">
        <f t="shared" si="101"/>
        <v>0.11652972877462674</v>
      </c>
      <c r="AR314" s="77" t="s">
        <v>368</v>
      </c>
    </row>
    <row r="315" spans="1:44" s="10" customFormat="1" ht="15" customHeight="1" x14ac:dyDescent="0.25">
      <c r="A315" s="1">
        <v>314</v>
      </c>
      <c r="B315" s="1">
        <v>2005</v>
      </c>
      <c r="C315" s="28" t="s">
        <v>172</v>
      </c>
      <c r="D315" s="1">
        <v>3</v>
      </c>
      <c r="E315" s="8">
        <v>31</v>
      </c>
      <c r="F315" s="31">
        <v>0.1</v>
      </c>
      <c r="G315" s="49">
        <v>28.5</v>
      </c>
      <c r="H315" s="49">
        <v>50</v>
      </c>
      <c r="I315" s="8">
        <v>147</v>
      </c>
      <c r="J315" s="51">
        <v>3.15E-2</v>
      </c>
      <c r="K315" s="28" t="s">
        <v>306</v>
      </c>
      <c r="L315" s="28" t="s">
        <v>36</v>
      </c>
      <c r="M315" s="28" t="s">
        <v>289</v>
      </c>
      <c r="N315" s="28">
        <v>90</v>
      </c>
      <c r="O315" s="28">
        <v>10</v>
      </c>
      <c r="P315" s="8"/>
      <c r="Q315" s="51">
        <v>32</v>
      </c>
      <c r="R315" s="9"/>
      <c r="S315" s="9">
        <v>4.7557449578004062E-5</v>
      </c>
      <c r="T315" s="9">
        <v>700000000</v>
      </c>
      <c r="U315" s="8">
        <v>2895</v>
      </c>
      <c r="V315" s="9">
        <v>1.7919999999999998E-2</v>
      </c>
      <c r="W315" s="9">
        <v>2.3040000000000001E-2</v>
      </c>
      <c r="X315" s="9">
        <v>0.54900000000000004</v>
      </c>
      <c r="Y315" s="8">
        <v>29.6</v>
      </c>
      <c r="Z315" s="8">
        <v>1075</v>
      </c>
      <c r="AA315" s="8">
        <f t="shared" si="120"/>
        <v>400</v>
      </c>
      <c r="AB315" s="51">
        <v>0.82189116447904176</v>
      </c>
      <c r="AC315" s="51">
        <f t="shared" si="102"/>
        <v>145.60067558713479</v>
      </c>
      <c r="AD315" s="51">
        <v>1000</v>
      </c>
      <c r="AE315" s="51">
        <f t="shared" si="103"/>
        <v>930.23255813953483</v>
      </c>
      <c r="AF315" s="51">
        <f t="shared" si="114"/>
        <v>854.39932441286521</v>
      </c>
      <c r="AG315" s="52">
        <v>1</v>
      </c>
      <c r="AH315" s="52">
        <v>5.8681000000000001</v>
      </c>
      <c r="AI315" s="52">
        <f t="shared" si="118"/>
        <v>0.85439932441286526</v>
      </c>
      <c r="AJ315" s="51">
        <f t="shared" si="104"/>
        <v>278.40305179016036</v>
      </c>
      <c r="AK315" s="51">
        <f t="shared" si="105"/>
        <v>215.81631921717857</v>
      </c>
      <c r="AL315" s="51">
        <f t="shared" si="116"/>
        <v>132.8023762030256</v>
      </c>
      <c r="AM315" s="52">
        <v>0.16</v>
      </c>
      <c r="AN315" s="52">
        <f t="shared" si="121"/>
        <v>0.13793103448275865</v>
      </c>
      <c r="AO315" s="52">
        <f>(AP315-AM315)/(AH315-AM315)</f>
        <v>0.13176013034109424</v>
      </c>
      <c r="AP315" s="52">
        <v>0.91210000000000002</v>
      </c>
      <c r="AQ315" s="52">
        <f t="shared" si="101"/>
        <v>0.47701480048114636</v>
      </c>
      <c r="AR315" s="28" t="s">
        <v>368</v>
      </c>
    </row>
    <row r="316" spans="1:44" ht="15" hidden="1" customHeight="1" x14ac:dyDescent="0.25">
      <c r="A316" s="76">
        <v>315</v>
      </c>
      <c r="B316" s="76">
        <v>2005</v>
      </c>
      <c r="C316" s="77" t="s">
        <v>173</v>
      </c>
      <c r="D316" s="76">
        <v>1</v>
      </c>
      <c r="E316" s="78">
        <v>15</v>
      </c>
      <c r="F316" s="79">
        <v>2.5</v>
      </c>
      <c r="G316" s="80">
        <v>57</v>
      </c>
      <c r="H316" s="80">
        <v>15</v>
      </c>
      <c r="I316" s="78">
        <v>30</v>
      </c>
      <c r="J316" s="81">
        <v>5.2600000000000001E-2</v>
      </c>
      <c r="K316" s="77" t="s">
        <v>169</v>
      </c>
      <c r="L316" s="77" t="s">
        <v>36</v>
      </c>
      <c r="M316" s="77" t="s">
        <v>295</v>
      </c>
      <c r="N316" s="77" t="s">
        <v>329</v>
      </c>
      <c r="O316" s="77" t="s">
        <v>329</v>
      </c>
      <c r="P316" s="78"/>
      <c r="Q316" s="81">
        <v>19</v>
      </c>
      <c r="R316" s="82"/>
      <c r="S316" s="82">
        <v>6.9898174452740392E-4</v>
      </c>
      <c r="T316" s="82">
        <v>730000000</v>
      </c>
      <c r="U316" s="78">
        <v>2295</v>
      </c>
      <c r="V316" s="82">
        <v>1.7919999999999998E-2</v>
      </c>
      <c r="W316" s="82">
        <v>2.3040000000000001E-2</v>
      </c>
      <c r="X316" s="82">
        <v>0.54900000000000004</v>
      </c>
      <c r="Y316" s="78">
        <v>29.6</v>
      </c>
      <c r="Z316" s="78">
        <v>1075</v>
      </c>
      <c r="AA316" s="78">
        <f t="shared" si="120"/>
        <v>24.2</v>
      </c>
      <c r="AB316" s="81">
        <f t="array" ref="AB316:AB319">POWER(3/(4*PI())*AE316/AA316,1/3)</f>
        <v>0.82189116447904176</v>
      </c>
      <c r="AC316" s="81">
        <f t="shared" si="102"/>
        <v>11.374000000000002</v>
      </c>
      <c r="AD316" s="81">
        <v>60.5</v>
      </c>
      <c r="AE316" s="81">
        <f t="shared" si="103"/>
        <v>56.279069767441861</v>
      </c>
      <c r="AF316" s="81">
        <f t="shared" si="114"/>
        <v>49.125999999999998</v>
      </c>
      <c r="AG316" s="83">
        <v>1</v>
      </c>
      <c r="AH316" s="83">
        <f>203/47</f>
        <v>4.3191489361702127</v>
      </c>
      <c r="AI316" s="83">
        <f t="shared" si="118"/>
        <v>0.81199999999999994</v>
      </c>
      <c r="AJ316" s="81">
        <f t="shared" si="104"/>
        <v>15.035360780000003</v>
      </c>
      <c r="AK316" s="81">
        <f t="shared" si="105"/>
        <v>11.65531843410853</v>
      </c>
      <c r="AL316" s="81">
        <f t="shared" si="116"/>
        <v>3.6613607800000008</v>
      </c>
      <c r="AM316" s="83">
        <v>0</v>
      </c>
      <c r="AN316" s="83">
        <f t="shared" si="121"/>
        <v>0</v>
      </c>
      <c r="AO316" s="83">
        <v>7.4529999999999999E-2</v>
      </c>
      <c r="AP316" s="83">
        <f>AO316*AH316</f>
        <v>0.32190617021276596</v>
      </c>
      <c r="AQ316" s="83">
        <f t="shared" si="101"/>
        <v>0.24351665607321729</v>
      </c>
      <c r="AR316" s="77" t="s">
        <v>174</v>
      </c>
    </row>
    <row r="317" spans="1:44" ht="15" hidden="1" customHeight="1" x14ac:dyDescent="0.25">
      <c r="A317" s="76">
        <v>316</v>
      </c>
      <c r="B317" s="76">
        <v>2005</v>
      </c>
      <c r="C317" s="77" t="s">
        <v>173</v>
      </c>
      <c r="D317" s="76">
        <v>2</v>
      </c>
      <c r="E317" s="78">
        <v>15</v>
      </c>
      <c r="F317" s="79">
        <v>2.5</v>
      </c>
      <c r="G317" s="80">
        <v>57</v>
      </c>
      <c r="H317" s="80">
        <v>15</v>
      </c>
      <c r="I317" s="78">
        <v>30</v>
      </c>
      <c r="J317" s="81">
        <v>2.4799999999999999E-2</v>
      </c>
      <c r="K317" s="77" t="s">
        <v>169</v>
      </c>
      <c r="L317" s="77" t="s">
        <v>36</v>
      </c>
      <c r="M317" s="77" t="s">
        <v>295</v>
      </c>
      <c r="N317" s="77" t="s">
        <v>329</v>
      </c>
      <c r="O317" s="77" t="s">
        <v>329</v>
      </c>
      <c r="P317" s="78"/>
      <c r="Q317" s="81">
        <v>19</v>
      </c>
      <c r="R317" s="82"/>
      <c r="S317" s="82">
        <v>6.9898174452740392E-4</v>
      </c>
      <c r="T317" s="82">
        <v>730000000</v>
      </c>
      <c r="U317" s="78">
        <v>2295</v>
      </c>
      <c r="V317" s="82">
        <v>1.7919999999999998E-2</v>
      </c>
      <c r="W317" s="82">
        <v>2.3040000000000001E-2</v>
      </c>
      <c r="X317" s="82">
        <v>0.54900000000000004</v>
      </c>
      <c r="Y317" s="78">
        <v>29.6</v>
      </c>
      <c r="Z317" s="78">
        <v>1075</v>
      </c>
      <c r="AA317" s="78">
        <f t="shared" si="120"/>
        <v>24.2</v>
      </c>
      <c r="AB317" s="81">
        <v>0.82189116447904176</v>
      </c>
      <c r="AC317" s="81">
        <f t="shared" si="102"/>
        <v>11.374000000000002</v>
      </c>
      <c r="AD317" s="81">
        <v>60.5</v>
      </c>
      <c r="AE317" s="81">
        <f t="shared" si="103"/>
        <v>56.279069767441861</v>
      </c>
      <c r="AF317" s="81">
        <f t="shared" si="114"/>
        <v>49.125999999999998</v>
      </c>
      <c r="AG317" s="83">
        <v>1</v>
      </c>
      <c r="AH317" s="83">
        <f>203/47</f>
        <v>4.3191489361702127</v>
      </c>
      <c r="AI317" s="83">
        <f t="shared" si="118"/>
        <v>0.81199999999999994</v>
      </c>
      <c r="AJ317" s="81">
        <f t="shared" si="104"/>
        <v>15.254954000000003</v>
      </c>
      <c r="AK317" s="81">
        <f t="shared" si="105"/>
        <v>11.825545736434112</v>
      </c>
      <c r="AL317" s="81">
        <f t="shared" si="116"/>
        <v>3.8809540000000009</v>
      </c>
      <c r="AM317" s="83">
        <v>0</v>
      </c>
      <c r="AN317" s="83">
        <f t="shared" si="121"/>
        <v>0</v>
      </c>
      <c r="AO317" s="83">
        <v>7.9000000000000001E-2</v>
      </c>
      <c r="AP317" s="83">
        <f>AO317*AH317</f>
        <v>0.34121276595744682</v>
      </c>
      <c r="AQ317" s="83">
        <f t="shared" si="101"/>
        <v>0.25440614242429049</v>
      </c>
      <c r="AR317" s="77" t="s">
        <v>175</v>
      </c>
    </row>
    <row r="318" spans="1:44" ht="15" hidden="1" customHeight="1" x14ac:dyDescent="0.25">
      <c r="A318" s="76">
        <v>317</v>
      </c>
      <c r="B318" s="76">
        <v>2005</v>
      </c>
      <c r="C318" s="77" t="s">
        <v>173</v>
      </c>
      <c r="D318" s="76">
        <v>3</v>
      </c>
      <c r="E318" s="78">
        <v>15</v>
      </c>
      <c r="F318" s="79">
        <v>2.5</v>
      </c>
      <c r="G318" s="80">
        <v>57</v>
      </c>
      <c r="H318" s="80">
        <v>15</v>
      </c>
      <c r="I318" s="78">
        <v>30</v>
      </c>
      <c r="J318" s="81">
        <v>4.5999999999999999E-3</v>
      </c>
      <c r="K318" s="77" t="s">
        <v>169</v>
      </c>
      <c r="L318" s="77" t="s">
        <v>36</v>
      </c>
      <c r="M318" s="77" t="s">
        <v>295</v>
      </c>
      <c r="N318" s="77" t="s">
        <v>329</v>
      </c>
      <c r="O318" s="77" t="s">
        <v>329</v>
      </c>
      <c r="P318" s="78"/>
      <c r="Q318" s="81">
        <v>15</v>
      </c>
      <c r="R318" s="82"/>
      <c r="S318" s="82">
        <v>6.9898174452740392E-4</v>
      </c>
      <c r="T318" s="82">
        <v>730000000</v>
      </c>
      <c r="U318" s="78">
        <v>2295</v>
      </c>
      <c r="V318" s="82">
        <v>1.7919999999999998E-2</v>
      </c>
      <c r="W318" s="82">
        <v>2.3040000000000001E-2</v>
      </c>
      <c r="X318" s="82">
        <v>0.54900000000000004</v>
      </c>
      <c r="Y318" s="78">
        <v>29.6</v>
      </c>
      <c r="Z318" s="78">
        <v>1075</v>
      </c>
      <c r="AA318" s="78">
        <f t="shared" si="120"/>
        <v>24.2</v>
      </c>
      <c r="AB318" s="81">
        <v>0.82189116447904176</v>
      </c>
      <c r="AC318" s="81">
        <f t="shared" si="102"/>
        <v>11.374000000000002</v>
      </c>
      <c r="AD318" s="81">
        <v>60.5</v>
      </c>
      <c r="AE318" s="81">
        <f t="shared" si="103"/>
        <v>56.279069767441861</v>
      </c>
      <c r="AF318" s="81">
        <f t="shared" si="114"/>
        <v>49.125999999999998</v>
      </c>
      <c r="AG318" s="83">
        <v>1</v>
      </c>
      <c r="AH318" s="83">
        <f>203/47</f>
        <v>4.3191489361702127</v>
      </c>
      <c r="AI318" s="83">
        <f t="shared" si="118"/>
        <v>0.81199999999999994</v>
      </c>
      <c r="AJ318" s="81">
        <f t="shared" si="104"/>
        <v>18.145527840000003</v>
      </c>
      <c r="AK318" s="81">
        <f t="shared" si="105"/>
        <v>14.066300651162793</v>
      </c>
      <c r="AL318" s="81">
        <f t="shared" si="116"/>
        <v>6.771527840000001</v>
      </c>
      <c r="AM318" s="83">
        <v>0</v>
      </c>
      <c r="AN318" s="83">
        <f t="shared" si="121"/>
        <v>0</v>
      </c>
      <c r="AO318" s="83">
        <v>0.13783999999999999</v>
      </c>
      <c r="AP318" s="83">
        <f>AO318*AH318</f>
        <v>0.59535148936170212</v>
      </c>
      <c r="AQ318" s="83">
        <f t="shared" si="101"/>
        <v>0.37317888461050136</v>
      </c>
      <c r="AR318" s="77" t="s">
        <v>176</v>
      </c>
    </row>
    <row r="319" spans="1:44" s="10" customFormat="1" ht="15" hidden="1" customHeight="1" x14ac:dyDescent="0.25">
      <c r="A319" s="1">
        <v>318</v>
      </c>
      <c r="B319" s="1">
        <v>2005</v>
      </c>
      <c r="C319" s="28" t="s">
        <v>173</v>
      </c>
      <c r="D319" s="1">
        <v>4</v>
      </c>
      <c r="E319" s="8">
        <v>15</v>
      </c>
      <c r="F319" s="31">
        <v>2.5</v>
      </c>
      <c r="G319" s="49">
        <v>57</v>
      </c>
      <c r="H319" s="49">
        <v>15</v>
      </c>
      <c r="I319" s="8">
        <v>30</v>
      </c>
      <c r="J319" s="51">
        <v>4.0000000000000001E-3</v>
      </c>
      <c r="K319" s="28" t="s">
        <v>169</v>
      </c>
      <c r="L319" s="28" t="s">
        <v>36</v>
      </c>
      <c r="M319" s="28" t="s">
        <v>34</v>
      </c>
      <c r="N319" s="28" t="s">
        <v>34</v>
      </c>
      <c r="O319" s="28" t="s">
        <v>34</v>
      </c>
      <c r="P319" s="8"/>
      <c r="Q319" s="51">
        <v>12</v>
      </c>
      <c r="R319" s="9"/>
      <c r="S319" s="9">
        <v>6.9898174452740392E-4</v>
      </c>
      <c r="T319" s="9">
        <v>730000000</v>
      </c>
      <c r="U319" s="8">
        <v>2295</v>
      </c>
      <c r="V319" s="9">
        <v>1.7919999999999998E-2</v>
      </c>
      <c r="W319" s="9">
        <v>2.3040000000000001E-2</v>
      </c>
      <c r="X319" s="9">
        <v>0.54900000000000004</v>
      </c>
      <c r="Y319" s="8">
        <v>29.6</v>
      </c>
      <c r="Z319" s="8">
        <v>1075</v>
      </c>
      <c r="AA319" s="8">
        <f t="shared" si="120"/>
        <v>24.2</v>
      </c>
      <c r="AB319" s="51">
        <v>0.82189116447904176</v>
      </c>
      <c r="AC319" s="51">
        <f t="shared" si="102"/>
        <v>11.374000000000002</v>
      </c>
      <c r="AD319" s="51">
        <v>60.5</v>
      </c>
      <c r="AE319" s="51">
        <f t="shared" si="103"/>
        <v>56.279069767441861</v>
      </c>
      <c r="AF319" s="51">
        <f t="shared" si="114"/>
        <v>49.125999999999998</v>
      </c>
      <c r="AG319" s="52">
        <v>1</v>
      </c>
      <c r="AH319" s="52">
        <f>203/47</f>
        <v>4.3191489361702127</v>
      </c>
      <c r="AI319" s="52">
        <f t="shared" si="118"/>
        <v>0.81199999999999994</v>
      </c>
      <c r="AJ319" s="51">
        <f t="shared" si="104"/>
        <v>20.56007074</v>
      </c>
      <c r="AK319" s="51">
        <f t="shared" si="105"/>
        <v>15.938039333333334</v>
      </c>
      <c r="AL319" s="51">
        <f t="shared" si="116"/>
        <v>9.1860707399999981</v>
      </c>
      <c r="AM319" s="52">
        <v>0</v>
      </c>
      <c r="AN319" s="52">
        <f t="shared" si="121"/>
        <v>0</v>
      </c>
      <c r="AO319" s="52">
        <v>0.18698999999999999</v>
      </c>
      <c r="AP319" s="52">
        <f>AO319*AH319</f>
        <v>0.80763765957446798</v>
      </c>
      <c r="AQ319" s="52">
        <f t="shared" si="101"/>
        <v>0.44679178667067165</v>
      </c>
      <c r="AR319" s="28" t="s">
        <v>34</v>
      </c>
    </row>
    <row r="320" spans="1:44" ht="15" hidden="1" customHeight="1" x14ac:dyDescent="0.25">
      <c r="A320" s="76">
        <v>319</v>
      </c>
      <c r="B320" s="76">
        <v>2006</v>
      </c>
      <c r="C320" s="77" t="s">
        <v>177</v>
      </c>
      <c r="D320" s="76">
        <v>1</v>
      </c>
      <c r="E320" s="78">
        <v>10</v>
      </c>
      <c r="F320" s="74">
        <v>1</v>
      </c>
      <c r="G320" s="80">
        <v>60</v>
      </c>
      <c r="H320" s="80">
        <v>14</v>
      </c>
      <c r="I320" s="78">
        <v>20</v>
      </c>
      <c r="J320" s="81">
        <v>0.16009999999999999</v>
      </c>
      <c r="K320" s="77" t="s">
        <v>178</v>
      </c>
      <c r="L320" s="77" t="s">
        <v>36</v>
      </c>
      <c r="M320" s="77" t="s">
        <v>34</v>
      </c>
      <c r="N320" s="77" t="s">
        <v>34</v>
      </c>
      <c r="O320" s="77" t="s">
        <v>34</v>
      </c>
      <c r="P320" s="78"/>
      <c r="Q320" s="81">
        <v>6</v>
      </c>
      <c r="R320" s="82"/>
      <c r="S320" s="82">
        <v>4.0266794560591643E-4</v>
      </c>
      <c r="T320" s="82">
        <v>720000000</v>
      </c>
      <c r="U320" s="78">
        <v>2495</v>
      </c>
      <c r="V320" s="82">
        <v>1.7919999999999998E-2</v>
      </c>
      <c r="W320" s="82">
        <v>2.3040000000000001E-2</v>
      </c>
      <c r="X320" s="82">
        <v>0.54900000000000004</v>
      </c>
      <c r="Y320" s="78">
        <v>29.6</v>
      </c>
      <c r="Z320" s="78">
        <v>1075</v>
      </c>
      <c r="AA320" s="78">
        <f t="shared" si="120"/>
        <v>400</v>
      </c>
      <c r="AB320" s="81">
        <f t="shared" ref="AB320:AB356" si="122">POWER(3/(4*PI())*AE320/AA320,1/3)</f>
        <v>0.82189116447904176</v>
      </c>
      <c r="AC320" s="81">
        <f t="shared" si="102"/>
        <v>198.21212661790651</v>
      </c>
      <c r="AD320" s="81">
        <v>1000</v>
      </c>
      <c r="AE320" s="81">
        <f t="shared" si="103"/>
        <v>930.23255813953483</v>
      </c>
      <c r="AF320" s="81">
        <f t="shared" si="114"/>
        <v>801.78787338209349</v>
      </c>
      <c r="AG320" s="83">
        <v>1</v>
      </c>
      <c r="AH320" s="83">
        <v>4.0450999999999997</v>
      </c>
      <c r="AI320" s="83">
        <f t="shared" si="118"/>
        <v>0.80178787338209345</v>
      </c>
      <c r="AJ320" s="81">
        <f t="shared" si="104"/>
        <v>656.93445124972754</v>
      </c>
      <c r="AK320" s="81">
        <f t="shared" si="105"/>
        <v>509.25151259668797</v>
      </c>
      <c r="AL320" s="81">
        <f t="shared" si="116"/>
        <v>458.72232463182104</v>
      </c>
      <c r="AM320" s="83">
        <v>0.05</v>
      </c>
      <c r="AN320" s="83">
        <f t="shared" si="121"/>
        <v>4.7619047619047616E-2</v>
      </c>
      <c r="AO320" s="83">
        <f>(AP320-AM320)/(AH320-AM320)</f>
        <v>0.56676929238316942</v>
      </c>
      <c r="AP320" s="83">
        <v>2.3142999999999998</v>
      </c>
      <c r="AQ320" s="83">
        <f t="shared" si="101"/>
        <v>0.69827716259843708</v>
      </c>
      <c r="AR320" s="77" t="s">
        <v>34</v>
      </c>
    </row>
    <row r="321" spans="1:44" ht="15" hidden="1" customHeight="1" x14ac:dyDescent="0.25">
      <c r="A321" s="76">
        <v>320</v>
      </c>
      <c r="B321" s="76">
        <v>2006</v>
      </c>
      <c r="C321" s="77" t="s">
        <v>177</v>
      </c>
      <c r="D321" s="76">
        <v>2</v>
      </c>
      <c r="E321" s="78">
        <v>10</v>
      </c>
      <c r="F321" s="74">
        <v>2</v>
      </c>
      <c r="G321" s="80">
        <v>60</v>
      </c>
      <c r="H321" s="80">
        <v>14</v>
      </c>
      <c r="I321" s="78">
        <v>20</v>
      </c>
      <c r="J321" s="81">
        <v>0.11</v>
      </c>
      <c r="K321" s="77" t="s">
        <v>178</v>
      </c>
      <c r="L321" s="77" t="s">
        <v>36</v>
      </c>
      <c r="M321" s="77" t="s">
        <v>34</v>
      </c>
      <c r="N321" s="77" t="s">
        <v>34</v>
      </c>
      <c r="O321" s="77" t="s">
        <v>34</v>
      </c>
      <c r="P321" s="78"/>
      <c r="Q321" s="81">
        <v>15</v>
      </c>
      <c r="R321" s="82"/>
      <c r="S321" s="82">
        <v>4.0266794560591643E-4</v>
      </c>
      <c r="T321" s="82">
        <v>720000000</v>
      </c>
      <c r="U321" s="78">
        <v>2495</v>
      </c>
      <c r="V321" s="82">
        <v>1.7919999999999998E-2</v>
      </c>
      <c r="W321" s="82">
        <v>2.3040000000000001E-2</v>
      </c>
      <c r="X321" s="82">
        <v>0.54900000000000004</v>
      </c>
      <c r="Y321" s="78">
        <v>29.6</v>
      </c>
      <c r="Z321" s="78">
        <v>1075</v>
      </c>
      <c r="AA321" s="78">
        <f t="shared" si="120"/>
        <v>400</v>
      </c>
      <c r="AB321" s="81">
        <f t="shared" si="122"/>
        <v>0.82189116447904176</v>
      </c>
      <c r="AC321" s="81">
        <f t="shared" si="102"/>
        <v>198.21212661790651</v>
      </c>
      <c r="AD321" s="81">
        <v>1000</v>
      </c>
      <c r="AE321" s="81">
        <f t="shared" si="103"/>
        <v>930.23255813953483</v>
      </c>
      <c r="AF321" s="81">
        <f t="shared" si="114"/>
        <v>801.78787338209349</v>
      </c>
      <c r="AG321" s="83">
        <v>1</v>
      </c>
      <c r="AH321" s="83">
        <v>4.0450999999999997</v>
      </c>
      <c r="AI321" s="83">
        <f t="shared" si="118"/>
        <v>0.80178787338209345</v>
      </c>
      <c r="AJ321" s="81">
        <f t="shared" si="104"/>
        <v>351.11296109095963</v>
      </c>
      <c r="AK321" s="81">
        <f t="shared" si="105"/>
        <v>272.18058999299194</v>
      </c>
      <c r="AL321" s="81">
        <f t="shared" si="116"/>
        <v>152.90083447305312</v>
      </c>
      <c r="AM321" s="83">
        <v>0.05</v>
      </c>
      <c r="AN321" s="83">
        <f t="shared" si="121"/>
        <v>4.7619047619047616E-2</v>
      </c>
      <c r="AO321" s="83">
        <f>(AP321-AM321)/(AH321-AM321)</f>
        <v>0.18057119971965657</v>
      </c>
      <c r="AP321" s="83">
        <v>0.77139999999999997</v>
      </c>
      <c r="AQ321" s="83">
        <f t="shared" ref="AQ321:AQ356" si="123">AP321/(AP321+1)</f>
        <v>0.43547476572202781</v>
      </c>
      <c r="AR321" s="77" t="s">
        <v>34</v>
      </c>
    </row>
    <row r="322" spans="1:44" ht="15" hidden="1" customHeight="1" x14ac:dyDescent="0.25">
      <c r="A322" s="76">
        <v>321</v>
      </c>
      <c r="B322" s="76">
        <v>2006</v>
      </c>
      <c r="C322" s="77" t="s">
        <v>177</v>
      </c>
      <c r="D322" s="76">
        <v>3</v>
      </c>
      <c r="E322" s="78">
        <v>10</v>
      </c>
      <c r="F322" s="74">
        <v>3</v>
      </c>
      <c r="G322" s="80">
        <v>60</v>
      </c>
      <c r="H322" s="80">
        <v>14</v>
      </c>
      <c r="I322" s="78">
        <v>20</v>
      </c>
      <c r="J322" s="81">
        <v>9.4500000000000001E-2</v>
      </c>
      <c r="K322" s="77" t="s">
        <v>178</v>
      </c>
      <c r="L322" s="77" t="s">
        <v>36</v>
      </c>
      <c r="M322" s="77" t="s">
        <v>34</v>
      </c>
      <c r="N322" s="77" t="s">
        <v>34</v>
      </c>
      <c r="O322" s="77" t="s">
        <v>34</v>
      </c>
      <c r="P322" s="78"/>
      <c r="Q322" s="81">
        <v>19</v>
      </c>
      <c r="R322" s="82"/>
      <c r="S322" s="82">
        <v>4.0266794560591643E-4</v>
      </c>
      <c r="T322" s="82">
        <v>720000000</v>
      </c>
      <c r="U322" s="78">
        <v>2495</v>
      </c>
      <c r="V322" s="82">
        <v>1.7919999999999998E-2</v>
      </c>
      <c r="W322" s="82">
        <v>2.3040000000000001E-2</v>
      </c>
      <c r="X322" s="82">
        <v>0.54900000000000004</v>
      </c>
      <c r="Y322" s="78">
        <v>29.6</v>
      </c>
      <c r="Z322" s="78">
        <v>1075</v>
      </c>
      <c r="AA322" s="78">
        <f t="shared" si="120"/>
        <v>400</v>
      </c>
      <c r="AB322" s="81">
        <f t="shared" si="122"/>
        <v>0.82189116447904176</v>
      </c>
      <c r="AC322" s="81">
        <f t="shared" ref="AC322:AC356" si="124">AD322-AF322</f>
        <v>198.21212661790651</v>
      </c>
      <c r="AD322" s="81">
        <v>1000</v>
      </c>
      <c r="AE322" s="81">
        <f t="shared" ref="AE322:AE356" si="125">AD322/Z322*1000</f>
        <v>930.23255813953483</v>
      </c>
      <c r="AF322" s="81">
        <f t="shared" si="114"/>
        <v>801.78787338209349</v>
      </c>
      <c r="AG322" s="83">
        <v>1</v>
      </c>
      <c r="AH322" s="83">
        <v>4.0450999999999997</v>
      </c>
      <c r="AI322" s="83">
        <f t="shared" si="118"/>
        <v>0.80178787338209345</v>
      </c>
      <c r="AJ322" s="81">
        <f t="shared" ref="AJ322:AJ356" si="126">AC322/(1-AQ322)</f>
        <v>311.90660244593766</v>
      </c>
      <c r="AK322" s="81">
        <f t="shared" ref="AK322:AK356" si="127">AJ322/1290*1000</f>
        <v>241.7880639115796</v>
      </c>
      <c r="AL322" s="81">
        <f t="shared" si="116"/>
        <v>113.69447582803117</v>
      </c>
      <c r="AM322" s="83">
        <v>0.05</v>
      </c>
      <c r="AN322" s="83">
        <f t="shared" si="121"/>
        <v>4.7619047619047616E-2</v>
      </c>
      <c r="AO322" s="83">
        <f>(AP322-AM322)/(AH322-AM322)</f>
        <v>0.1310605491727366</v>
      </c>
      <c r="AP322" s="83">
        <v>0.5736</v>
      </c>
      <c r="AQ322" s="83">
        <f t="shared" si="123"/>
        <v>0.36451448906964923</v>
      </c>
      <c r="AR322" s="77" t="s">
        <v>34</v>
      </c>
    </row>
    <row r="323" spans="1:44" ht="15" hidden="1" customHeight="1" x14ac:dyDescent="0.25">
      <c r="A323" s="76">
        <v>322</v>
      </c>
      <c r="B323" s="76">
        <v>2006</v>
      </c>
      <c r="C323" s="77" t="s">
        <v>177</v>
      </c>
      <c r="D323" s="76">
        <v>4</v>
      </c>
      <c r="E323" s="78">
        <v>10</v>
      </c>
      <c r="F323" s="74">
        <v>5</v>
      </c>
      <c r="G323" s="80">
        <v>60</v>
      </c>
      <c r="H323" s="80">
        <v>14</v>
      </c>
      <c r="I323" s="78">
        <v>20</v>
      </c>
      <c r="J323" s="81">
        <v>6.6299999999999998E-2</v>
      </c>
      <c r="K323" s="77" t="s">
        <v>178</v>
      </c>
      <c r="L323" s="77" t="s">
        <v>36</v>
      </c>
      <c r="M323" s="77" t="s">
        <v>34</v>
      </c>
      <c r="N323" s="77" t="s">
        <v>34</v>
      </c>
      <c r="O323" s="77" t="s">
        <v>34</v>
      </c>
      <c r="P323" s="78"/>
      <c r="Q323" s="81">
        <v>27</v>
      </c>
      <c r="R323" s="82"/>
      <c r="S323" s="82">
        <v>4.0266794560591643E-4</v>
      </c>
      <c r="T323" s="82">
        <v>720000000</v>
      </c>
      <c r="U323" s="78">
        <v>2495</v>
      </c>
      <c r="V323" s="82">
        <v>1.7919999999999998E-2</v>
      </c>
      <c r="W323" s="82">
        <v>2.3040000000000001E-2</v>
      </c>
      <c r="X323" s="82">
        <v>0.54900000000000004</v>
      </c>
      <c r="Y323" s="78">
        <v>29.6</v>
      </c>
      <c r="Z323" s="78">
        <v>1075</v>
      </c>
      <c r="AA323" s="78">
        <f t="shared" si="120"/>
        <v>400</v>
      </c>
      <c r="AB323" s="81">
        <f t="shared" si="122"/>
        <v>0.82189116447904176</v>
      </c>
      <c r="AC323" s="81">
        <f t="shared" si="124"/>
        <v>198.21212661790651</v>
      </c>
      <c r="AD323" s="81">
        <v>1000</v>
      </c>
      <c r="AE323" s="81">
        <f t="shared" si="125"/>
        <v>930.23255813953483</v>
      </c>
      <c r="AF323" s="81">
        <f t="shared" si="114"/>
        <v>801.78787338209349</v>
      </c>
      <c r="AG323" s="83">
        <v>1</v>
      </c>
      <c r="AH323" s="83">
        <v>4.0450999999999997</v>
      </c>
      <c r="AI323" s="83">
        <f t="shared" si="118"/>
        <v>0.80178787338209345</v>
      </c>
      <c r="AJ323" s="81">
        <f t="shared" si="126"/>
        <v>274.66254385443307</v>
      </c>
      <c r="AK323" s="81">
        <f t="shared" si="127"/>
        <v>212.91670066235122</v>
      </c>
      <c r="AL323" s="81">
        <f t="shared" si="116"/>
        <v>76.450417236526548</v>
      </c>
      <c r="AM323" s="83">
        <v>0.05</v>
      </c>
      <c r="AN323" s="83">
        <f t="shared" si="121"/>
        <v>4.7619047619047616E-2</v>
      </c>
      <c r="AO323" s="83">
        <f>(AP323-AM323)/(AH323-AM323)</f>
        <v>8.4027934219418787E-2</v>
      </c>
      <c r="AP323" s="83">
        <v>0.38569999999999999</v>
      </c>
      <c r="AQ323" s="83">
        <f t="shared" si="123"/>
        <v>0.27834307570181138</v>
      </c>
      <c r="AR323" s="77" t="s">
        <v>34</v>
      </c>
    </row>
    <row r="324" spans="1:44" s="10" customFormat="1" ht="15" hidden="1" customHeight="1" x14ac:dyDescent="0.25">
      <c r="A324" s="1">
        <v>323</v>
      </c>
      <c r="B324" s="1">
        <v>2006</v>
      </c>
      <c r="C324" s="28" t="s">
        <v>177</v>
      </c>
      <c r="D324" s="1">
        <v>5</v>
      </c>
      <c r="E324" s="8">
        <v>10</v>
      </c>
      <c r="F324" s="35">
        <v>7</v>
      </c>
      <c r="G324" s="49">
        <v>60</v>
      </c>
      <c r="H324" s="49">
        <v>14</v>
      </c>
      <c r="I324" s="8">
        <v>20</v>
      </c>
      <c r="J324" s="51">
        <v>9.2399999999999996E-2</v>
      </c>
      <c r="K324" s="28" t="s">
        <v>178</v>
      </c>
      <c r="L324" s="28" t="s">
        <v>36</v>
      </c>
      <c r="M324" s="28" t="s">
        <v>34</v>
      </c>
      <c r="N324" s="28" t="s">
        <v>34</v>
      </c>
      <c r="O324" s="28" t="s">
        <v>34</v>
      </c>
      <c r="P324" s="8"/>
      <c r="Q324" s="51">
        <v>34</v>
      </c>
      <c r="R324" s="9"/>
      <c r="S324" s="9">
        <v>4.0266794560591643E-4</v>
      </c>
      <c r="T324" s="9">
        <v>720000000</v>
      </c>
      <c r="U324" s="8">
        <v>2495</v>
      </c>
      <c r="V324" s="9">
        <v>1.7919999999999998E-2</v>
      </c>
      <c r="W324" s="9">
        <v>2.3040000000000001E-2</v>
      </c>
      <c r="X324" s="9">
        <v>0.54900000000000004</v>
      </c>
      <c r="Y324" s="8">
        <v>29.6</v>
      </c>
      <c r="Z324" s="8">
        <v>1075</v>
      </c>
      <c r="AA324" s="8">
        <f t="shared" si="120"/>
        <v>400</v>
      </c>
      <c r="AB324" s="51">
        <f t="shared" si="122"/>
        <v>0.82189116447904176</v>
      </c>
      <c r="AC324" s="51">
        <f t="shared" si="124"/>
        <v>198.21212661790651</v>
      </c>
      <c r="AD324" s="51">
        <v>1000</v>
      </c>
      <c r="AE324" s="51">
        <f t="shared" si="125"/>
        <v>930.23255813953483</v>
      </c>
      <c r="AF324" s="51">
        <f t="shared" si="114"/>
        <v>801.78787338209349</v>
      </c>
      <c r="AG324" s="52">
        <v>1</v>
      </c>
      <c r="AH324" s="52">
        <v>4.0450999999999997</v>
      </c>
      <c r="AI324" s="52">
        <f t="shared" si="118"/>
        <v>0.80178787338209345</v>
      </c>
      <c r="AJ324" s="51">
        <f t="shared" si="126"/>
        <v>270.7379437473985</v>
      </c>
      <c r="AK324" s="51">
        <f t="shared" si="127"/>
        <v>209.87437499798332</v>
      </c>
      <c r="AL324" s="51">
        <f t="shared" si="116"/>
        <v>72.525817129491998</v>
      </c>
      <c r="AM324" s="52">
        <v>0.05</v>
      </c>
      <c r="AN324" s="52">
        <f t="shared" si="121"/>
        <v>4.7619047619047616E-2</v>
      </c>
      <c r="AO324" s="52">
        <f>(AP324-AM324)/(AH324-AM324)</f>
        <v>7.9071863032214473E-2</v>
      </c>
      <c r="AP324" s="52">
        <v>0.3659</v>
      </c>
      <c r="AQ324" s="52">
        <f t="shared" si="123"/>
        <v>0.2678819825755912</v>
      </c>
      <c r="AR324" s="28" t="s">
        <v>34</v>
      </c>
    </row>
    <row r="325" spans="1:44" ht="15" hidden="1" customHeight="1" x14ac:dyDescent="0.25">
      <c r="A325" s="76">
        <v>324</v>
      </c>
      <c r="B325" s="76">
        <v>2006</v>
      </c>
      <c r="C325" s="77" t="s">
        <v>179</v>
      </c>
      <c r="D325" s="76">
        <v>1</v>
      </c>
      <c r="E325" s="78">
        <v>11</v>
      </c>
      <c r="F325" s="74">
        <v>4.75</v>
      </c>
      <c r="G325" s="75">
        <v>55</v>
      </c>
      <c r="H325" s="75">
        <v>10</v>
      </c>
      <c r="I325" s="78">
        <v>20</v>
      </c>
      <c r="J325" s="81">
        <v>0.1031</v>
      </c>
      <c r="K325" s="77" t="s">
        <v>306</v>
      </c>
      <c r="L325" s="77" t="s">
        <v>36</v>
      </c>
      <c r="M325" s="77" t="s">
        <v>34</v>
      </c>
      <c r="N325" s="77" t="s">
        <v>34</v>
      </c>
      <c r="O325" s="77" t="s">
        <v>34</v>
      </c>
      <c r="P325" s="78"/>
      <c r="Q325" s="81">
        <v>75</v>
      </c>
      <c r="R325" s="82"/>
      <c r="S325" s="82">
        <v>5.5407658791541553E-3</v>
      </c>
      <c r="T325" s="82">
        <v>970000000</v>
      </c>
      <c r="U325" s="78">
        <v>1695</v>
      </c>
      <c r="V325" s="82">
        <v>1.7919999999999998E-2</v>
      </c>
      <c r="W325" s="82">
        <v>2.3040000000000001E-2</v>
      </c>
      <c r="X325" s="82">
        <v>0.54900000000000004</v>
      </c>
      <c r="Y325" s="78">
        <v>29.6</v>
      </c>
      <c r="Z325" s="78">
        <v>1075</v>
      </c>
      <c r="AA325" s="78">
        <f t="shared" si="120"/>
        <v>400</v>
      </c>
      <c r="AB325" s="81">
        <f t="shared" si="122"/>
        <v>0.82189116447904176</v>
      </c>
      <c r="AC325" s="81">
        <f t="shared" si="124"/>
        <v>187</v>
      </c>
      <c r="AD325" s="81">
        <v>1000</v>
      </c>
      <c r="AE325" s="81">
        <f t="shared" si="125"/>
        <v>930.23255813953483</v>
      </c>
      <c r="AF325" s="81">
        <f t="shared" si="114"/>
        <v>813</v>
      </c>
      <c r="AG325" s="83">
        <v>1</v>
      </c>
      <c r="AH325" s="83">
        <f t="shared" ref="AH325:AH338" si="128">81.3/18.7</f>
        <v>4.3475935828877006</v>
      </c>
      <c r="AI325" s="83">
        <f t="shared" si="118"/>
        <v>0.81300000000000006</v>
      </c>
      <c r="AJ325" s="81">
        <f t="shared" si="126"/>
        <v>218.77220930232559</v>
      </c>
      <c r="AK325" s="81">
        <f t="shared" si="127"/>
        <v>169.59085992428342</v>
      </c>
      <c r="AL325" s="81">
        <f t="shared" si="116"/>
        <v>31.772209302325589</v>
      </c>
      <c r="AM325" s="83">
        <f t="shared" ref="AM325:AM338" si="129">0.14/0.86</f>
        <v>0.16279069767441862</v>
      </c>
      <c r="AN325" s="83">
        <f t="shared" si="121"/>
        <v>0.14000000000000001</v>
      </c>
      <c r="AO325" s="83">
        <v>1.6999999999999999E-3</v>
      </c>
      <c r="AP325" s="83">
        <f t="shared" ref="AP325:AP356" si="130">AO325*(AH325-AM325)+AM325</f>
        <v>0.1699048625792812</v>
      </c>
      <c r="AQ325" s="83">
        <f t="shared" si="123"/>
        <v>0.14522964047238263</v>
      </c>
      <c r="AR325" s="77" t="s">
        <v>34</v>
      </c>
    </row>
    <row r="326" spans="1:44" ht="15" hidden="1" customHeight="1" x14ac:dyDescent="0.25">
      <c r="A326" s="76">
        <v>325</v>
      </c>
      <c r="B326" s="76">
        <v>2006</v>
      </c>
      <c r="C326" s="77" t="s">
        <v>179</v>
      </c>
      <c r="D326" s="76">
        <v>2</v>
      </c>
      <c r="E326" s="78">
        <v>11</v>
      </c>
      <c r="F326" s="74">
        <v>4.75</v>
      </c>
      <c r="G326" s="75">
        <v>35</v>
      </c>
      <c r="H326" s="75">
        <v>28</v>
      </c>
      <c r="I326" s="78">
        <v>20</v>
      </c>
      <c r="J326" s="81">
        <v>0.1172</v>
      </c>
      <c r="K326" s="77" t="s">
        <v>306</v>
      </c>
      <c r="L326" s="77" t="s">
        <v>36</v>
      </c>
      <c r="M326" s="77" t="s">
        <v>34</v>
      </c>
      <c r="N326" s="77" t="s">
        <v>34</v>
      </c>
      <c r="O326" s="77" t="s">
        <v>34</v>
      </c>
      <c r="P326" s="78"/>
      <c r="Q326" s="81">
        <v>79</v>
      </c>
      <c r="R326" s="82"/>
      <c r="S326" s="82">
        <v>3.9626249165890136E-3</v>
      </c>
      <c r="T326" s="82">
        <v>970000000</v>
      </c>
      <c r="U326" s="78">
        <v>1695</v>
      </c>
      <c r="V326" s="82">
        <v>1.7919999999999998E-2</v>
      </c>
      <c r="W326" s="82">
        <v>2.3040000000000001E-2</v>
      </c>
      <c r="X326" s="82">
        <v>0.54900000000000004</v>
      </c>
      <c r="Y326" s="78">
        <v>29.6</v>
      </c>
      <c r="Z326" s="78">
        <v>1075</v>
      </c>
      <c r="AA326" s="78">
        <f t="shared" si="120"/>
        <v>400</v>
      </c>
      <c r="AB326" s="81">
        <f t="shared" si="122"/>
        <v>0.82189116447904176</v>
      </c>
      <c r="AC326" s="81">
        <f t="shared" si="124"/>
        <v>187</v>
      </c>
      <c r="AD326" s="81">
        <v>1000</v>
      </c>
      <c r="AE326" s="81">
        <f t="shared" si="125"/>
        <v>930.23255813953483</v>
      </c>
      <c r="AF326" s="81">
        <f t="shared" si="114"/>
        <v>813</v>
      </c>
      <c r="AG326" s="83">
        <v>1</v>
      </c>
      <c r="AH326" s="83">
        <f t="shared" si="128"/>
        <v>4.3475935828877006</v>
      </c>
      <c r="AI326" s="83">
        <f t="shared" si="118"/>
        <v>0.81300000000000006</v>
      </c>
      <c r="AJ326" s="81">
        <f t="shared" si="126"/>
        <v>264.48925581395349</v>
      </c>
      <c r="AK326" s="81">
        <f t="shared" si="127"/>
        <v>205.03043086352986</v>
      </c>
      <c r="AL326" s="81">
        <f t="shared" si="116"/>
        <v>77.489255813953491</v>
      </c>
      <c r="AM326" s="83">
        <f t="shared" si="129"/>
        <v>0.16279069767441862</v>
      </c>
      <c r="AN326" s="83">
        <f t="shared" si="121"/>
        <v>0.14000000000000001</v>
      </c>
      <c r="AO326" s="83">
        <v>6.012E-2</v>
      </c>
      <c r="AP326" s="83">
        <f t="shared" si="130"/>
        <v>0.41438104713344109</v>
      </c>
      <c r="AQ326" s="83">
        <f t="shared" si="123"/>
        <v>0.29297695127722251</v>
      </c>
      <c r="AR326" s="77" t="s">
        <v>34</v>
      </c>
    </row>
    <row r="327" spans="1:44" ht="15" hidden="1" customHeight="1" x14ac:dyDescent="0.25">
      <c r="A327" s="76">
        <v>326</v>
      </c>
      <c r="B327" s="76">
        <v>2006</v>
      </c>
      <c r="C327" s="77" t="s">
        <v>179</v>
      </c>
      <c r="D327" s="76">
        <v>3</v>
      </c>
      <c r="E327" s="78">
        <v>11</v>
      </c>
      <c r="F327" s="74">
        <v>1</v>
      </c>
      <c r="G327" s="75">
        <v>55</v>
      </c>
      <c r="H327" s="75">
        <v>10</v>
      </c>
      <c r="I327" s="78">
        <v>20</v>
      </c>
      <c r="J327" s="81">
        <v>8.5000000000000006E-2</v>
      </c>
      <c r="K327" s="77" t="s">
        <v>306</v>
      </c>
      <c r="L327" s="77" t="s">
        <v>36</v>
      </c>
      <c r="M327" s="77" t="s">
        <v>34</v>
      </c>
      <c r="N327" s="77" t="s">
        <v>34</v>
      </c>
      <c r="O327" s="77" t="s">
        <v>34</v>
      </c>
      <c r="P327" s="78"/>
      <c r="Q327" s="81">
        <v>55</v>
      </c>
      <c r="R327" s="82"/>
      <c r="S327" s="82">
        <v>5.5407658791541553E-3</v>
      </c>
      <c r="T327" s="82">
        <v>970000000</v>
      </c>
      <c r="U327" s="78">
        <v>1695</v>
      </c>
      <c r="V327" s="82">
        <v>1.7919999999999998E-2</v>
      </c>
      <c r="W327" s="82">
        <v>2.3040000000000001E-2</v>
      </c>
      <c r="X327" s="82">
        <v>0.54900000000000004</v>
      </c>
      <c r="Y327" s="78">
        <v>29.6</v>
      </c>
      <c r="Z327" s="78">
        <v>1075</v>
      </c>
      <c r="AA327" s="78">
        <f t="shared" si="120"/>
        <v>400</v>
      </c>
      <c r="AB327" s="81">
        <f t="shared" si="122"/>
        <v>0.82189116447904176</v>
      </c>
      <c r="AC327" s="81">
        <f t="shared" si="124"/>
        <v>187</v>
      </c>
      <c r="AD327" s="81">
        <v>1000</v>
      </c>
      <c r="AE327" s="81">
        <f t="shared" si="125"/>
        <v>930.23255813953483</v>
      </c>
      <c r="AF327" s="81">
        <f t="shared" si="114"/>
        <v>813</v>
      </c>
      <c r="AG327" s="83">
        <v>1</v>
      </c>
      <c r="AH327" s="83">
        <f t="shared" si="128"/>
        <v>4.3475935828877006</v>
      </c>
      <c r="AI327" s="83">
        <f t="shared" si="118"/>
        <v>0.81300000000000006</v>
      </c>
      <c r="AJ327" s="81">
        <f t="shared" si="126"/>
        <v>244.92530232558138</v>
      </c>
      <c r="AK327" s="81">
        <f t="shared" si="127"/>
        <v>189.86457544618713</v>
      </c>
      <c r="AL327" s="81">
        <f t="shared" si="116"/>
        <v>57.925302325581391</v>
      </c>
      <c r="AM327" s="83">
        <f t="shared" si="129"/>
        <v>0.16279069767441862</v>
      </c>
      <c r="AN327" s="83">
        <f t="shared" si="121"/>
        <v>0.14000000000000001</v>
      </c>
      <c r="AO327" s="83">
        <v>3.5119999999999998E-2</v>
      </c>
      <c r="AP327" s="83">
        <f t="shared" si="130"/>
        <v>0.30976097500310906</v>
      </c>
      <c r="AQ327" s="83">
        <f t="shared" si="123"/>
        <v>0.23650191211596738</v>
      </c>
      <c r="AR327" s="77" t="s">
        <v>34</v>
      </c>
    </row>
    <row r="328" spans="1:44" ht="15" hidden="1" customHeight="1" x14ac:dyDescent="0.25">
      <c r="A328" s="76">
        <v>327</v>
      </c>
      <c r="B328" s="76">
        <v>2006</v>
      </c>
      <c r="C328" s="77" t="s">
        <v>179</v>
      </c>
      <c r="D328" s="76">
        <v>4</v>
      </c>
      <c r="E328" s="78">
        <v>11</v>
      </c>
      <c r="F328" s="74">
        <v>5</v>
      </c>
      <c r="G328" s="75">
        <v>55</v>
      </c>
      <c r="H328" s="75">
        <v>10</v>
      </c>
      <c r="I328" s="78">
        <v>16</v>
      </c>
      <c r="J328" s="81">
        <v>0.16600000000000001</v>
      </c>
      <c r="K328" s="77" t="s">
        <v>306</v>
      </c>
      <c r="L328" s="77" t="s">
        <v>36</v>
      </c>
      <c r="M328" s="77" t="s">
        <v>34</v>
      </c>
      <c r="N328" s="77" t="s">
        <v>34</v>
      </c>
      <c r="O328" s="77" t="s">
        <v>34</v>
      </c>
      <c r="P328" s="78"/>
      <c r="Q328" s="81">
        <v>84</v>
      </c>
      <c r="R328" s="82"/>
      <c r="S328" s="82">
        <v>5.5407658791541553E-3</v>
      </c>
      <c r="T328" s="82">
        <v>970000000</v>
      </c>
      <c r="U328" s="78">
        <v>1695</v>
      </c>
      <c r="V328" s="82">
        <v>1.7919999999999998E-2</v>
      </c>
      <c r="W328" s="82">
        <v>2.3040000000000001E-2</v>
      </c>
      <c r="X328" s="82">
        <v>0.54900000000000004</v>
      </c>
      <c r="Y328" s="78">
        <v>29.6</v>
      </c>
      <c r="Z328" s="78">
        <v>1075</v>
      </c>
      <c r="AA328" s="78">
        <f t="shared" si="120"/>
        <v>400</v>
      </c>
      <c r="AB328" s="81">
        <f t="shared" si="122"/>
        <v>0.82189116447904176</v>
      </c>
      <c r="AC328" s="81">
        <f t="shared" si="124"/>
        <v>187</v>
      </c>
      <c r="AD328" s="81">
        <v>1000</v>
      </c>
      <c r="AE328" s="81">
        <f t="shared" si="125"/>
        <v>930.23255813953483</v>
      </c>
      <c r="AF328" s="81">
        <f t="shared" si="114"/>
        <v>813</v>
      </c>
      <c r="AG328" s="83">
        <v>1</v>
      </c>
      <c r="AH328" s="83">
        <f t="shared" si="128"/>
        <v>4.3475935828877006</v>
      </c>
      <c r="AI328" s="83">
        <f t="shared" si="118"/>
        <v>0.81300000000000006</v>
      </c>
      <c r="AJ328" s="81">
        <f t="shared" si="126"/>
        <v>217.44186046511629</v>
      </c>
      <c r="AK328" s="81">
        <f t="shared" si="127"/>
        <v>168.55958175590411</v>
      </c>
      <c r="AL328" s="81">
        <f t="shared" si="116"/>
        <v>30.441860465116285</v>
      </c>
      <c r="AM328" s="83">
        <f t="shared" si="129"/>
        <v>0.16279069767441862</v>
      </c>
      <c r="AN328" s="83">
        <f t="shared" si="121"/>
        <v>0.14000000000000001</v>
      </c>
      <c r="AO328" s="83">
        <v>0</v>
      </c>
      <c r="AP328" s="83">
        <f t="shared" si="130"/>
        <v>0.16279069767441862</v>
      </c>
      <c r="AQ328" s="83">
        <f t="shared" si="123"/>
        <v>0.14000000000000001</v>
      </c>
      <c r="AR328" s="77" t="s">
        <v>34</v>
      </c>
    </row>
    <row r="329" spans="1:44" ht="15" hidden="1" customHeight="1" x14ac:dyDescent="0.25">
      <c r="A329" s="76">
        <v>328</v>
      </c>
      <c r="B329" s="76">
        <v>2006</v>
      </c>
      <c r="C329" s="77" t="s">
        <v>179</v>
      </c>
      <c r="D329" s="76">
        <v>5</v>
      </c>
      <c r="E329" s="78">
        <v>11</v>
      </c>
      <c r="F329" s="74">
        <v>4.75</v>
      </c>
      <c r="G329" s="75">
        <v>55</v>
      </c>
      <c r="H329" s="75">
        <v>10</v>
      </c>
      <c r="I329" s="78">
        <v>16</v>
      </c>
      <c r="J329" s="81">
        <v>4.5999999999999999E-2</v>
      </c>
      <c r="K329" s="77" t="s">
        <v>306</v>
      </c>
      <c r="L329" s="77" t="s">
        <v>36</v>
      </c>
      <c r="M329" s="77" t="s">
        <v>34</v>
      </c>
      <c r="N329" s="77" t="s">
        <v>34</v>
      </c>
      <c r="O329" s="77" t="s">
        <v>34</v>
      </c>
      <c r="P329" s="78"/>
      <c r="Q329" s="81">
        <v>53</v>
      </c>
      <c r="R329" s="82"/>
      <c r="S329" s="82">
        <v>5.5407658791541553E-3</v>
      </c>
      <c r="T329" s="82">
        <v>970000000</v>
      </c>
      <c r="U329" s="78">
        <v>1695</v>
      </c>
      <c r="V329" s="82">
        <v>1.7919999999999998E-2</v>
      </c>
      <c r="W329" s="82">
        <v>2.3040000000000001E-2</v>
      </c>
      <c r="X329" s="82">
        <v>0.54900000000000004</v>
      </c>
      <c r="Y329" s="78">
        <v>29.6</v>
      </c>
      <c r="Z329" s="78">
        <v>1075</v>
      </c>
      <c r="AA329" s="78">
        <f t="shared" si="120"/>
        <v>400</v>
      </c>
      <c r="AB329" s="81">
        <f t="shared" si="122"/>
        <v>0.82189116447904176</v>
      </c>
      <c r="AC329" s="81">
        <f t="shared" si="124"/>
        <v>187</v>
      </c>
      <c r="AD329" s="81">
        <v>1000</v>
      </c>
      <c r="AE329" s="81">
        <f t="shared" si="125"/>
        <v>930.23255813953483</v>
      </c>
      <c r="AF329" s="81">
        <f t="shared" si="114"/>
        <v>813</v>
      </c>
      <c r="AG329" s="83">
        <v>1</v>
      </c>
      <c r="AH329" s="83">
        <f t="shared" si="128"/>
        <v>4.3475935828877006</v>
      </c>
      <c r="AI329" s="83">
        <f t="shared" si="118"/>
        <v>0.81300000000000006</v>
      </c>
      <c r="AJ329" s="81">
        <f t="shared" si="126"/>
        <v>217.44186046511629</v>
      </c>
      <c r="AK329" s="81">
        <f t="shared" si="127"/>
        <v>168.55958175590411</v>
      </c>
      <c r="AL329" s="81">
        <f t="shared" si="116"/>
        <v>30.441860465116285</v>
      </c>
      <c r="AM329" s="83">
        <f t="shared" si="129"/>
        <v>0.16279069767441862</v>
      </c>
      <c r="AN329" s="83">
        <f t="shared" si="121"/>
        <v>0.14000000000000001</v>
      </c>
      <c r="AO329" s="83">
        <v>0</v>
      </c>
      <c r="AP329" s="83">
        <f t="shared" si="130"/>
        <v>0.16279069767441862</v>
      </c>
      <c r="AQ329" s="83">
        <f t="shared" si="123"/>
        <v>0.14000000000000001</v>
      </c>
      <c r="AR329" s="77" t="s">
        <v>34</v>
      </c>
    </row>
    <row r="330" spans="1:44" ht="15" hidden="1" customHeight="1" x14ac:dyDescent="0.25">
      <c r="A330" s="76">
        <v>329</v>
      </c>
      <c r="B330" s="76">
        <v>2006</v>
      </c>
      <c r="C330" s="77" t="s">
        <v>179</v>
      </c>
      <c r="D330" s="76">
        <v>6</v>
      </c>
      <c r="E330" s="78">
        <v>11</v>
      </c>
      <c r="F330" s="74">
        <v>3</v>
      </c>
      <c r="G330" s="75">
        <v>55</v>
      </c>
      <c r="H330" s="75">
        <v>10</v>
      </c>
      <c r="I330" s="78">
        <v>20</v>
      </c>
      <c r="J330" s="81">
        <v>5.6800000000000003E-2</v>
      </c>
      <c r="K330" s="77" t="s">
        <v>306</v>
      </c>
      <c r="L330" s="77" t="s">
        <v>36</v>
      </c>
      <c r="M330" s="77" t="s">
        <v>34</v>
      </c>
      <c r="N330" s="77" t="s">
        <v>34</v>
      </c>
      <c r="O330" s="77" t="s">
        <v>34</v>
      </c>
      <c r="P330" s="78"/>
      <c r="Q330" s="81">
        <v>71</v>
      </c>
      <c r="R330" s="82"/>
      <c r="S330" s="82">
        <v>5.5407658791541553E-3</v>
      </c>
      <c r="T330" s="82">
        <v>970000000</v>
      </c>
      <c r="U330" s="78">
        <v>1695</v>
      </c>
      <c r="V330" s="82">
        <v>1.7919999999999998E-2</v>
      </c>
      <c r="W330" s="82">
        <v>2.3040000000000001E-2</v>
      </c>
      <c r="X330" s="82">
        <v>0.54900000000000004</v>
      </c>
      <c r="Y330" s="78">
        <v>29.6</v>
      </c>
      <c r="Z330" s="78">
        <v>1075</v>
      </c>
      <c r="AA330" s="78">
        <f t="shared" si="120"/>
        <v>400</v>
      </c>
      <c r="AB330" s="81">
        <f t="shared" si="122"/>
        <v>0.82189116447904176</v>
      </c>
      <c r="AC330" s="81">
        <f t="shared" si="124"/>
        <v>187</v>
      </c>
      <c r="AD330" s="81">
        <v>1000</v>
      </c>
      <c r="AE330" s="81">
        <f t="shared" si="125"/>
        <v>930.23255813953483</v>
      </c>
      <c r="AF330" s="81">
        <f t="shared" si="114"/>
        <v>813</v>
      </c>
      <c r="AG330" s="83">
        <v>1</v>
      </c>
      <c r="AH330" s="83">
        <f t="shared" si="128"/>
        <v>4.3475935828877006</v>
      </c>
      <c r="AI330" s="83">
        <f t="shared" si="118"/>
        <v>0.81300000000000006</v>
      </c>
      <c r="AJ330" s="81">
        <f t="shared" si="126"/>
        <v>217.44186046511629</v>
      </c>
      <c r="AK330" s="81">
        <f t="shared" si="127"/>
        <v>168.55958175590411</v>
      </c>
      <c r="AL330" s="81">
        <f t="shared" si="116"/>
        <v>30.441860465116285</v>
      </c>
      <c r="AM330" s="83">
        <f t="shared" si="129"/>
        <v>0.16279069767441862</v>
      </c>
      <c r="AN330" s="83">
        <f t="shared" si="121"/>
        <v>0.14000000000000001</v>
      </c>
      <c r="AO330" s="83">
        <v>0</v>
      </c>
      <c r="AP330" s="83">
        <f t="shared" si="130"/>
        <v>0.16279069767441862</v>
      </c>
      <c r="AQ330" s="83">
        <f t="shared" si="123"/>
        <v>0.14000000000000001</v>
      </c>
      <c r="AR330" s="77" t="s">
        <v>34</v>
      </c>
    </row>
    <row r="331" spans="1:44" ht="15" hidden="1" customHeight="1" x14ac:dyDescent="0.25">
      <c r="A331" s="76">
        <v>330</v>
      </c>
      <c r="B331" s="76">
        <v>2006</v>
      </c>
      <c r="C331" s="77" t="s">
        <v>179</v>
      </c>
      <c r="D331" s="76">
        <v>7</v>
      </c>
      <c r="E331" s="78">
        <v>11</v>
      </c>
      <c r="F331" s="74">
        <v>4.75</v>
      </c>
      <c r="G331" s="75">
        <v>55</v>
      </c>
      <c r="H331" s="75">
        <v>10</v>
      </c>
      <c r="I331" s="78">
        <v>20</v>
      </c>
      <c r="J331" s="81">
        <v>2.4500000000000001E-2</v>
      </c>
      <c r="K331" s="77" t="s">
        <v>306</v>
      </c>
      <c r="L331" s="77" t="s">
        <v>36</v>
      </c>
      <c r="M331" s="77" t="s">
        <v>34</v>
      </c>
      <c r="N331" s="77" t="s">
        <v>34</v>
      </c>
      <c r="O331" s="77" t="s">
        <v>34</v>
      </c>
      <c r="P331" s="78"/>
      <c r="Q331" s="81">
        <v>39</v>
      </c>
      <c r="R331" s="82"/>
      <c r="S331" s="82">
        <v>5.5407658791541553E-3</v>
      </c>
      <c r="T331" s="82">
        <v>970000000</v>
      </c>
      <c r="U331" s="78">
        <v>1695</v>
      </c>
      <c r="V331" s="82">
        <v>1.7919999999999998E-2</v>
      </c>
      <c r="W331" s="82">
        <v>2.3040000000000001E-2</v>
      </c>
      <c r="X331" s="82">
        <v>0.54900000000000004</v>
      </c>
      <c r="Y331" s="78">
        <v>29.6</v>
      </c>
      <c r="Z331" s="78">
        <v>1075</v>
      </c>
      <c r="AA331" s="78">
        <f t="shared" si="120"/>
        <v>400</v>
      </c>
      <c r="AB331" s="81">
        <f t="shared" si="122"/>
        <v>0.82189116447904176</v>
      </c>
      <c r="AC331" s="81">
        <f t="shared" si="124"/>
        <v>187</v>
      </c>
      <c r="AD331" s="81">
        <v>1000</v>
      </c>
      <c r="AE331" s="81">
        <f t="shared" si="125"/>
        <v>930.23255813953483</v>
      </c>
      <c r="AF331" s="81">
        <f t="shared" si="114"/>
        <v>813</v>
      </c>
      <c r="AG331" s="83">
        <v>1</v>
      </c>
      <c r="AH331" s="83">
        <f t="shared" si="128"/>
        <v>4.3475935828877006</v>
      </c>
      <c r="AI331" s="83">
        <f t="shared" si="118"/>
        <v>0.81300000000000006</v>
      </c>
      <c r="AJ331" s="81">
        <f t="shared" si="126"/>
        <v>217.44186046511629</v>
      </c>
      <c r="AK331" s="81">
        <f t="shared" si="127"/>
        <v>168.55958175590411</v>
      </c>
      <c r="AL331" s="81">
        <f t="shared" si="116"/>
        <v>30.441860465116285</v>
      </c>
      <c r="AM331" s="83">
        <f t="shared" si="129"/>
        <v>0.16279069767441862</v>
      </c>
      <c r="AN331" s="83">
        <f t="shared" si="121"/>
        <v>0.14000000000000001</v>
      </c>
      <c r="AO331" s="83">
        <v>0</v>
      </c>
      <c r="AP331" s="83">
        <f t="shared" si="130"/>
        <v>0.16279069767441862</v>
      </c>
      <c r="AQ331" s="83">
        <f t="shared" si="123"/>
        <v>0.14000000000000001</v>
      </c>
      <c r="AR331" s="77" t="s">
        <v>34</v>
      </c>
    </row>
    <row r="332" spans="1:44" ht="15" hidden="1" customHeight="1" x14ac:dyDescent="0.25">
      <c r="A332" s="76">
        <v>331</v>
      </c>
      <c r="B332" s="76">
        <v>2006</v>
      </c>
      <c r="C332" s="77" t="s">
        <v>179</v>
      </c>
      <c r="D332" s="76">
        <v>8</v>
      </c>
      <c r="E332" s="78">
        <v>11</v>
      </c>
      <c r="F332" s="74">
        <v>3</v>
      </c>
      <c r="G332" s="75">
        <v>55</v>
      </c>
      <c r="H332" s="75">
        <v>10</v>
      </c>
      <c r="I332" s="78">
        <v>20</v>
      </c>
      <c r="J332" s="81">
        <v>0.1089</v>
      </c>
      <c r="K332" s="77" t="s">
        <v>306</v>
      </c>
      <c r="L332" s="77" t="s">
        <v>36</v>
      </c>
      <c r="M332" s="77" t="s">
        <v>34</v>
      </c>
      <c r="N332" s="77" t="s">
        <v>34</v>
      </c>
      <c r="O332" s="77" t="s">
        <v>34</v>
      </c>
      <c r="P332" s="78"/>
      <c r="Q332" s="81">
        <v>59</v>
      </c>
      <c r="R332" s="82"/>
      <c r="S332" s="82">
        <v>5.5407658791541553E-3</v>
      </c>
      <c r="T332" s="82">
        <v>970000000</v>
      </c>
      <c r="U332" s="78">
        <v>1695</v>
      </c>
      <c r="V332" s="82">
        <v>1.7919999999999998E-2</v>
      </c>
      <c r="W332" s="82">
        <v>2.3040000000000001E-2</v>
      </c>
      <c r="X332" s="82">
        <v>0.54900000000000004</v>
      </c>
      <c r="Y332" s="78">
        <v>29.6</v>
      </c>
      <c r="Z332" s="78">
        <v>1075</v>
      </c>
      <c r="AA332" s="78">
        <f t="shared" si="120"/>
        <v>400</v>
      </c>
      <c r="AB332" s="81">
        <f t="shared" si="122"/>
        <v>0.82189116447904176</v>
      </c>
      <c r="AC332" s="81">
        <f t="shared" si="124"/>
        <v>187</v>
      </c>
      <c r="AD332" s="81">
        <v>1000</v>
      </c>
      <c r="AE332" s="81">
        <f t="shared" si="125"/>
        <v>930.23255813953483</v>
      </c>
      <c r="AF332" s="81">
        <f t="shared" si="114"/>
        <v>813</v>
      </c>
      <c r="AG332" s="83">
        <v>1</v>
      </c>
      <c r="AH332" s="83">
        <f t="shared" si="128"/>
        <v>4.3475935828877006</v>
      </c>
      <c r="AI332" s="83">
        <f t="shared" si="118"/>
        <v>0.81300000000000006</v>
      </c>
      <c r="AJ332" s="81">
        <f t="shared" si="126"/>
        <v>217.44186046511629</v>
      </c>
      <c r="AK332" s="81">
        <f t="shared" si="127"/>
        <v>168.55958175590411</v>
      </c>
      <c r="AL332" s="81">
        <f t="shared" si="116"/>
        <v>30.441860465116285</v>
      </c>
      <c r="AM332" s="83">
        <f t="shared" si="129"/>
        <v>0.16279069767441862</v>
      </c>
      <c r="AN332" s="83">
        <f t="shared" si="121"/>
        <v>0.14000000000000001</v>
      </c>
      <c r="AO332" s="83">
        <v>0</v>
      </c>
      <c r="AP332" s="83">
        <f t="shared" si="130"/>
        <v>0.16279069767441862</v>
      </c>
      <c r="AQ332" s="83">
        <f t="shared" si="123"/>
        <v>0.14000000000000001</v>
      </c>
      <c r="AR332" s="77" t="s">
        <v>34</v>
      </c>
    </row>
    <row r="333" spans="1:44" ht="15" hidden="1" customHeight="1" x14ac:dyDescent="0.25">
      <c r="A333" s="76">
        <v>332</v>
      </c>
      <c r="B333" s="76">
        <v>2006</v>
      </c>
      <c r="C333" s="77" t="s">
        <v>179</v>
      </c>
      <c r="D333" s="76">
        <v>9</v>
      </c>
      <c r="E333" s="78">
        <v>12</v>
      </c>
      <c r="F333" s="74">
        <v>5</v>
      </c>
      <c r="G333" s="75">
        <v>50</v>
      </c>
      <c r="H333" s="75">
        <v>13</v>
      </c>
      <c r="I333" s="78">
        <v>21</v>
      </c>
      <c r="J333" s="81">
        <v>0.22789999999999999</v>
      </c>
      <c r="K333" s="77" t="s">
        <v>306</v>
      </c>
      <c r="L333" s="77" t="s">
        <v>36</v>
      </c>
      <c r="M333" s="77" t="s">
        <v>34</v>
      </c>
      <c r="N333" s="77" t="s">
        <v>34</v>
      </c>
      <c r="O333" s="77" t="s">
        <v>34</v>
      </c>
      <c r="P333" s="78"/>
      <c r="Q333" s="81">
        <v>90</v>
      </c>
      <c r="R333" s="82"/>
      <c r="S333" s="82">
        <v>5.1151986473394863E-3</v>
      </c>
      <c r="T333" s="82">
        <v>970000000</v>
      </c>
      <c r="U333" s="78">
        <v>1695</v>
      </c>
      <c r="V333" s="82">
        <v>1.7919999999999998E-2</v>
      </c>
      <c r="W333" s="82">
        <v>2.3040000000000001E-2</v>
      </c>
      <c r="X333" s="82">
        <v>0.54900000000000004</v>
      </c>
      <c r="Y333" s="78">
        <v>29.6</v>
      </c>
      <c r="Z333" s="78">
        <v>1075</v>
      </c>
      <c r="AA333" s="78">
        <f t="shared" si="120"/>
        <v>400</v>
      </c>
      <c r="AB333" s="81">
        <f t="shared" si="122"/>
        <v>0.82189116447904176</v>
      </c>
      <c r="AC333" s="81">
        <f t="shared" si="124"/>
        <v>187</v>
      </c>
      <c r="AD333" s="81">
        <v>1000</v>
      </c>
      <c r="AE333" s="81">
        <f t="shared" si="125"/>
        <v>930.23255813953483</v>
      </c>
      <c r="AF333" s="81">
        <f t="shared" si="114"/>
        <v>813</v>
      </c>
      <c r="AG333" s="83">
        <v>1</v>
      </c>
      <c r="AH333" s="83">
        <f t="shared" si="128"/>
        <v>4.3475935828877006</v>
      </c>
      <c r="AI333" s="83">
        <f t="shared" si="118"/>
        <v>0.81300000000000006</v>
      </c>
      <c r="AJ333" s="81">
        <f t="shared" si="126"/>
        <v>229.45412790697674</v>
      </c>
      <c r="AK333" s="81">
        <f t="shared" si="127"/>
        <v>177.87141698215251</v>
      </c>
      <c r="AL333" s="81">
        <f t="shared" si="116"/>
        <v>42.454127906976744</v>
      </c>
      <c r="AM333" s="83">
        <f t="shared" si="129"/>
        <v>0.16279069767441862</v>
      </c>
      <c r="AN333" s="83">
        <f t="shared" si="121"/>
        <v>0.14000000000000001</v>
      </c>
      <c r="AO333" s="83">
        <v>1.5350000000000001E-2</v>
      </c>
      <c r="AP333" s="83">
        <f t="shared" si="130"/>
        <v>0.22702742196244249</v>
      </c>
      <c r="AQ333" s="83">
        <f t="shared" si="123"/>
        <v>0.18502228874343077</v>
      </c>
      <c r="AR333" s="77" t="s">
        <v>34</v>
      </c>
    </row>
    <row r="334" spans="1:44" ht="15" hidden="1" customHeight="1" x14ac:dyDescent="0.25">
      <c r="A334" s="76">
        <v>333</v>
      </c>
      <c r="B334" s="76">
        <v>2006</v>
      </c>
      <c r="C334" s="77" t="s">
        <v>179</v>
      </c>
      <c r="D334" s="76">
        <v>10</v>
      </c>
      <c r="E334" s="78">
        <v>12</v>
      </c>
      <c r="F334" s="74">
        <v>2.5</v>
      </c>
      <c r="G334" s="75">
        <v>50</v>
      </c>
      <c r="H334" s="75">
        <v>13</v>
      </c>
      <c r="I334" s="78">
        <v>21</v>
      </c>
      <c r="J334" s="81">
        <v>0.1915</v>
      </c>
      <c r="K334" s="77" t="s">
        <v>306</v>
      </c>
      <c r="L334" s="77" t="s">
        <v>36</v>
      </c>
      <c r="M334" s="77" t="s">
        <v>34</v>
      </c>
      <c r="N334" s="77" t="s">
        <v>34</v>
      </c>
      <c r="O334" s="77" t="s">
        <v>34</v>
      </c>
      <c r="P334" s="78"/>
      <c r="Q334" s="81">
        <v>104</v>
      </c>
      <c r="R334" s="82"/>
      <c r="S334" s="82">
        <v>5.1151986473394863E-3</v>
      </c>
      <c r="T334" s="82">
        <v>970000000</v>
      </c>
      <c r="U334" s="78">
        <v>1695</v>
      </c>
      <c r="V334" s="82">
        <v>1.7919999999999998E-2</v>
      </c>
      <c r="W334" s="82">
        <v>2.3040000000000001E-2</v>
      </c>
      <c r="X334" s="82">
        <v>0.54900000000000004</v>
      </c>
      <c r="Y334" s="78">
        <v>29.6</v>
      </c>
      <c r="Z334" s="78">
        <v>1075</v>
      </c>
      <c r="AA334" s="78">
        <f t="shared" si="120"/>
        <v>400</v>
      </c>
      <c r="AB334" s="81">
        <f t="shared" si="122"/>
        <v>0.82189116447904176</v>
      </c>
      <c r="AC334" s="81">
        <f t="shared" si="124"/>
        <v>187</v>
      </c>
      <c r="AD334" s="81">
        <v>1000</v>
      </c>
      <c r="AE334" s="81">
        <f t="shared" si="125"/>
        <v>930.23255813953483</v>
      </c>
      <c r="AF334" s="81">
        <f t="shared" si="114"/>
        <v>813</v>
      </c>
      <c r="AG334" s="83">
        <v>1</v>
      </c>
      <c r="AH334" s="83">
        <f t="shared" si="128"/>
        <v>4.3475935828877006</v>
      </c>
      <c r="AI334" s="83">
        <f t="shared" si="118"/>
        <v>0.81300000000000006</v>
      </c>
      <c r="AJ334" s="81">
        <f t="shared" si="126"/>
        <v>217.82531395348838</v>
      </c>
      <c r="AK334" s="81">
        <f t="shared" si="127"/>
        <v>168.85683252208401</v>
      </c>
      <c r="AL334" s="81">
        <f t="shared" si="116"/>
        <v>30.825313953488372</v>
      </c>
      <c r="AM334" s="83">
        <f t="shared" si="129"/>
        <v>0.16279069767441862</v>
      </c>
      <c r="AN334" s="83">
        <f t="shared" si="121"/>
        <v>0.14000000000000001</v>
      </c>
      <c r="AO334" s="83">
        <v>4.8999999999999998E-4</v>
      </c>
      <c r="AP334" s="83">
        <f t="shared" si="130"/>
        <v>0.16484125108817313</v>
      </c>
      <c r="AQ334" s="83">
        <f t="shared" si="123"/>
        <v>0.14151391954412798</v>
      </c>
      <c r="AR334" s="77" t="s">
        <v>34</v>
      </c>
    </row>
    <row r="335" spans="1:44" ht="15" hidden="1" customHeight="1" x14ac:dyDescent="0.25">
      <c r="A335" s="76">
        <v>334</v>
      </c>
      <c r="B335" s="76">
        <v>2006</v>
      </c>
      <c r="C335" s="77" t="s">
        <v>179</v>
      </c>
      <c r="D335" s="76">
        <v>11</v>
      </c>
      <c r="E335" s="78">
        <v>12</v>
      </c>
      <c r="F335" s="74">
        <v>1</v>
      </c>
      <c r="G335" s="75">
        <v>50</v>
      </c>
      <c r="H335" s="75">
        <v>13</v>
      </c>
      <c r="I335" s="78">
        <v>21</v>
      </c>
      <c r="J335" s="81">
        <v>0.254</v>
      </c>
      <c r="K335" s="77" t="s">
        <v>306</v>
      </c>
      <c r="L335" s="77" t="s">
        <v>36</v>
      </c>
      <c r="M335" s="77" t="s">
        <v>34</v>
      </c>
      <c r="N335" s="77" t="s">
        <v>34</v>
      </c>
      <c r="O335" s="77" t="s">
        <v>34</v>
      </c>
      <c r="P335" s="78"/>
      <c r="Q335" s="81">
        <v>110</v>
      </c>
      <c r="R335" s="82"/>
      <c r="S335" s="82">
        <v>5.1151986473394863E-3</v>
      </c>
      <c r="T335" s="82">
        <v>970000000</v>
      </c>
      <c r="U335" s="78">
        <v>1695</v>
      </c>
      <c r="V335" s="82">
        <v>1.7919999999999998E-2</v>
      </c>
      <c r="W335" s="82">
        <v>2.3040000000000001E-2</v>
      </c>
      <c r="X335" s="82">
        <v>0.54900000000000004</v>
      </c>
      <c r="Y335" s="78">
        <v>29.6</v>
      </c>
      <c r="Z335" s="78">
        <v>1075</v>
      </c>
      <c r="AA335" s="78">
        <f t="shared" si="120"/>
        <v>400</v>
      </c>
      <c r="AB335" s="81">
        <f t="shared" si="122"/>
        <v>0.82189116447904176</v>
      </c>
      <c r="AC335" s="81">
        <f t="shared" si="124"/>
        <v>187</v>
      </c>
      <c r="AD335" s="81">
        <v>1000</v>
      </c>
      <c r="AE335" s="81">
        <f t="shared" si="125"/>
        <v>930.23255813953483</v>
      </c>
      <c r="AF335" s="81">
        <f t="shared" si="114"/>
        <v>813</v>
      </c>
      <c r="AG335" s="83">
        <v>1</v>
      </c>
      <c r="AH335" s="83">
        <f t="shared" si="128"/>
        <v>4.3475935828877006</v>
      </c>
      <c r="AI335" s="83">
        <f t="shared" si="118"/>
        <v>0.81300000000000006</v>
      </c>
      <c r="AJ335" s="81">
        <f t="shared" si="126"/>
        <v>218.45136046511627</v>
      </c>
      <c r="AK335" s="81">
        <f t="shared" si="127"/>
        <v>169.34213989543898</v>
      </c>
      <c r="AL335" s="81">
        <f t="shared" si="116"/>
        <v>31.451360465116284</v>
      </c>
      <c r="AM335" s="83">
        <f t="shared" si="129"/>
        <v>0.16279069767441862</v>
      </c>
      <c r="AN335" s="83">
        <f t="shared" si="121"/>
        <v>0.14000000000000001</v>
      </c>
      <c r="AO335" s="83">
        <v>1.2899999999999999E-3</v>
      </c>
      <c r="AP335" s="83">
        <f t="shared" si="130"/>
        <v>0.16818909339634375</v>
      </c>
      <c r="AQ335" s="83">
        <f t="shared" si="123"/>
        <v>0.14397420276143641</v>
      </c>
      <c r="AR335" s="77" t="s">
        <v>34</v>
      </c>
    </row>
    <row r="336" spans="1:44" ht="15" hidden="1" customHeight="1" x14ac:dyDescent="0.25">
      <c r="A336" s="76">
        <v>335</v>
      </c>
      <c r="B336" s="76">
        <v>2006</v>
      </c>
      <c r="C336" s="77" t="s">
        <v>179</v>
      </c>
      <c r="D336" s="76">
        <v>12</v>
      </c>
      <c r="E336" s="78">
        <v>9</v>
      </c>
      <c r="F336" s="74">
        <v>5</v>
      </c>
      <c r="G336" s="75">
        <v>50</v>
      </c>
      <c r="H336" s="75">
        <v>13</v>
      </c>
      <c r="I336" s="78">
        <v>16</v>
      </c>
      <c r="J336" s="81">
        <v>7.9799999999999996E-2</v>
      </c>
      <c r="K336" s="77" t="s">
        <v>306</v>
      </c>
      <c r="L336" s="77" t="s">
        <v>36</v>
      </c>
      <c r="M336" s="77" t="s">
        <v>34</v>
      </c>
      <c r="N336" s="77" t="s">
        <v>34</v>
      </c>
      <c r="O336" s="77" t="s">
        <v>34</v>
      </c>
      <c r="P336" s="78"/>
      <c r="Q336" s="81">
        <v>89</v>
      </c>
      <c r="R336" s="82"/>
      <c r="S336" s="82">
        <v>5.1151986473394863E-3</v>
      </c>
      <c r="T336" s="82">
        <v>970000000</v>
      </c>
      <c r="U336" s="78">
        <v>1695</v>
      </c>
      <c r="V336" s="82">
        <v>1.7919999999999998E-2</v>
      </c>
      <c r="W336" s="82">
        <v>2.3040000000000001E-2</v>
      </c>
      <c r="X336" s="82">
        <v>0.54900000000000004</v>
      </c>
      <c r="Y336" s="78">
        <v>29.6</v>
      </c>
      <c r="Z336" s="78">
        <v>1075</v>
      </c>
      <c r="AA336" s="78">
        <f t="shared" si="120"/>
        <v>400</v>
      </c>
      <c r="AB336" s="81">
        <f t="shared" si="122"/>
        <v>0.82189116447904176</v>
      </c>
      <c r="AC336" s="81">
        <f t="shared" si="124"/>
        <v>187</v>
      </c>
      <c r="AD336" s="81">
        <v>1000</v>
      </c>
      <c r="AE336" s="81">
        <f t="shared" si="125"/>
        <v>930.23255813953483</v>
      </c>
      <c r="AF336" s="81">
        <f t="shared" si="114"/>
        <v>813</v>
      </c>
      <c r="AG336" s="83">
        <v>1</v>
      </c>
      <c r="AH336" s="83">
        <f t="shared" si="128"/>
        <v>4.3475935828877006</v>
      </c>
      <c r="AI336" s="83">
        <f t="shared" ref="AI336:AI356" si="131">AH336/(AH336+1)</f>
        <v>0.81300000000000006</v>
      </c>
      <c r="AJ336" s="81">
        <f t="shared" si="126"/>
        <v>217.44186046511629</v>
      </c>
      <c r="AK336" s="81">
        <f t="shared" si="127"/>
        <v>168.55958175590411</v>
      </c>
      <c r="AL336" s="81">
        <f t="shared" si="116"/>
        <v>30.441860465116285</v>
      </c>
      <c r="AM336" s="83">
        <f t="shared" si="129"/>
        <v>0.16279069767441862</v>
      </c>
      <c r="AN336" s="83">
        <f t="shared" si="121"/>
        <v>0.14000000000000001</v>
      </c>
      <c r="AO336" s="83">
        <v>0</v>
      </c>
      <c r="AP336" s="83">
        <f t="shared" si="130"/>
        <v>0.16279069767441862</v>
      </c>
      <c r="AQ336" s="83">
        <f t="shared" si="123"/>
        <v>0.14000000000000001</v>
      </c>
      <c r="AR336" s="77" t="s">
        <v>34</v>
      </c>
    </row>
    <row r="337" spans="1:44" ht="15" hidden="1" customHeight="1" x14ac:dyDescent="0.25">
      <c r="A337" s="76">
        <v>336</v>
      </c>
      <c r="B337" s="76">
        <v>2006</v>
      </c>
      <c r="C337" s="77" t="s">
        <v>179</v>
      </c>
      <c r="D337" s="76">
        <v>13</v>
      </c>
      <c r="E337" s="78">
        <v>9</v>
      </c>
      <c r="F337" s="74">
        <v>2.5</v>
      </c>
      <c r="G337" s="75">
        <v>50</v>
      </c>
      <c r="H337" s="75">
        <v>13</v>
      </c>
      <c r="I337" s="78">
        <v>16</v>
      </c>
      <c r="J337" s="81">
        <v>5.6500000000000002E-2</v>
      </c>
      <c r="K337" s="77" t="s">
        <v>306</v>
      </c>
      <c r="L337" s="77" t="s">
        <v>36</v>
      </c>
      <c r="M337" s="77" t="s">
        <v>34</v>
      </c>
      <c r="N337" s="77" t="s">
        <v>34</v>
      </c>
      <c r="O337" s="77" t="s">
        <v>34</v>
      </c>
      <c r="P337" s="78"/>
      <c r="Q337" s="81">
        <v>95</v>
      </c>
      <c r="R337" s="82"/>
      <c r="S337" s="82">
        <v>5.1151986473394863E-3</v>
      </c>
      <c r="T337" s="82">
        <v>970000000</v>
      </c>
      <c r="U337" s="78">
        <v>1695</v>
      </c>
      <c r="V337" s="82">
        <v>1.7919999999999998E-2</v>
      </c>
      <c r="W337" s="82">
        <v>2.3040000000000001E-2</v>
      </c>
      <c r="X337" s="82">
        <v>0.54900000000000004</v>
      </c>
      <c r="Y337" s="78">
        <v>29.6</v>
      </c>
      <c r="Z337" s="78">
        <v>1075</v>
      </c>
      <c r="AA337" s="78">
        <f t="shared" si="120"/>
        <v>400</v>
      </c>
      <c r="AB337" s="81">
        <f t="shared" si="122"/>
        <v>0.82189116447904176</v>
      </c>
      <c r="AC337" s="81">
        <f t="shared" si="124"/>
        <v>187</v>
      </c>
      <c r="AD337" s="81">
        <v>1000</v>
      </c>
      <c r="AE337" s="81">
        <f t="shared" si="125"/>
        <v>930.23255813953483</v>
      </c>
      <c r="AF337" s="81">
        <f t="shared" si="114"/>
        <v>813</v>
      </c>
      <c r="AG337" s="83">
        <v>1</v>
      </c>
      <c r="AH337" s="83">
        <f t="shared" si="128"/>
        <v>4.3475935828877006</v>
      </c>
      <c r="AI337" s="83">
        <f t="shared" si="131"/>
        <v>0.81300000000000006</v>
      </c>
      <c r="AJ337" s="81">
        <f t="shared" si="126"/>
        <v>217.44186046511629</v>
      </c>
      <c r="AK337" s="81">
        <f t="shared" si="127"/>
        <v>168.55958175590411</v>
      </c>
      <c r="AL337" s="81">
        <f t="shared" si="116"/>
        <v>30.441860465116285</v>
      </c>
      <c r="AM337" s="83">
        <f t="shared" si="129"/>
        <v>0.16279069767441862</v>
      </c>
      <c r="AN337" s="83">
        <f t="shared" si="121"/>
        <v>0.14000000000000001</v>
      </c>
      <c r="AO337" s="83">
        <v>0</v>
      </c>
      <c r="AP337" s="83">
        <f t="shared" si="130"/>
        <v>0.16279069767441862</v>
      </c>
      <c r="AQ337" s="83">
        <f t="shared" si="123"/>
        <v>0.14000000000000001</v>
      </c>
      <c r="AR337" s="77" t="s">
        <v>34</v>
      </c>
    </row>
    <row r="338" spans="1:44" s="10" customFormat="1" ht="15" hidden="1" customHeight="1" x14ac:dyDescent="0.25">
      <c r="A338" s="1">
        <v>337</v>
      </c>
      <c r="B338" s="1">
        <v>2006</v>
      </c>
      <c r="C338" s="28" t="s">
        <v>179</v>
      </c>
      <c r="D338" s="1">
        <v>14</v>
      </c>
      <c r="E338" s="8">
        <v>9</v>
      </c>
      <c r="F338" s="35">
        <v>1</v>
      </c>
      <c r="G338" s="59">
        <v>50</v>
      </c>
      <c r="H338" s="59">
        <v>13</v>
      </c>
      <c r="I338" s="8">
        <v>16</v>
      </c>
      <c r="J338" s="51">
        <v>8.9399999999999993E-2</v>
      </c>
      <c r="K338" s="28" t="s">
        <v>306</v>
      </c>
      <c r="L338" s="28" t="s">
        <v>36</v>
      </c>
      <c r="M338" s="28" t="s">
        <v>34</v>
      </c>
      <c r="N338" s="28" t="s">
        <v>34</v>
      </c>
      <c r="O338" s="28" t="s">
        <v>34</v>
      </c>
      <c r="P338" s="8"/>
      <c r="Q338" s="51">
        <v>87</v>
      </c>
      <c r="R338" s="9"/>
      <c r="S338" s="9">
        <v>5.1151986473394863E-3</v>
      </c>
      <c r="T338" s="9">
        <v>970000000</v>
      </c>
      <c r="U338" s="8">
        <v>1695</v>
      </c>
      <c r="V338" s="9">
        <v>1.7919999999999998E-2</v>
      </c>
      <c r="W338" s="9">
        <v>2.3040000000000001E-2</v>
      </c>
      <c r="X338" s="9">
        <v>0.54900000000000004</v>
      </c>
      <c r="Y338" s="8">
        <v>29.6</v>
      </c>
      <c r="Z338" s="8">
        <v>1075</v>
      </c>
      <c r="AA338" s="8">
        <f t="shared" si="120"/>
        <v>400</v>
      </c>
      <c r="AB338" s="51">
        <f t="shared" si="122"/>
        <v>0.82189116447904176</v>
      </c>
      <c r="AC338" s="51">
        <f t="shared" si="124"/>
        <v>187</v>
      </c>
      <c r="AD338" s="51">
        <v>1000</v>
      </c>
      <c r="AE338" s="51">
        <f t="shared" si="125"/>
        <v>930.23255813953483</v>
      </c>
      <c r="AF338" s="51">
        <f t="shared" si="114"/>
        <v>813</v>
      </c>
      <c r="AG338" s="52">
        <v>1</v>
      </c>
      <c r="AH338" s="52">
        <f t="shared" si="128"/>
        <v>4.3475935828877006</v>
      </c>
      <c r="AI338" s="52">
        <f t="shared" si="131"/>
        <v>0.81300000000000006</v>
      </c>
      <c r="AJ338" s="51">
        <f t="shared" si="126"/>
        <v>217.44186046511629</v>
      </c>
      <c r="AK338" s="51">
        <f t="shared" si="127"/>
        <v>168.55958175590411</v>
      </c>
      <c r="AL338" s="51">
        <f t="shared" si="116"/>
        <v>30.441860465116285</v>
      </c>
      <c r="AM338" s="52">
        <f t="shared" si="129"/>
        <v>0.16279069767441862</v>
      </c>
      <c r="AN338" s="52">
        <f t="shared" si="121"/>
        <v>0.14000000000000001</v>
      </c>
      <c r="AO338" s="52">
        <v>0</v>
      </c>
      <c r="AP338" s="52">
        <f t="shared" si="130"/>
        <v>0.16279069767441862</v>
      </c>
      <c r="AQ338" s="52">
        <f t="shared" si="123"/>
        <v>0.14000000000000001</v>
      </c>
      <c r="AR338" s="28" t="s">
        <v>34</v>
      </c>
    </row>
    <row r="339" spans="1:44" ht="15" customHeight="1" x14ac:dyDescent="0.25">
      <c r="A339" s="76">
        <v>338</v>
      </c>
      <c r="B339" s="76">
        <v>2006</v>
      </c>
      <c r="C339" s="77" t="s">
        <v>160</v>
      </c>
      <c r="D339" s="76">
        <v>1</v>
      </c>
      <c r="E339" s="78">
        <v>29</v>
      </c>
      <c r="F339" s="79">
        <v>1.1000000000000001</v>
      </c>
      <c r="G339" s="80">
        <v>60</v>
      </c>
      <c r="H339" s="80">
        <v>15</v>
      </c>
      <c r="I339" s="78">
        <v>28</v>
      </c>
      <c r="J339" s="81">
        <v>2.4799999999999999E-2</v>
      </c>
      <c r="K339" s="77" t="s">
        <v>105</v>
      </c>
      <c r="L339" s="77" t="s">
        <v>36</v>
      </c>
      <c r="M339" s="77" t="s">
        <v>289</v>
      </c>
      <c r="N339" s="77">
        <v>25</v>
      </c>
      <c r="O339" s="77">
        <v>180</v>
      </c>
      <c r="P339" s="78"/>
      <c r="Q339" s="81">
        <v>8</v>
      </c>
      <c r="R339" s="82"/>
      <c r="S339" s="82">
        <v>5.9873594933515656E-3</v>
      </c>
      <c r="T339" s="82">
        <v>970000000</v>
      </c>
      <c r="U339" s="78">
        <v>1695</v>
      </c>
      <c r="V339" s="82">
        <v>1.7919999999999998E-2</v>
      </c>
      <c r="W339" s="82">
        <v>2.3040000000000001E-2</v>
      </c>
      <c r="X339" s="82">
        <v>0.54900000000000004</v>
      </c>
      <c r="Y339" s="78">
        <v>29.6</v>
      </c>
      <c r="Z339" s="78">
        <v>1075</v>
      </c>
      <c r="AA339" s="78">
        <f t="shared" si="120"/>
        <v>120</v>
      </c>
      <c r="AB339" s="81">
        <f t="shared" si="122"/>
        <v>0.82189116447904176</v>
      </c>
      <c r="AC339" s="81">
        <f t="shared" si="124"/>
        <v>62.099999999999966</v>
      </c>
      <c r="AD339" s="81">
        <v>300</v>
      </c>
      <c r="AE339" s="81">
        <f t="shared" si="125"/>
        <v>279.06976744186045</v>
      </c>
      <c r="AF339" s="81">
        <f t="shared" si="114"/>
        <v>237.90000000000003</v>
      </c>
      <c r="AG339" s="83">
        <v>1</v>
      </c>
      <c r="AH339" s="83">
        <f>0.793/0.207</f>
        <v>3.8309178743961358</v>
      </c>
      <c r="AI339" s="83">
        <f t="shared" si="131"/>
        <v>0.79300000000000015</v>
      </c>
      <c r="AJ339" s="81">
        <f t="shared" si="126"/>
        <v>85.554892499999951</v>
      </c>
      <c r="AK339" s="81">
        <f t="shared" si="127"/>
        <v>66.321622093023223</v>
      </c>
      <c r="AL339" s="81">
        <f t="shared" si="116"/>
        <v>23.454892499999989</v>
      </c>
      <c r="AM339" s="83">
        <v>0.25</v>
      </c>
      <c r="AN339" s="83">
        <f t="shared" si="121"/>
        <v>0.2</v>
      </c>
      <c r="AO339" s="83">
        <v>3.5659999999999997E-2</v>
      </c>
      <c r="AP339" s="83">
        <f t="shared" si="130"/>
        <v>0.37769553140096623</v>
      </c>
      <c r="AQ339" s="83">
        <f t="shared" si="123"/>
        <v>0.27415021882004004</v>
      </c>
      <c r="AR339" s="77" t="s">
        <v>180</v>
      </c>
    </row>
    <row r="340" spans="1:44" ht="15" customHeight="1" x14ac:dyDescent="0.25">
      <c r="A340" s="76">
        <v>339</v>
      </c>
      <c r="B340" s="76">
        <v>2006</v>
      </c>
      <c r="C340" s="77" t="s">
        <v>160</v>
      </c>
      <c r="D340" s="76">
        <v>2</v>
      </c>
      <c r="E340" s="78">
        <v>34</v>
      </c>
      <c r="F340" s="79">
        <v>1.1000000000000001</v>
      </c>
      <c r="G340" s="80">
        <v>60</v>
      </c>
      <c r="H340" s="80">
        <v>15</v>
      </c>
      <c r="I340" s="78">
        <v>33</v>
      </c>
      <c r="J340" s="81">
        <v>4.3400000000000001E-2</v>
      </c>
      <c r="K340" s="77" t="s">
        <v>105</v>
      </c>
      <c r="L340" s="77" t="s">
        <v>36</v>
      </c>
      <c r="M340" s="77" t="s">
        <v>289</v>
      </c>
      <c r="N340" s="77">
        <v>25</v>
      </c>
      <c r="O340" s="77">
        <v>180</v>
      </c>
      <c r="P340" s="78"/>
      <c r="Q340" s="81">
        <v>18</v>
      </c>
      <c r="R340" s="82"/>
      <c r="S340" s="82">
        <v>5.9873594933515656E-3</v>
      </c>
      <c r="T340" s="82">
        <v>970000000</v>
      </c>
      <c r="U340" s="78">
        <v>1695</v>
      </c>
      <c r="V340" s="82">
        <v>1.7919999999999998E-2</v>
      </c>
      <c r="W340" s="82">
        <v>2.3040000000000001E-2</v>
      </c>
      <c r="X340" s="82">
        <v>0.54900000000000004</v>
      </c>
      <c r="Y340" s="78">
        <v>29.6</v>
      </c>
      <c r="Z340" s="78">
        <v>1075</v>
      </c>
      <c r="AA340" s="78">
        <f t="shared" si="120"/>
        <v>120</v>
      </c>
      <c r="AB340" s="81">
        <f t="shared" si="122"/>
        <v>0.82189116447904176</v>
      </c>
      <c r="AC340" s="81">
        <f t="shared" si="124"/>
        <v>62.099999999999966</v>
      </c>
      <c r="AD340" s="81">
        <v>300</v>
      </c>
      <c r="AE340" s="81">
        <f t="shared" si="125"/>
        <v>279.06976744186045</v>
      </c>
      <c r="AF340" s="81">
        <f t="shared" si="114"/>
        <v>237.90000000000003</v>
      </c>
      <c r="AG340" s="83">
        <v>1</v>
      </c>
      <c r="AH340" s="83">
        <f>0.793/0.207</f>
        <v>3.8309178743961358</v>
      </c>
      <c r="AI340" s="83">
        <f t="shared" si="131"/>
        <v>0.79300000000000015</v>
      </c>
      <c r="AJ340" s="81">
        <f t="shared" si="126"/>
        <v>84.133916249999956</v>
      </c>
      <c r="AK340" s="81">
        <f t="shared" si="127"/>
        <v>65.220090116279039</v>
      </c>
      <c r="AL340" s="81">
        <f t="shared" si="116"/>
        <v>22.03391624999999</v>
      </c>
      <c r="AM340" s="83">
        <v>0.25</v>
      </c>
      <c r="AN340" s="83">
        <f t="shared" si="121"/>
        <v>0.2</v>
      </c>
      <c r="AO340" s="83">
        <v>2.9270000000000001E-2</v>
      </c>
      <c r="AP340" s="83">
        <f t="shared" si="130"/>
        <v>0.3548134661835749</v>
      </c>
      <c r="AQ340" s="83">
        <f t="shared" si="123"/>
        <v>0.26189100938231913</v>
      </c>
      <c r="AR340" s="77" t="s">
        <v>369</v>
      </c>
    </row>
    <row r="341" spans="1:44" ht="15" customHeight="1" x14ac:dyDescent="0.25">
      <c r="A341" s="76">
        <v>340</v>
      </c>
      <c r="B341" s="76">
        <v>2006</v>
      </c>
      <c r="C341" s="77" t="s">
        <v>160</v>
      </c>
      <c r="D341" s="76">
        <v>3</v>
      </c>
      <c r="E341" s="78">
        <v>30</v>
      </c>
      <c r="F341" s="79">
        <v>1.1000000000000001</v>
      </c>
      <c r="G341" s="80">
        <v>60</v>
      </c>
      <c r="H341" s="80">
        <v>15</v>
      </c>
      <c r="I341" s="78">
        <v>30</v>
      </c>
      <c r="J341" s="81">
        <v>3.2500000000000001E-2</v>
      </c>
      <c r="K341" s="77" t="s">
        <v>105</v>
      </c>
      <c r="L341" s="77" t="s">
        <v>36</v>
      </c>
      <c r="M341" s="77" t="s">
        <v>289</v>
      </c>
      <c r="N341" s="77">
        <v>25</v>
      </c>
      <c r="O341" s="77">
        <v>180</v>
      </c>
      <c r="P341" s="78"/>
      <c r="Q341" s="81">
        <v>15</v>
      </c>
      <c r="R341" s="82"/>
      <c r="S341" s="82">
        <v>5.9873594933515656E-3</v>
      </c>
      <c r="T341" s="82">
        <v>970000000</v>
      </c>
      <c r="U341" s="78">
        <v>1695</v>
      </c>
      <c r="V341" s="82">
        <v>1.7919999999999998E-2</v>
      </c>
      <c r="W341" s="82">
        <v>2.3040000000000001E-2</v>
      </c>
      <c r="X341" s="82">
        <v>0.54900000000000004</v>
      </c>
      <c r="Y341" s="78">
        <v>29.6</v>
      </c>
      <c r="Z341" s="78">
        <v>1075</v>
      </c>
      <c r="AA341" s="78">
        <f t="shared" si="120"/>
        <v>120</v>
      </c>
      <c r="AB341" s="81">
        <f t="shared" si="122"/>
        <v>0.82189116447904176</v>
      </c>
      <c r="AC341" s="81">
        <f t="shared" si="124"/>
        <v>62.099999999999966</v>
      </c>
      <c r="AD341" s="81">
        <v>300</v>
      </c>
      <c r="AE341" s="81">
        <f t="shared" si="125"/>
        <v>279.06976744186045</v>
      </c>
      <c r="AF341" s="81">
        <f t="shared" si="114"/>
        <v>237.90000000000003</v>
      </c>
      <c r="AG341" s="83">
        <v>1</v>
      </c>
      <c r="AH341" s="83">
        <f>0.793/0.207</f>
        <v>3.8309178743961358</v>
      </c>
      <c r="AI341" s="83">
        <f t="shared" si="131"/>
        <v>0.79300000000000015</v>
      </c>
      <c r="AJ341" s="81">
        <f t="shared" si="126"/>
        <v>86.302072499999952</v>
      </c>
      <c r="AK341" s="81">
        <f t="shared" si="127"/>
        <v>66.900831395348803</v>
      </c>
      <c r="AL341" s="81">
        <f t="shared" si="116"/>
        <v>24.202072499999986</v>
      </c>
      <c r="AM341" s="83">
        <v>0.25</v>
      </c>
      <c r="AN341" s="83">
        <f t="shared" si="121"/>
        <v>0.2</v>
      </c>
      <c r="AO341" s="83">
        <v>3.9019999999999999E-2</v>
      </c>
      <c r="AP341" s="83">
        <f t="shared" si="130"/>
        <v>0.38972741545893719</v>
      </c>
      <c r="AQ341" s="83">
        <f t="shared" si="123"/>
        <v>0.28043442989158807</v>
      </c>
      <c r="AR341" s="77" t="s">
        <v>370</v>
      </c>
    </row>
    <row r="342" spans="1:44" ht="15" customHeight="1" x14ac:dyDescent="0.25">
      <c r="A342" s="76">
        <v>341</v>
      </c>
      <c r="B342" s="76">
        <v>2006</v>
      </c>
      <c r="C342" s="77" t="s">
        <v>160</v>
      </c>
      <c r="D342" s="76">
        <v>4</v>
      </c>
      <c r="E342" s="78">
        <v>26</v>
      </c>
      <c r="F342" s="79">
        <v>1.1000000000000001</v>
      </c>
      <c r="G342" s="80">
        <v>60</v>
      </c>
      <c r="H342" s="80">
        <v>15</v>
      </c>
      <c r="I342" s="78">
        <v>25</v>
      </c>
      <c r="J342" s="81">
        <v>1.61E-2</v>
      </c>
      <c r="K342" s="77" t="s">
        <v>105</v>
      </c>
      <c r="L342" s="77" t="s">
        <v>36</v>
      </c>
      <c r="M342" s="77" t="s">
        <v>289</v>
      </c>
      <c r="N342" s="77">
        <v>25</v>
      </c>
      <c r="O342" s="77">
        <v>180</v>
      </c>
      <c r="P342" s="78"/>
      <c r="Q342" s="81">
        <v>17</v>
      </c>
      <c r="R342" s="82"/>
      <c r="S342" s="82">
        <v>5.9873594933515656E-3</v>
      </c>
      <c r="T342" s="82">
        <v>970000000</v>
      </c>
      <c r="U342" s="78">
        <v>1695</v>
      </c>
      <c r="V342" s="82">
        <v>1.7919999999999998E-2</v>
      </c>
      <c r="W342" s="82">
        <v>2.3040000000000001E-2</v>
      </c>
      <c r="X342" s="82">
        <v>0.54900000000000004</v>
      </c>
      <c r="Y342" s="78">
        <v>29.6</v>
      </c>
      <c r="Z342" s="78">
        <v>1075</v>
      </c>
      <c r="AA342" s="78">
        <f t="shared" si="120"/>
        <v>120</v>
      </c>
      <c r="AB342" s="81">
        <f t="shared" si="122"/>
        <v>0.82189116447904176</v>
      </c>
      <c r="AC342" s="81">
        <f t="shared" si="124"/>
        <v>62.099999999999966</v>
      </c>
      <c r="AD342" s="81">
        <v>300</v>
      </c>
      <c r="AE342" s="81">
        <f t="shared" si="125"/>
        <v>279.06976744186045</v>
      </c>
      <c r="AF342" s="81">
        <f t="shared" si="114"/>
        <v>237.90000000000003</v>
      </c>
      <c r="AG342" s="83">
        <v>1</v>
      </c>
      <c r="AH342" s="83">
        <f>0.793/0.207</f>
        <v>3.8309178743961358</v>
      </c>
      <c r="AI342" s="83">
        <f t="shared" si="131"/>
        <v>0.79300000000000015</v>
      </c>
      <c r="AJ342" s="81">
        <f t="shared" si="126"/>
        <v>84.856634999999969</v>
      </c>
      <c r="AK342" s="81">
        <f t="shared" si="127"/>
        <v>65.780337209302303</v>
      </c>
      <c r="AL342" s="81">
        <f t="shared" si="116"/>
        <v>22.756634999999992</v>
      </c>
      <c r="AM342" s="83">
        <v>0.25</v>
      </c>
      <c r="AN342" s="83">
        <f t="shared" si="121"/>
        <v>0.2</v>
      </c>
      <c r="AO342" s="83">
        <v>3.252E-2</v>
      </c>
      <c r="AP342" s="83">
        <f t="shared" si="130"/>
        <v>0.36645144927536233</v>
      </c>
      <c r="AQ342" s="83">
        <f t="shared" si="123"/>
        <v>0.26817743833466884</v>
      </c>
      <c r="AR342" s="77" t="s">
        <v>58</v>
      </c>
    </row>
    <row r="343" spans="1:44" s="10" customFormat="1" ht="15" hidden="1" customHeight="1" x14ac:dyDescent="0.25">
      <c r="A343" s="1">
        <v>342</v>
      </c>
      <c r="B343" s="1">
        <v>2006</v>
      </c>
      <c r="C343" s="28" t="s">
        <v>160</v>
      </c>
      <c r="D343" s="1">
        <v>5</v>
      </c>
      <c r="E343" s="8">
        <v>59</v>
      </c>
      <c r="F343" s="31">
        <v>1.1000000000000001</v>
      </c>
      <c r="G343" s="49">
        <v>60</v>
      </c>
      <c r="H343" s="49">
        <v>15</v>
      </c>
      <c r="I343" s="8">
        <v>66</v>
      </c>
      <c r="J343" s="51">
        <v>8.5000000000000006E-3</v>
      </c>
      <c r="K343" s="28" t="s">
        <v>105</v>
      </c>
      <c r="L343" s="28" t="s">
        <v>36</v>
      </c>
      <c r="M343" s="28" t="s">
        <v>34</v>
      </c>
      <c r="N343" s="28" t="s">
        <v>34</v>
      </c>
      <c r="O343" s="28" t="s">
        <v>34</v>
      </c>
      <c r="P343" s="8"/>
      <c r="Q343" s="51">
        <v>23</v>
      </c>
      <c r="R343" s="9"/>
      <c r="S343" s="9">
        <v>5.9873594933515656E-3</v>
      </c>
      <c r="T343" s="9">
        <v>970000000</v>
      </c>
      <c r="U343" s="8">
        <v>1695</v>
      </c>
      <c r="V343" s="9">
        <v>1.7919999999999998E-2</v>
      </c>
      <c r="W343" s="9">
        <v>2.3040000000000001E-2</v>
      </c>
      <c r="X343" s="9">
        <v>0.54900000000000004</v>
      </c>
      <c r="Y343" s="8">
        <v>29.6</v>
      </c>
      <c r="Z343" s="8">
        <v>1075</v>
      </c>
      <c r="AA343" s="8">
        <f t="shared" si="120"/>
        <v>120</v>
      </c>
      <c r="AB343" s="51">
        <f t="shared" si="122"/>
        <v>0.82189116447904176</v>
      </c>
      <c r="AC343" s="51">
        <f t="shared" si="124"/>
        <v>62.099999999999966</v>
      </c>
      <c r="AD343" s="51">
        <v>300</v>
      </c>
      <c r="AE343" s="51">
        <f t="shared" si="125"/>
        <v>279.06976744186045</v>
      </c>
      <c r="AF343" s="51">
        <f t="shared" si="114"/>
        <v>237.90000000000003</v>
      </c>
      <c r="AG343" s="52">
        <v>1</v>
      </c>
      <c r="AH343" s="52">
        <f>0.793/0.207</f>
        <v>3.8309178743961358</v>
      </c>
      <c r="AI343" s="52">
        <f t="shared" si="131"/>
        <v>0.79300000000000015</v>
      </c>
      <c r="AJ343" s="51">
        <f t="shared" si="126"/>
        <v>82.699597499999953</v>
      </c>
      <c r="AK343" s="51">
        <f t="shared" si="127"/>
        <v>64.108215116279041</v>
      </c>
      <c r="AL343" s="51">
        <f t="shared" si="116"/>
        <v>20.599597499999987</v>
      </c>
      <c r="AM343" s="52">
        <v>0.25</v>
      </c>
      <c r="AN343" s="52">
        <f t="shared" si="121"/>
        <v>0.2</v>
      </c>
      <c r="AO343" s="52">
        <v>2.282E-2</v>
      </c>
      <c r="AP343" s="52">
        <f t="shared" si="130"/>
        <v>0.33171654589371979</v>
      </c>
      <c r="AQ343" s="52">
        <f t="shared" si="123"/>
        <v>0.24908945294443544</v>
      </c>
      <c r="AR343" s="28" t="s">
        <v>34</v>
      </c>
    </row>
    <row r="344" spans="1:44" ht="15" hidden="1" customHeight="1" x14ac:dyDescent="0.25">
      <c r="A344" s="76">
        <v>343</v>
      </c>
      <c r="B344" s="76">
        <v>2006</v>
      </c>
      <c r="C344" s="77" t="s">
        <v>181</v>
      </c>
      <c r="D344" s="76">
        <v>1</v>
      </c>
      <c r="E344" s="78">
        <v>24</v>
      </c>
      <c r="F344" s="79">
        <v>1</v>
      </c>
      <c r="G344" s="80">
        <v>50</v>
      </c>
      <c r="H344" s="80">
        <v>15</v>
      </c>
      <c r="I344" s="78">
        <v>144</v>
      </c>
      <c r="J344" s="81">
        <v>0.15129999999999999</v>
      </c>
      <c r="K344" s="77" t="s">
        <v>63</v>
      </c>
      <c r="L344" s="77" t="s">
        <v>36</v>
      </c>
      <c r="M344" s="77" t="s">
        <v>34</v>
      </c>
      <c r="N344" s="77" t="s">
        <v>34</v>
      </c>
      <c r="O344" s="77" t="s">
        <v>34</v>
      </c>
      <c r="P344" s="78"/>
      <c r="Q344" s="81">
        <v>6</v>
      </c>
      <c r="R344" s="82"/>
      <c r="S344" s="82">
        <v>7.0808110765378237E-5</v>
      </c>
      <c r="T344" s="82">
        <v>750000000</v>
      </c>
      <c r="U344" s="78">
        <v>2995</v>
      </c>
      <c r="V344" s="82">
        <v>1.7919999999999998E-2</v>
      </c>
      <c r="W344" s="82">
        <v>2.3040000000000001E-2</v>
      </c>
      <c r="X344" s="82">
        <v>0.54900000000000004</v>
      </c>
      <c r="Y344" s="78">
        <v>29.6</v>
      </c>
      <c r="Z344" s="78">
        <v>1075</v>
      </c>
      <c r="AA344" s="78">
        <f t="shared" si="120"/>
        <v>400</v>
      </c>
      <c r="AB344" s="81">
        <f t="shared" si="122"/>
        <v>0.82189116447904176</v>
      </c>
      <c r="AC344" s="81">
        <f t="shared" si="124"/>
        <v>160</v>
      </c>
      <c r="AD344" s="81">
        <v>1000</v>
      </c>
      <c r="AE344" s="81">
        <f t="shared" si="125"/>
        <v>930.23255813953483</v>
      </c>
      <c r="AF344" s="81">
        <f t="shared" si="114"/>
        <v>840</v>
      </c>
      <c r="AG344" s="83">
        <v>1</v>
      </c>
      <c r="AH344" s="83">
        <v>5.25</v>
      </c>
      <c r="AI344" s="83">
        <f t="shared" si="131"/>
        <v>0.84</v>
      </c>
      <c r="AJ344" s="81">
        <f t="shared" si="126"/>
        <v>181.23797160243407</v>
      </c>
      <c r="AK344" s="81">
        <f t="shared" si="127"/>
        <v>140.49455162979385</v>
      </c>
      <c r="AL344" s="81">
        <f t="shared" si="116"/>
        <v>21.237971602434076</v>
      </c>
      <c r="AM344" s="83">
        <f>0.014/0.986</f>
        <v>1.4198782961460446E-2</v>
      </c>
      <c r="AN344" s="83">
        <f t="shared" si="121"/>
        <v>1.3999999999999999E-2</v>
      </c>
      <c r="AO344" s="83">
        <v>2.264E-2</v>
      </c>
      <c r="AP344" s="83">
        <f t="shared" si="130"/>
        <v>0.13273732251521297</v>
      </c>
      <c r="AQ344" s="83">
        <f t="shared" si="123"/>
        <v>0.11718279240633946</v>
      </c>
      <c r="AR344" s="77" t="s">
        <v>34</v>
      </c>
    </row>
    <row r="345" spans="1:44" ht="15" customHeight="1" x14ac:dyDescent="0.25">
      <c r="A345" s="76">
        <v>344</v>
      </c>
      <c r="B345" s="76">
        <v>2006</v>
      </c>
      <c r="C345" s="77" t="s">
        <v>181</v>
      </c>
      <c r="D345" s="76">
        <v>2</v>
      </c>
      <c r="E345" s="78">
        <v>21</v>
      </c>
      <c r="F345" s="79">
        <v>1</v>
      </c>
      <c r="G345" s="80">
        <v>50</v>
      </c>
      <c r="H345" s="80">
        <v>15</v>
      </c>
      <c r="I345" s="78">
        <v>144</v>
      </c>
      <c r="J345" s="81">
        <v>0.37080000000000002</v>
      </c>
      <c r="K345" s="77" t="s">
        <v>63</v>
      </c>
      <c r="L345" s="77" t="s">
        <v>36</v>
      </c>
      <c r="M345" s="77" t="s">
        <v>289</v>
      </c>
      <c r="N345" s="77">
        <v>25</v>
      </c>
      <c r="O345" s="77">
        <v>30</v>
      </c>
      <c r="P345" s="78"/>
      <c r="Q345" s="81">
        <v>7</v>
      </c>
      <c r="R345" s="82"/>
      <c r="S345" s="82">
        <v>7.0808110765378237E-5</v>
      </c>
      <c r="T345" s="82">
        <v>750000000</v>
      </c>
      <c r="U345" s="78">
        <v>2995</v>
      </c>
      <c r="V345" s="82">
        <v>1.7919999999999998E-2</v>
      </c>
      <c r="W345" s="82">
        <v>2.3040000000000001E-2</v>
      </c>
      <c r="X345" s="82">
        <v>0.54900000000000004</v>
      </c>
      <c r="Y345" s="78">
        <v>29.6</v>
      </c>
      <c r="Z345" s="78">
        <v>1075</v>
      </c>
      <c r="AA345" s="78">
        <f t="shared" si="120"/>
        <v>400</v>
      </c>
      <c r="AB345" s="81">
        <f t="shared" si="122"/>
        <v>0.82189116447904176</v>
      </c>
      <c r="AC345" s="81">
        <f t="shared" si="124"/>
        <v>160</v>
      </c>
      <c r="AD345" s="81">
        <v>1000</v>
      </c>
      <c r="AE345" s="81">
        <f t="shared" si="125"/>
        <v>930.23255813953483</v>
      </c>
      <c r="AF345" s="81">
        <f t="shared" si="114"/>
        <v>840</v>
      </c>
      <c r="AG345" s="83">
        <v>1</v>
      </c>
      <c r="AH345" s="83">
        <v>5.25</v>
      </c>
      <c r="AI345" s="83">
        <f t="shared" si="131"/>
        <v>0.84</v>
      </c>
      <c r="AJ345" s="81">
        <f t="shared" si="126"/>
        <v>173.86596348884382</v>
      </c>
      <c r="AK345" s="81">
        <f t="shared" si="127"/>
        <v>134.77981665801846</v>
      </c>
      <c r="AL345" s="81">
        <f t="shared" si="116"/>
        <v>13.865963488843814</v>
      </c>
      <c r="AM345" s="83">
        <f>0.014/0.986</f>
        <v>1.4198782961460446E-2</v>
      </c>
      <c r="AN345" s="83">
        <f t="shared" si="121"/>
        <v>1.3999999999999999E-2</v>
      </c>
      <c r="AO345" s="83">
        <v>1.384E-2</v>
      </c>
      <c r="AP345" s="83">
        <f t="shared" si="130"/>
        <v>8.6662271805273833E-2</v>
      </c>
      <c r="AQ345" s="83">
        <f t="shared" si="123"/>
        <v>7.9750879416565792E-2</v>
      </c>
      <c r="AR345" s="77" t="s">
        <v>182</v>
      </c>
    </row>
    <row r="346" spans="1:44" ht="15" customHeight="1" x14ac:dyDescent="0.25">
      <c r="A346" s="76">
        <v>345</v>
      </c>
      <c r="B346" s="76">
        <v>2006</v>
      </c>
      <c r="C346" s="77" t="s">
        <v>181</v>
      </c>
      <c r="D346" s="76">
        <v>3</v>
      </c>
      <c r="E346" s="78">
        <v>22</v>
      </c>
      <c r="F346" s="79">
        <v>1</v>
      </c>
      <c r="G346" s="80">
        <v>50</v>
      </c>
      <c r="H346" s="80">
        <v>15</v>
      </c>
      <c r="I346" s="78">
        <v>144</v>
      </c>
      <c r="J346" s="81">
        <v>0.6472</v>
      </c>
      <c r="K346" s="77" t="s">
        <v>63</v>
      </c>
      <c r="L346" s="77" t="s">
        <v>36</v>
      </c>
      <c r="M346" s="77" t="s">
        <v>289</v>
      </c>
      <c r="N346" s="77">
        <v>25</v>
      </c>
      <c r="O346" s="77">
        <v>30</v>
      </c>
      <c r="P346" s="78"/>
      <c r="Q346" s="81">
        <v>8</v>
      </c>
      <c r="R346" s="82"/>
      <c r="S346" s="82">
        <v>7.0808110765378237E-5</v>
      </c>
      <c r="T346" s="82">
        <v>750000000</v>
      </c>
      <c r="U346" s="78">
        <v>2995</v>
      </c>
      <c r="V346" s="82">
        <v>1.7919999999999998E-2</v>
      </c>
      <c r="W346" s="82">
        <v>2.3040000000000001E-2</v>
      </c>
      <c r="X346" s="82">
        <v>0.54900000000000004</v>
      </c>
      <c r="Y346" s="78">
        <v>29.6</v>
      </c>
      <c r="Z346" s="78">
        <v>1075</v>
      </c>
      <c r="AA346" s="78">
        <f t="shared" si="120"/>
        <v>400</v>
      </c>
      <c r="AB346" s="81">
        <f t="shared" si="122"/>
        <v>0.82189116447904176</v>
      </c>
      <c r="AC346" s="81">
        <f t="shared" si="124"/>
        <v>160</v>
      </c>
      <c r="AD346" s="81">
        <v>1000</v>
      </c>
      <c r="AE346" s="81">
        <f t="shared" si="125"/>
        <v>930.23255813953483</v>
      </c>
      <c r="AF346" s="81">
        <f t="shared" si="114"/>
        <v>840</v>
      </c>
      <c r="AG346" s="83">
        <v>1</v>
      </c>
      <c r="AH346" s="83">
        <v>5.25</v>
      </c>
      <c r="AI346" s="83">
        <f t="shared" si="131"/>
        <v>0.84</v>
      </c>
      <c r="AJ346" s="81">
        <f t="shared" si="126"/>
        <v>166.62799188640975</v>
      </c>
      <c r="AK346" s="81">
        <f t="shared" si="127"/>
        <v>129.16898595845717</v>
      </c>
      <c r="AL346" s="81">
        <f t="shared" si="116"/>
        <v>6.6279918864097365</v>
      </c>
      <c r="AM346" s="83">
        <f>0.014/0.986</f>
        <v>1.4198782961460446E-2</v>
      </c>
      <c r="AN346" s="83">
        <f t="shared" si="121"/>
        <v>1.3999999999999999E-2</v>
      </c>
      <c r="AO346" s="83">
        <v>5.1999999999999998E-3</v>
      </c>
      <c r="AP346" s="83">
        <f t="shared" si="130"/>
        <v>4.1424949290060853E-2</v>
      </c>
      <c r="AQ346" s="83">
        <f t="shared" si="123"/>
        <v>3.9777181560995085E-2</v>
      </c>
      <c r="AR346" s="77" t="s">
        <v>183</v>
      </c>
    </row>
    <row r="347" spans="1:44" ht="15" customHeight="1" x14ac:dyDescent="0.25">
      <c r="A347" s="76">
        <v>346</v>
      </c>
      <c r="B347" s="76">
        <v>2006</v>
      </c>
      <c r="C347" s="77" t="s">
        <v>181</v>
      </c>
      <c r="D347" s="76">
        <v>4</v>
      </c>
      <c r="E347" s="78">
        <v>22</v>
      </c>
      <c r="F347" s="79">
        <v>1</v>
      </c>
      <c r="G347" s="80">
        <v>50</v>
      </c>
      <c r="H347" s="80">
        <v>15</v>
      </c>
      <c r="I347" s="78">
        <v>144</v>
      </c>
      <c r="J347" s="81">
        <v>0.23519999999999999</v>
      </c>
      <c r="K347" s="77" t="s">
        <v>63</v>
      </c>
      <c r="L347" s="77" t="s">
        <v>36</v>
      </c>
      <c r="M347" s="77" t="s">
        <v>289</v>
      </c>
      <c r="N347" s="77">
        <v>25</v>
      </c>
      <c r="O347" s="77">
        <v>30</v>
      </c>
      <c r="P347" s="78"/>
      <c r="Q347" s="81">
        <v>6</v>
      </c>
      <c r="R347" s="82"/>
      <c r="S347" s="82">
        <v>7.0808110765378237E-5</v>
      </c>
      <c r="T347" s="82">
        <v>750000000</v>
      </c>
      <c r="U347" s="78">
        <v>2995</v>
      </c>
      <c r="V347" s="82">
        <v>1.7919999999999998E-2</v>
      </c>
      <c r="W347" s="82">
        <v>2.3040000000000001E-2</v>
      </c>
      <c r="X347" s="82">
        <v>0.54900000000000004</v>
      </c>
      <c r="Y347" s="78">
        <v>29.6</v>
      </c>
      <c r="Z347" s="78">
        <v>1075</v>
      </c>
      <c r="AA347" s="78">
        <f t="shared" si="120"/>
        <v>400</v>
      </c>
      <c r="AB347" s="81">
        <f t="shared" si="122"/>
        <v>0.82189116447904176</v>
      </c>
      <c r="AC347" s="81">
        <f t="shared" si="124"/>
        <v>160</v>
      </c>
      <c r="AD347" s="81">
        <v>1000</v>
      </c>
      <c r="AE347" s="81">
        <f t="shared" si="125"/>
        <v>930.23255813953483</v>
      </c>
      <c r="AF347" s="81">
        <f t="shared" si="114"/>
        <v>840</v>
      </c>
      <c r="AG347" s="83">
        <v>1</v>
      </c>
      <c r="AH347" s="83">
        <v>5.25</v>
      </c>
      <c r="AI347" s="83">
        <f t="shared" si="131"/>
        <v>0.84</v>
      </c>
      <c r="AJ347" s="81">
        <f t="shared" si="126"/>
        <v>166.62799188640975</v>
      </c>
      <c r="AK347" s="81">
        <f t="shared" si="127"/>
        <v>129.16898595845717</v>
      </c>
      <c r="AL347" s="81">
        <f t="shared" si="116"/>
        <v>6.6279918864097365</v>
      </c>
      <c r="AM347" s="83">
        <f>0.014/0.986</f>
        <v>1.4198782961460446E-2</v>
      </c>
      <c r="AN347" s="83">
        <f t="shared" si="121"/>
        <v>1.3999999999999999E-2</v>
      </c>
      <c r="AO347" s="83">
        <v>5.1999999999999998E-3</v>
      </c>
      <c r="AP347" s="83">
        <f t="shared" si="130"/>
        <v>4.1424949290060853E-2</v>
      </c>
      <c r="AQ347" s="83">
        <f t="shared" si="123"/>
        <v>3.9777181560995085E-2</v>
      </c>
      <c r="AR347" s="77" t="s">
        <v>184</v>
      </c>
    </row>
    <row r="348" spans="1:44" ht="15" customHeight="1" x14ac:dyDescent="0.25">
      <c r="A348" s="76">
        <v>347</v>
      </c>
      <c r="B348" s="76">
        <v>2006</v>
      </c>
      <c r="C348" s="77" t="s">
        <v>181</v>
      </c>
      <c r="D348" s="76">
        <v>5</v>
      </c>
      <c r="E348" s="78">
        <v>18</v>
      </c>
      <c r="F348" s="79">
        <v>1</v>
      </c>
      <c r="G348" s="80">
        <v>50</v>
      </c>
      <c r="H348" s="80">
        <v>15</v>
      </c>
      <c r="I348" s="78">
        <v>144</v>
      </c>
      <c r="J348" s="81">
        <v>0.51939999999999997</v>
      </c>
      <c r="K348" s="77" t="s">
        <v>63</v>
      </c>
      <c r="L348" s="77" t="s">
        <v>36</v>
      </c>
      <c r="M348" s="77" t="s">
        <v>289</v>
      </c>
      <c r="N348" s="77">
        <v>25</v>
      </c>
      <c r="O348" s="77">
        <v>30</v>
      </c>
      <c r="P348" s="78"/>
      <c r="Q348" s="81">
        <v>8</v>
      </c>
      <c r="R348" s="82"/>
      <c r="S348" s="82">
        <v>7.0808110765378237E-5</v>
      </c>
      <c r="T348" s="82">
        <v>750000000</v>
      </c>
      <c r="U348" s="78">
        <v>2995</v>
      </c>
      <c r="V348" s="82">
        <v>1.7919999999999998E-2</v>
      </c>
      <c r="W348" s="82">
        <v>2.3040000000000001E-2</v>
      </c>
      <c r="X348" s="82">
        <v>0.54900000000000004</v>
      </c>
      <c r="Y348" s="78">
        <v>29.6</v>
      </c>
      <c r="Z348" s="78">
        <v>1075</v>
      </c>
      <c r="AA348" s="78">
        <f t="shared" si="120"/>
        <v>400</v>
      </c>
      <c r="AB348" s="81">
        <f t="shared" si="122"/>
        <v>0.82189116447904176</v>
      </c>
      <c r="AC348" s="81">
        <f t="shared" si="124"/>
        <v>160</v>
      </c>
      <c r="AD348" s="81">
        <v>1000</v>
      </c>
      <c r="AE348" s="81">
        <f t="shared" si="125"/>
        <v>930.23255813953483</v>
      </c>
      <c r="AF348" s="81">
        <f t="shared" si="114"/>
        <v>840</v>
      </c>
      <c r="AG348" s="83">
        <v>1</v>
      </c>
      <c r="AH348" s="83">
        <v>5.25</v>
      </c>
      <c r="AI348" s="83">
        <f t="shared" si="131"/>
        <v>0.84</v>
      </c>
      <c r="AJ348" s="81">
        <f t="shared" si="126"/>
        <v>165.20385395537525</v>
      </c>
      <c r="AK348" s="81">
        <f t="shared" si="127"/>
        <v>128.06500306618238</v>
      </c>
      <c r="AL348" s="81">
        <f t="shared" si="116"/>
        <v>5.2038539553752532</v>
      </c>
      <c r="AM348" s="83">
        <f>14/986</f>
        <v>1.4198782961460446E-2</v>
      </c>
      <c r="AN348" s="83">
        <f t="shared" si="121"/>
        <v>1.3999999999999999E-2</v>
      </c>
      <c r="AO348" s="83">
        <v>3.5000000000000001E-3</v>
      </c>
      <c r="AP348" s="83">
        <f t="shared" si="130"/>
        <v>3.252408722109533E-2</v>
      </c>
      <c r="AQ348" s="83">
        <f t="shared" si="123"/>
        <v>3.1499591751539373E-2</v>
      </c>
      <c r="AR348" s="77" t="s">
        <v>185</v>
      </c>
    </row>
    <row r="349" spans="1:44" ht="15" customHeight="1" x14ac:dyDescent="0.25">
      <c r="A349" s="76">
        <v>348</v>
      </c>
      <c r="B349" s="76">
        <v>2006</v>
      </c>
      <c r="C349" s="77" t="s">
        <v>181</v>
      </c>
      <c r="D349" s="76">
        <v>6</v>
      </c>
      <c r="E349" s="78">
        <v>27</v>
      </c>
      <c r="F349" s="79">
        <v>1</v>
      </c>
      <c r="G349" s="80">
        <v>50</v>
      </c>
      <c r="H349" s="80">
        <v>15</v>
      </c>
      <c r="I349" s="78">
        <v>144</v>
      </c>
      <c r="J349" s="81">
        <v>0.55289999999999995</v>
      </c>
      <c r="K349" s="77" t="s">
        <v>63</v>
      </c>
      <c r="L349" s="77" t="s">
        <v>36</v>
      </c>
      <c r="M349" s="77" t="s">
        <v>289</v>
      </c>
      <c r="N349" s="77">
        <v>25</v>
      </c>
      <c r="O349" s="77">
        <v>30</v>
      </c>
      <c r="P349" s="78"/>
      <c r="Q349" s="81">
        <v>9</v>
      </c>
      <c r="R349" s="82"/>
      <c r="S349" s="82">
        <v>7.0808110765378237E-5</v>
      </c>
      <c r="T349" s="82">
        <v>750000000</v>
      </c>
      <c r="U349" s="78">
        <v>2995</v>
      </c>
      <c r="V349" s="82">
        <v>1.7919999999999998E-2</v>
      </c>
      <c r="W349" s="82">
        <v>2.3040000000000001E-2</v>
      </c>
      <c r="X349" s="82">
        <v>0.54900000000000004</v>
      </c>
      <c r="Y349" s="78">
        <v>29.6</v>
      </c>
      <c r="Z349" s="78">
        <v>1075</v>
      </c>
      <c r="AA349" s="78">
        <f t="shared" si="120"/>
        <v>400</v>
      </c>
      <c r="AB349" s="81">
        <f t="shared" si="122"/>
        <v>0.82189116447904176</v>
      </c>
      <c r="AC349" s="81">
        <f t="shared" si="124"/>
        <v>160</v>
      </c>
      <c r="AD349" s="81">
        <v>1000</v>
      </c>
      <c r="AE349" s="81">
        <f t="shared" si="125"/>
        <v>930.23255813953483</v>
      </c>
      <c r="AF349" s="81">
        <f t="shared" si="114"/>
        <v>840</v>
      </c>
      <c r="AG349" s="83">
        <v>1</v>
      </c>
      <c r="AH349" s="83">
        <v>5.25</v>
      </c>
      <c r="AI349" s="83">
        <f t="shared" si="131"/>
        <v>0.84</v>
      </c>
      <c r="AJ349" s="81">
        <f t="shared" si="126"/>
        <v>162.27180527383368</v>
      </c>
      <c r="AK349" s="81">
        <f t="shared" si="127"/>
        <v>125.79209711149898</v>
      </c>
      <c r="AL349" s="81">
        <f t="shared" si="116"/>
        <v>2.2718052738336714</v>
      </c>
      <c r="AM349" s="83">
        <f t="shared" ref="AM349:AM356" si="132">7/493</f>
        <v>1.4198782961460446E-2</v>
      </c>
      <c r="AN349" s="83">
        <f t="shared" si="121"/>
        <v>1.3999999999999999E-2</v>
      </c>
      <c r="AO349" s="83">
        <v>0</v>
      </c>
      <c r="AP349" s="83">
        <f t="shared" si="130"/>
        <v>1.4198782961460446E-2</v>
      </c>
      <c r="AQ349" s="83">
        <f t="shared" si="123"/>
        <v>1.3999999999999999E-2</v>
      </c>
      <c r="AR349" s="77" t="s">
        <v>186</v>
      </c>
    </row>
    <row r="350" spans="1:44" ht="15" customHeight="1" x14ac:dyDescent="0.25">
      <c r="A350" s="76">
        <v>349</v>
      </c>
      <c r="B350" s="76">
        <v>2006</v>
      </c>
      <c r="C350" s="77" t="s">
        <v>181</v>
      </c>
      <c r="D350" s="76">
        <v>7</v>
      </c>
      <c r="E350" s="78">
        <v>18</v>
      </c>
      <c r="F350" s="79">
        <v>1</v>
      </c>
      <c r="G350" s="80">
        <v>50</v>
      </c>
      <c r="H350" s="80">
        <v>15</v>
      </c>
      <c r="I350" s="78">
        <v>58</v>
      </c>
      <c r="J350" s="81">
        <v>0.10489999999999999</v>
      </c>
      <c r="K350" s="77" t="s">
        <v>63</v>
      </c>
      <c r="L350" s="77" t="s">
        <v>36</v>
      </c>
      <c r="M350" s="77" t="s">
        <v>289</v>
      </c>
      <c r="N350" s="77">
        <v>25</v>
      </c>
      <c r="O350" s="77">
        <v>120</v>
      </c>
      <c r="P350" s="78"/>
      <c r="Q350" s="81">
        <v>5</v>
      </c>
      <c r="R350" s="82"/>
      <c r="S350" s="82">
        <v>7.0808110765378237E-5</v>
      </c>
      <c r="T350" s="82">
        <v>750000000</v>
      </c>
      <c r="U350" s="78">
        <v>2995</v>
      </c>
      <c r="V350" s="82">
        <v>1.7919999999999998E-2</v>
      </c>
      <c r="W350" s="82">
        <v>2.3040000000000001E-2</v>
      </c>
      <c r="X350" s="82">
        <v>0.54900000000000004</v>
      </c>
      <c r="Y350" s="78">
        <v>29.6</v>
      </c>
      <c r="Z350" s="78">
        <v>1075</v>
      </c>
      <c r="AA350" s="78">
        <f t="shared" si="120"/>
        <v>400</v>
      </c>
      <c r="AB350" s="81">
        <f t="shared" si="122"/>
        <v>0.82189116447904176</v>
      </c>
      <c r="AC350" s="81">
        <f t="shared" si="124"/>
        <v>160</v>
      </c>
      <c r="AD350" s="81">
        <v>1000</v>
      </c>
      <c r="AE350" s="81">
        <f t="shared" si="125"/>
        <v>930.23255813953483</v>
      </c>
      <c r="AF350" s="81">
        <f t="shared" ref="AF350:AF356" si="133">AD350*AI350</f>
        <v>840</v>
      </c>
      <c r="AG350" s="83">
        <v>1</v>
      </c>
      <c r="AH350" s="83">
        <v>5.25</v>
      </c>
      <c r="AI350" s="83">
        <f t="shared" si="131"/>
        <v>0.84</v>
      </c>
      <c r="AJ350" s="81">
        <f t="shared" si="126"/>
        <v>541.377322515213</v>
      </c>
      <c r="AK350" s="81">
        <f t="shared" si="127"/>
        <v>419.67234303504887</v>
      </c>
      <c r="AL350" s="81">
        <f t="shared" si="116"/>
        <v>381.377322515213</v>
      </c>
      <c r="AM350" s="83">
        <f t="shared" si="132"/>
        <v>1.4198782961460446E-2</v>
      </c>
      <c r="AN350" s="83">
        <f t="shared" si="121"/>
        <v>1.3999999999999999E-2</v>
      </c>
      <c r="AO350" s="83">
        <v>0.45254</v>
      </c>
      <c r="AP350" s="83">
        <f t="shared" si="130"/>
        <v>2.3836082657200812</v>
      </c>
      <c r="AQ350" s="83">
        <f t="shared" si="123"/>
        <v>0.70445751355699993</v>
      </c>
      <c r="AR350" s="77" t="s">
        <v>187</v>
      </c>
    </row>
    <row r="351" spans="1:44" ht="15" customHeight="1" x14ac:dyDescent="0.25">
      <c r="A351" s="76">
        <v>350</v>
      </c>
      <c r="B351" s="76">
        <v>2006</v>
      </c>
      <c r="C351" s="77" t="s">
        <v>181</v>
      </c>
      <c r="D351" s="76">
        <v>8</v>
      </c>
      <c r="E351" s="78">
        <v>35</v>
      </c>
      <c r="F351" s="79">
        <v>1</v>
      </c>
      <c r="G351" s="80">
        <v>50</v>
      </c>
      <c r="H351" s="80">
        <v>15</v>
      </c>
      <c r="I351" s="78">
        <v>100</v>
      </c>
      <c r="J351" s="81">
        <v>7.8299999999999995E-2</v>
      </c>
      <c r="K351" s="77" t="s">
        <v>63</v>
      </c>
      <c r="L351" s="77" t="s">
        <v>36</v>
      </c>
      <c r="M351" s="77" t="s">
        <v>289</v>
      </c>
      <c r="N351" s="77">
        <v>25</v>
      </c>
      <c r="O351" s="77">
        <v>120</v>
      </c>
      <c r="P351" s="78"/>
      <c r="Q351" s="81">
        <v>17</v>
      </c>
      <c r="R351" s="82"/>
      <c r="S351" s="82">
        <v>7.0808110765378237E-5</v>
      </c>
      <c r="T351" s="82">
        <v>750000000</v>
      </c>
      <c r="U351" s="78">
        <v>2995</v>
      </c>
      <c r="V351" s="82">
        <v>1.7919999999999998E-2</v>
      </c>
      <c r="W351" s="82">
        <v>2.3040000000000001E-2</v>
      </c>
      <c r="X351" s="82">
        <v>0.54900000000000004</v>
      </c>
      <c r="Y351" s="78">
        <v>29.6</v>
      </c>
      <c r="Z351" s="78">
        <v>1075</v>
      </c>
      <c r="AA351" s="78">
        <f t="shared" si="120"/>
        <v>400</v>
      </c>
      <c r="AB351" s="81">
        <f t="shared" si="122"/>
        <v>0.82189116447904176</v>
      </c>
      <c r="AC351" s="81">
        <f t="shared" si="124"/>
        <v>160</v>
      </c>
      <c r="AD351" s="81">
        <v>1000</v>
      </c>
      <c r="AE351" s="81">
        <f t="shared" si="125"/>
        <v>930.23255813953483</v>
      </c>
      <c r="AF351" s="81">
        <f t="shared" si="133"/>
        <v>840</v>
      </c>
      <c r="AG351" s="83">
        <v>1</v>
      </c>
      <c r="AH351" s="83">
        <v>5.25</v>
      </c>
      <c r="AI351" s="83">
        <f t="shared" si="131"/>
        <v>0.84</v>
      </c>
      <c r="AJ351" s="81">
        <f t="shared" si="126"/>
        <v>162.51474645030427</v>
      </c>
      <c r="AK351" s="81">
        <f t="shared" si="127"/>
        <v>125.98042360488704</v>
      </c>
      <c r="AL351" s="81">
        <f t="shared" si="116"/>
        <v>2.5147464503042594</v>
      </c>
      <c r="AM351" s="83">
        <f t="shared" si="132"/>
        <v>1.4198782961460446E-2</v>
      </c>
      <c r="AN351" s="83">
        <f t="shared" si="121"/>
        <v>1.3999999999999999E-2</v>
      </c>
      <c r="AO351" s="83">
        <v>2.9E-4</v>
      </c>
      <c r="AP351" s="83">
        <f t="shared" si="130"/>
        <v>1.5717165314401621E-2</v>
      </c>
      <c r="AQ351" s="83">
        <f t="shared" si="123"/>
        <v>1.5473958549806118E-2</v>
      </c>
      <c r="AR351" s="77" t="s">
        <v>188</v>
      </c>
    </row>
    <row r="352" spans="1:44" ht="15" customHeight="1" x14ac:dyDescent="0.25">
      <c r="A352" s="76">
        <v>351</v>
      </c>
      <c r="B352" s="76">
        <v>2006</v>
      </c>
      <c r="C352" s="77" t="s">
        <v>181</v>
      </c>
      <c r="D352" s="76">
        <v>9</v>
      </c>
      <c r="E352" s="78">
        <v>35</v>
      </c>
      <c r="F352" s="79">
        <v>1</v>
      </c>
      <c r="G352" s="80">
        <v>50</v>
      </c>
      <c r="H352" s="80">
        <v>15</v>
      </c>
      <c r="I352" s="78">
        <v>93</v>
      </c>
      <c r="J352" s="81">
        <v>0.2306</v>
      </c>
      <c r="K352" s="77" t="s">
        <v>63</v>
      </c>
      <c r="L352" s="77" t="s">
        <v>36</v>
      </c>
      <c r="M352" s="77" t="s">
        <v>289</v>
      </c>
      <c r="N352" s="77">
        <v>25</v>
      </c>
      <c r="O352" s="77">
        <v>120</v>
      </c>
      <c r="P352" s="78"/>
      <c r="Q352" s="81">
        <v>26</v>
      </c>
      <c r="R352" s="82"/>
      <c r="S352" s="82">
        <v>7.0808110765378237E-5</v>
      </c>
      <c r="T352" s="82">
        <v>750000000</v>
      </c>
      <c r="U352" s="78">
        <v>2995</v>
      </c>
      <c r="V352" s="82">
        <v>1.7919999999999998E-2</v>
      </c>
      <c r="W352" s="82">
        <v>2.3040000000000001E-2</v>
      </c>
      <c r="X352" s="82">
        <v>0.54900000000000004</v>
      </c>
      <c r="Y352" s="78">
        <v>29.6</v>
      </c>
      <c r="Z352" s="78">
        <v>1075</v>
      </c>
      <c r="AA352" s="78">
        <f t="shared" si="120"/>
        <v>400</v>
      </c>
      <c r="AB352" s="81">
        <f t="shared" si="122"/>
        <v>0.82189116447904176</v>
      </c>
      <c r="AC352" s="81">
        <f t="shared" si="124"/>
        <v>160</v>
      </c>
      <c r="AD352" s="81">
        <v>1000</v>
      </c>
      <c r="AE352" s="81">
        <f t="shared" si="125"/>
        <v>930.23255813953483</v>
      </c>
      <c r="AF352" s="81">
        <f t="shared" si="133"/>
        <v>840</v>
      </c>
      <c r="AG352" s="83">
        <v>1</v>
      </c>
      <c r="AH352" s="83">
        <v>5.25</v>
      </c>
      <c r="AI352" s="83">
        <f t="shared" si="131"/>
        <v>0.84</v>
      </c>
      <c r="AJ352" s="81">
        <f t="shared" si="126"/>
        <v>165.21223123732253</v>
      </c>
      <c r="AK352" s="81">
        <f t="shared" si="127"/>
        <v>128.07149708319577</v>
      </c>
      <c r="AL352" s="81">
        <f t="shared" si="116"/>
        <v>5.2122312373225164</v>
      </c>
      <c r="AM352" s="83">
        <f t="shared" si="132"/>
        <v>1.4198782961460446E-2</v>
      </c>
      <c r="AN352" s="83">
        <f t="shared" si="121"/>
        <v>1.3999999999999999E-2</v>
      </c>
      <c r="AO352" s="83">
        <v>3.5100000000000001E-3</v>
      </c>
      <c r="AP352" s="83">
        <f t="shared" si="130"/>
        <v>3.2576445233265722E-2</v>
      </c>
      <c r="AQ352" s="83">
        <f t="shared" si="123"/>
        <v>3.1548700712329819E-2</v>
      </c>
      <c r="AR352" s="77" t="s">
        <v>189</v>
      </c>
    </row>
    <row r="353" spans="1:44" ht="15" customHeight="1" x14ac:dyDescent="0.25">
      <c r="A353" s="76">
        <v>352</v>
      </c>
      <c r="B353" s="76">
        <v>2006</v>
      </c>
      <c r="C353" s="77" t="s">
        <v>181</v>
      </c>
      <c r="D353" s="76">
        <v>10</v>
      </c>
      <c r="E353" s="78">
        <v>26</v>
      </c>
      <c r="F353" s="79">
        <v>1</v>
      </c>
      <c r="G353" s="80">
        <v>50</v>
      </c>
      <c r="H353" s="80">
        <v>15</v>
      </c>
      <c r="I353" s="78">
        <v>101</v>
      </c>
      <c r="J353" s="81">
        <v>0.44990000000000002</v>
      </c>
      <c r="K353" s="77" t="s">
        <v>63</v>
      </c>
      <c r="L353" s="77" t="s">
        <v>36</v>
      </c>
      <c r="M353" s="77" t="s">
        <v>289</v>
      </c>
      <c r="N353" s="77">
        <v>25</v>
      </c>
      <c r="O353" s="77">
        <v>120</v>
      </c>
      <c r="P353" s="78"/>
      <c r="Q353" s="81">
        <v>9</v>
      </c>
      <c r="R353" s="82"/>
      <c r="S353" s="82">
        <v>7.0808110765378237E-5</v>
      </c>
      <c r="T353" s="82">
        <v>750000000</v>
      </c>
      <c r="U353" s="78">
        <v>2995</v>
      </c>
      <c r="V353" s="82">
        <v>1.7919999999999998E-2</v>
      </c>
      <c r="W353" s="82">
        <v>2.3040000000000001E-2</v>
      </c>
      <c r="X353" s="82">
        <v>0.54900000000000004</v>
      </c>
      <c r="Y353" s="78">
        <v>29.6</v>
      </c>
      <c r="Z353" s="78">
        <v>1075</v>
      </c>
      <c r="AA353" s="78">
        <f t="shared" si="120"/>
        <v>400</v>
      </c>
      <c r="AB353" s="81">
        <f t="shared" si="122"/>
        <v>0.82189116447904176</v>
      </c>
      <c r="AC353" s="81">
        <f t="shared" si="124"/>
        <v>160</v>
      </c>
      <c r="AD353" s="81">
        <v>1000</v>
      </c>
      <c r="AE353" s="81">
        <f t="shared" si="125"/>
        <v>930.23255813953483</v>
      </c>
      <c r="AF353" s="81">
        <f t="shared" si="133"/>
        <v>840</v>
      </c>
      <c r="AG353" s="83">
        <v>1</v>
      </c>
      <c r="AH353" s="83">
        <v>5.25</v>
      </c>
      <c r="AI353" s="83">
        <f t="shared" si="131"/>
        <v>0.84</v>
      </c>
      <c r="AJ353" s="81">
        <f t="shared" si="126"/>
        <v>163.85511156186612</v>
      </c>
      <c r="AK353" s="81">
        <f t="shared" si="127"/>
        <v>127.01946632702801</v>
      </c>
      <c r="AL353" s="81">
        <f t="shared" si="116"/>
        <v>3.8551115618661256</v>
      </c>
      <c r="AM353" s="83">
        <f t="shared" si="132"/>
        <v>1.4198782961460446E-2</v>
      </c>
      <c r="AN353" s="83">
        <f t="shared" si="121"/>
        <v>1.3999999999999999E-2</v>
      </c>
      <c r="AO353" s="83">
        <v>1.89E-3</v>
      </c>
      <c r="AP353" s="83">
        <f t="shared" si="130"/>
        <v>2.4094447261663286E-2</v>
      </c>
      <c r="AQ353" s="83">
        <f t="shared" si="123"/>
        <v>2.3527563620806338E-2</v>
      </c>
      <c r="AR353" s="77" t="s">
        <v>190</v>
      </c>
    </row>
    <row r="354" spans="1:44" ht="15" customHeight="1" x14ac:dyDescent="0.25">
      <c r="A354" s="76">
        <v>353</v>
      </c>
      <c r="B354" s="76">
        <v>2006</v>
      </c>
      <c r="C354" s="77" t="s">
        <v>181</v>
      </c>
      <c r="D354" s="76">
        <v>11</v>
      </c>
      <c r="E354" s="78">
        <v>27</v>
      </c>
      <c r="F354" s="79">
        <v>1</v>
      </c>
      <c r="G354" s="80">
        <v>50</v>
      </c>
      <c r="H354" s="80">
        <v>15</v>
      </c>
      <c r="I354" s="78">
        <v>101</v>
      </c>
      <c r="J354" s="81">
        <v>0.41799999999999998</v>
      </c>
      <c r="K354" s="77" t="s">
        <v>63</v>
      </c>
      <c r="L354" s="77" t="s">
        <v>36</v>
      </c>
      <c r="M354" s="77" t="s">
        <v>289</v>
      </c>
      <c r="N354" s="77">
        <v>25</v>
      </c>
      <c r="O354" s="77">
        <v>300</v>
      </c>
      <c r="P354" s="78"/>
      <c r="Q354" s="81">
        <v>11</v>
      </c>
      <c r="R354" s="82"/>
      <c r="S354" s="82">
        <v>7.0808110765378237E-5</v>
      </c>
      <c r="T354" s="82">
        <v>750000000</v>
      </c>
      <c r="U354" s="78">
        <v>2995</v>
      </c>
      <c r="V354" s="82">
        <v>1.7919999999999998E-2</v>
      </c>
      <c r="W354" s="82">
        <v>2.3040000000000001E-2</v>
      </c>
      <c r="X354" s="82">
        <v>0.54900000000000004</v>
      </c>
      <c r="Y354" s="78">
        <v>29.6</v>
      </c>
      <c r="Z354" s="78">
        <v>1075</v>
      </c>
      <c r="AA354" s="78">
        <f t="shared" si="120"/>
        <v>400</v>
      </c>
      <c r="AB354" s="81">
        <f t="shared" si="122"/>
        <v>0.82189116447904176</v>
      </c>
      <c r="AC354" s="81">
        <f t="shared" si="124"/>
        <v>160</v>
      </c>
      <c r="AD354" s="81">
        <v>1000</v>
      </c>
      <c r="AE354" s="81">
        <f t="shared" si="125"/>
        <v>930.23255813953483</v>
      </c>
      <c r="AF354" s="81">
        <f t="shared" si="133"/>
        <v>840</v>
      </c>
      <c r="AG354" s="83">
        <v>1</v>
      </c>
      <c r="AH354" s="83">
        <v>5.25</v>
      </c>
      <c r="AI354" s="83">
        <f t="shared" si="131"/>
        <v>0.84</v>
      </c>
      <c r="AJ354" s="81">
        <f t="shared" si="126"/>
        <v>163.63730223123733</v>
      </c>
      <c r="AK354" s="81">
        <f t="shared" si="127"/>
        <v>126.85062188468011</v>
      </c>
      <c r="AL354" s="81">
        <f t="shared" si="116"/>
        <v>3.6373022312373231</v>
      </c>
      <c r="AM354" s="83">
        <f t="shared" si="132"/>
        <v>1.4198782961460446E-2</v>
      </c>
      <c r="AN354" s="83">
        <f t="shared" si="121"/>
        <v>1.3999999999999999E-2</v>
      </c>
      <c r="AO354" s="83">
        <v>1.6299999999999999E-3</v>
      </c>
      <c r="AP354" s="83">
        <f t="shared" si="130"/>
        <v>2.2733138945233267E-2</v>
      </c>
      <c r="AQ354" s="83">
        <f t="shared" si="123"/>
        <v>2.2227830584113512E-2</v>
      </c>
      <c r="AR354" s="77" t="s">
        <v>191</v>
      </c>
    </row>
    <row r="355" spans="1:44" ht="15" customHeight="1" x14ac:dyDescent="0.25">
      <c r="A355" s="76">
        <v>354</v>
      </c>
      <c r="B355" s="76">
        <v>2006</v>
      </c>
      <c r="C355" s="77" t="s">
        <v>181</v>
      </c>
      <c r="D355" s="76">
        <v>12</v>
      </c>
      <c r="E355" s="78">
        <v>23</v>
      </c>
      <c r="F355" s="79">
        <v>1</v>
      </c>
      <c r="G355" s="80">
        <v>50</v>
      </c>
      <c r="H355" s="80">
        <v>15</v>
      </c>
      <c r="I355" s="78">
        <v>101</v>
      </c>
      <c r="J355" s="81">
        <v>0.76939999999999997</v>
      </c>
      <c r="K355" s="77" t="s">
        <v>63</v>
      </c>
      <c r="L355" s="77" t="s">
        <v>36</v>
      </c>
      <c r="M355" s="77" t="s">
        <v>289</v>
      </c>
      <c r="N355" s="77">
        <v>25</v>
      </c>
      <c r="O355" s="77">
        <v>120</v>
      </c>
      <c r="P355" s="78"/>
      <c r="Q355" s="81">
        <v>11</v>
      </c>
      <c r="R355" s="82"/>
      <c r="S355" s="82">
        <v>7.0808110765378237E-5</v>
      </c>
      <c r="T355" s="82">
        <v>750000000</v>
      </c>
      <c r="U355" s="78">
        <v>2995</v>
      </c>
      <c r="V355" s="82">
        <v>1.7919999999999998E-2</v>
      </c>
      <c r="W355" s="82">
        <v>2.3040000000000001E-2</v>
      </c>
      <c r="X355" s="82">
        <v>0.54900000000000004</v>
      </c>
      <c r="Y355" s="78">
        <v>29.6</v>
      </c>
      <c r="Z355" s="78">
        <v>1075</v>
      </c>
      <c r="AA355" s="78">
        <f t="shared" si="120"/>
        <v>400</v>
      </c>
      <c r="AB355" s="81">
        <f t="shared" si="122"/>
        <v>0.82189116447904176</v>
      </c>
      <c r="AC355" s="81">
        <f t="shared" si="124"/>
        <v>160</v>
      </c>
      <c r="AD355" s="81">
        <v>1000</v>
      </c>
      <c r="AE355" s="81">
        <f t="shared" si="125"/>
        <v>930.23255813953483</v>
      </c>
      <c r="AF355" s="81">
        <f t="shared" si="133"/>
        <v>840</v>
      </c>
      <c r="AG355" s="83">
        <v>1</v>
      </c>
      <c r="AH355" s="83">
        <v>5.25</v>
      </c>
      <c r="AI355" s="83">
        <f t="shared" si="131"/>
        <v>0.84</v>
      </c>
      <c r="AJ355" s="81">
        <f t="shared" si="126"/>
        <v>167.97673427991887</v>
      </c>
      <c r="AK355" s="81">
        <f t="shared" si="127"/>
        <v>130.21452269761153</v>
      </c>
      <c r="AL355" s="81">
        <f t="shared" si="116"/>
        <v>7.9767342799188654</v>
      </c>
      <c r="AM355" s="83">
        <f t="shared" si="132"/>
        <v>1.4198782961460446E-2</v>
      </c>
      <c r="AN355" s="83">
        <f t="shared" si="121"/>
        <v>1.3999999999999999E-2</v>
      </c>
      <c r="AO355" s="83">
        <v>6.8100000000000001E-3</v>
      </c>
      <c r="AP355" s="83">
        <f t="shared" si="130"/>
        <v>4.9854589249492903E-2</v>
      </c>
      <c r="AQ355" s="83">
        <f t="shared" si="123"/>
        <v>4.7487137514093586E-2</v>
      </c>
      <c r="AR355" s="77" t="s">
        <v>192</v>
      </c>
    </row>
    <row r="356" spans="1:44" s="10" customFormat="1" ht="15" customHeight="1" x14ac:dyDescent="0.25">
      <c r="A356" s="1">
        <v>355</v>
      </c>
      <c r="B356" s="1">
        <v>2006</v>
      </c>
      <c r="C356" s="28" t="s">
        <v>181</v>
      </c>
      <c r="D356" s="1">
        <v>13</v>
      </c>
      <c r="E356" s="8">
        <v>27</v>
      </c>
      <c r="F356" s="31">
        <v>1</v>
      </c>
      <c r="G356" s="49">
        <v>50</v>
      </c>
      <c r="H356" s="49">
        <v>15</v>
      </c>
      <c r="I356" s="8">
        <v>101</v>
      </c>
      <c r="J356" s="51">
        <v>0.71730000000000005</v>
      </c>
      <c r="K356" s="28" t="s">
        <v>63</v>
      </c>
      <c r="L356" s="28" t="s">
        <v>36</v>
      </c>
      <c r="M356" s="28" t="s">
        <v>289</v>
      </c>
      <c r="N356" s="28">
        <v>25</v>
      </c>
      <c r="O356" s="28">
        <v>300</v>
      </c>
      <c r="P356" s="8"/>
      <c r="Q356" s="51">
        <v>13</v>
      </c>
      <c r="R356" s="9"/>
      <c r="S356" s="9">
        <v>7.0808110765378237E-5</v>
      </c>
      <c r="T356" s="9">
        <v>750000000</v>
      </c>
      <c r="U356" s="8">
        <v>2995</v>
      </c>
      <c r="V356" s="9">
        <v>1.7919999999999998E-2</v>
      </c>
      <c r="W356" s="9">
        <v>2.3040000000000001E-2</v>
      </c>
      <c r="X356" s="9">
        <v>0.54900000000000004</v>
      </c>
      <c r="Y356" s="8">
        <v>29.6</v>
      </c>
      <c r="Z356" s="8">
        <v>1075</v>
      </c>
      <c r="AA356" s="8">
        <f t="shared" si="120"/>
        <v>400</v>
      </c>
      <c r="AB356" s="51">
        <f t="shared" si="122"/>
        <v>0.82189116447904176</v>
      </c>
      <c r="AC356" s="51">
        <f t="shared" si="124"/>
        <v>160</v>
      </c>
      <c r="AD356" s="51">
        <v>1000</v>
      </c>
      <c r="AE356" s="51">
        <f t="shared" si="125"/>
        <v>930.23255813953483</v>
      </c>
      <c r="AF356" s="51">
        <f t="shared" si="133"/>
        <v>840</v>
      </c>
      <c r="AG356" s="52">
        <v>1</v>
      </c>
      <c r="AH356" s="52">
        <v>5.25</v>
      </c>
      <c r="AI356" s="52">
        <f t="shared" si="131"/>
        <v>0.84</v>
      </c>
      <c r="AJ356" s="51">
        <f t="shared" si="126"/>
        <v>163.63730223123733</v>
      </c>
      <c r="AK356" s="51">
        <f t="shared" si="127"/>
        <v>126.85062188468011</v>
      </c>
      <c r="AL356" s="51">
        <f t="shared" si="116"/>
        <v>3.6373022312373231</v>
      </c>
      <c r="AM356" s="52">
        <f t="shared" si="132"/>
        <v>1.4198782961460446E-2</v>
      </c>
      <c r="AN356" s="52">
        <f t="shared" si="121"/>
        <v>1.3999999999999999E-2</v>
      </c>
      <c r="AO356" s="52">
        <v>1.6299999999999999E-3</v>
      </c>
      <c r="AP356" s="52">
        <f t="shared" si="130"/>
        <v>2.2733138945233267E-2</v>
      </c>
      <c r="AQ356" s="52">
        <f t="shared" si="123"/>
        <v>2.2227830584113512E-2</v>
      </c>
      <c r="AR356" s="28" t="s">
        <v>193</v>
      </c>
    </row>
    <row r="357" spans="1:44" ht="15" hidden="1" customHeight="1" x14ac:dyDescent="0.25">
      <c r="A357" s="76">
        <v>356</v>
      </c>
      <c r="B357" s="76">
        <v>2007</v>
      </c>
      <c r="C357" s="77" t="s">
        <v>194</v>
      </c>
      <c r="D357" s="76">
        <v>1</v>
      </c>
      <c r="E357" s="78">
        <v>15</v>
      </c>
      <c r="F357" s="79">
        <v>0.4</v>
      </c>
      <c r="G357" s="80">
        <v>65</v>
      </c>
      <c r="H357" s="80">
        <v>30</v>
      </c>
      <c r="I357" s="78">
        <v>72</v>
      </c>
      <c r="J357" s="81">
        <v>0.15359999999999999</v>
      </c>
      <c r="K357" s="77" t="s">
        <v>5</v>
      </c>
      <c r="L357" s="77" t="s">
        <v>36</v>
      </c>
      <c r="M357" s="77" t="s">
        <v>34</v>
      </c>
      <c r="N357" s="77" t="s">
        <v>34</v>
      </c>
      <c r="O357" s="77" t="s">
        <v>34</v>
      </c>
      <c r="P357" s="78"/>
      <c r="Q357" s="81">
        <v>10</v>
      </c>
      <c r="R357" s="82"/>
      <c r="S357" s="82">
        <v>1.1250909077262539E-4</v>
      </c>
      <c r="T357" s="82">
        <v>790000000</v>
      </c>
      <c r="U357" s="78">
        <v>2995</v>
      </c>
      <c r="V357" s="82">
        <v>1.7919999999999998E-2</v>
      </c>
      <c r="W357" s="82">
        <v>2.3040000000000001E-2</v>
      </c>
      <c r="X357" s="82">
        <v>0.54900000000000004</v>
      </c>
      <c r="Y357" s="78">
        <v>29.6</v>
      </c>
      <c r="Z357" s="78"/>
      <c r="AA357" s="78"/>
      <c r="AB357" s="81"/>
      <c r="AC357" s="81"/>
      <c r="AD357" s="81"/>
      <c r="AE357" s="81"/>
      <c r="AF357" s="81"/>
      <c r="AG357" s="83"/>
      <c r="AH357" s="83"/>
      <c r="AI357" s="83"/>
      <c r="AJ357" s="81"/>
      <c r="AK357" s="81"/>
      <c r="AL357" s="81"/>
      <c r="AM357" s="83"/>
      <c r="AN357" s="83"/>
      <c r="AO357" s="83"/>
      <c r="AP357" s="83"/>
      <c r="AQ357" s="83"/>
      <c r="AR357" s="77" t="s">
        <v>34</v>
      </c>
    </row>
    <row r="358" spans="1:44" s="12" customFormat="1" ht="15" customHeight="1" x14ac:dyDescent="0.25">
      <c r="A358" s="3">
        <v>357</v>
      </c>
      <c r="B358" s="3">
        <v>2007</v>
      </c>
      <c r="C358" s="27" t="s">
        <v>195</v>
      </c>
      <c r="D358" s="3">
        <v>1</v>
      </c>
      <c r="E358" s="11">
        <v>80</v>
      </c>
      <c r="F358" s="30">
        <v>1</v>
      </c>
      <c r="G358" s="58">
        <v>50</v>
      </c>
      <c r="H358" s="58">
        <v>12.5</v>
      </c>
      <c r="I358" s="11">
        <v>79</v>
      </c>
      <c r="J358" s="47">
        <v>8.6800000000000002E-2</v>
      </c>
      <c r="K358" s="27" t="s">
        <v>306</v>
      </c>
      <c r="L358" s="27" t="s">
        <v>36</v>
      </c>
      <c r="M358" s="27" t="s">
        <v>289</v>
      </c>
      <c r="N358" s="27">
        <v>25</v>
      </c>
      <c r="O358" s="27">
        <v>180</v>
      </c>
      <c r="P358" s="11"/>
      <c r="Q358" s="47">
        <v>13</v>
      </c>
      <c r="R358" s="4"/>
      <c r="S358" s="4">
        <v>2.1152171353068804E-4</v>
      </c>
      <c r="T358" s="4">
        <v>817000000</v>
      </c>
      <c r="U358" s="11">
        <v>2669</v>
      </c>
      <c r="V358" s="4">
        <v>1.7919999999999998E-2</v>
      </c>
      <c r="W358" s="4">
        <v>2.3040000000000001E-2</v>
      </c>
      <c r="X358" s="4">
        <v>0.14899999999999999</v>
      </c>
      <c r="Y358" s="11">
        <v>29.6</v>
      </c>
      <c r="Z358" s="11">
        <v>1075</v>
      </c>
      <c r="AA358" s="11">
        <f t="shared" ref="AA358:AA369" si="134">AD358/2.5</f>
        <v>120</v>
      </c>
      <c r="AB358" s="47">
        <f t="shared" ref="AB358:AB397" si="135">POWER(3/(4*PI())*AE358/AA358,1/3)</f>
        <v>0.82189116447904176</v>
      </c>
      <c r="AC358" s="47">
        <f t="shared" ref="AC358:AC421" si="136">AD358-AF358</f>
        <v>70.588235294117652</v>
      </c>
      <c r="AD358" s="47">
        <v>300</v>
      </c>
      <c r="AE358" s="47">
        <f t="shared" ref="AE358:AE421" si="137">AD358/Z358*1000</f>
        <v>279.06976744186045</v>
      </c>
      <c r="AF358" s="47">
        <f t="shared" ref="AF358:AF421" si="138">AD358*AI358</f>
        <v>229.41176470588235</v>
      </c>
      <c r="AG358" s="53">
        <v>1</v>
      </c>
      <c r="AH358" s="53">
        <v>3.25</v>
      </c>
      <c r="AI358" s="53">
        <f t="shared" ref="AI358:AI421" si="139">AH358/(AH358+1)</f>
        <v>0.76470588235294112</v>
      </c>
      <c r="AJ358" s="47">
        <f t="shared" ref="AJ358:AJ421" si="140">AC358/(1-AQ358)</f>
        <v>93.634927058823536</v>
      </c>
      <c r="AK358" s="47">
        <f t="shared" ref="AK358:AK389" si="141">AJ358/1290*1000</f>
        <v>72.585214774281809</v>
      </c>
      <c r="AL358" s="47">
        <f t="shared" ref="AL358:AL421" si="142">AJ358*AQ358</f>
        <v>23.046691764705884</v>
      </c>
      <c r="AM358" s="53">
        <v>0.17</v>
      </c>
      <c r="AN358" s="53">
        <f t="shared" ref="AN358:AN421" si="143">AM358/(AM358+1)</f>
        <v>0.14529914529914531</v>
      </c>
      <c r="AO358" s="53">
        <v>5.0810000000000001E-2</v>
      </c>
      <c r="AP358" s="53">
        <f>AO358*(AH358-AM358)+AM358</f>
        <v>0.32649480000000003</v>
      </c>
      <c r="AQ358" s="53">
        <f t="shared" ref="AQ358:AQ421" si="144">AP358/(AP358+1)</f>
        <v>0.24613349407777552</v>
      </c>
      <c r="AR358" s="27" t="s">
        <v>196</v>
      </c>
    </row>
    <row r="359" spans="1:44" ht="15" customHeight="1" x14ac:dyDescent="0.25">
      <c r="A359" s="76">
        <v>358</v>
      </c>
      <c r="B359" s="76">
        <v>2007</v>
      </c>
      <c r="C359" s="77" t="s">
        <v>195</v>
      </c>
      <c r="D359" s="76">
        <v>2</v>
      </c>
      <c r="E359" s="78">
        <v>20</v>
      </c>
      <c r="F359" s="79">
        <v>1</v>
      </c>
      <c r="G359" s="75">
        <v>50</v>
      </c>
      <c r="H359" s="75">
        <v>12.5</v>
      </c>
      <c r="I359" s="78">
        <v>19</v>
      </c>
      <c r="J359" s="81">
        <v>3.2000000000000001E-2</v>
      </c>
      <c r="K359" s="77" t="s">
        <v>306</v>
      </c>
      <c r="L359" s="77" t="s">
        <v>36</v>
      </c>
      <c r="M359" s="77" t="s">
        <v>289</v>
      </c>
      <c r="N359" s="77">
        <v>25</v>
      </c>
      <c r="O359" s="77">
        <v>180</v>
      </c>
      <c r="P359" s="78"/>
      <c r="Q359" s="81">
        <v>51</v>
      </c>
      <c r="R359" s="82"/>
      <c r="S359" s="82">
        <v>2.1152171353068804E-4</v>
      </c>
      <c r="T359" s="82">
        <v>817000000</v>
      </c>
      <c r="U359" s="78">
        <v>2669</v>
      </c>
      <c r="V359" s="82">
        <v>1.7919999999999998E-2</v>
      </c>
      <c r="W359" s="82">
        <v>2.3040000000000001E-2</v>
      </c>
      <c r="X359" s="82">
        <v>0.14899999999999999</v>
      </c>
      <c r="Y359" s="78">
        <v>29.6</v>
      </c>
      <c r="Z359" s="78">
        <v>1075</v>
      </c>
      <c r="AA359" s="78">
        <f t="shared" si="134"/>
        <v>120</v>
      </c>
      <c r="AB359" s="81">
        <f t="shared" si="135"/>
        <v>0.82189116447904176</v>
      </c>
      <c r="AC359" s="81">
        <f t="shared" si="136"/>
        <v>70.588235294117652</v>
      </c>
      <c r="AD359" s="81">
        <v>300</v>
      </c>
      <c r="AE359" s="81">
        <f t="shared" si="137"/>
        <v>279.06976744186045</v>
      </c>
      <c r="AF359" s="81">
        <f t="shared" si="138"/>
        <v>229.41176470588235</v>
      </c>
      <c r="AG359" s="83">
        <v>1</v>
      </c>
      <c r="AH359" s="83">
        <v>3.25</v>
      </c>
      <c r="AI359" s="83">
        <f t="shared" si="139"/>
        <v>0.76470588235294112</v>
      </c>
      <c r="AJ359" s="81">
        <f t="shared" si="140"/>
        <v>93.132705882352951</v>
      </c>
      <c r="AK359" s="81">
        <f t="shared" si="141"/>
        <v>72.19589603283174</v>
      </c>
      <c r="AL359" s="81">
        <f t="shared" si="142"/>
        <v>22.544470588235296</v>
      </c>
      <c r="AM359" s="83">
        <v>0.17</v>
      </c>
      <c r="AN359" s="83">
        <f t="shared" si="143"/>
        <v>0.14529914529914531</v>
      </c>
      <c r="AO359" s="83">
        <v>4.8500000000000001E-2</v>
      </c>
      <c r="AP359" s="83">
        <f>AO359*(AH359-AM359)+AM359</f>
        <v>0.31938</v>
      </c>
      <c r="AQ359" s="83">
        <f t="shared" si="144"/>
        <v>0.24206824417529446</v>
      </c>
      <c r="AR359" s="77" t="s">
        <v>197</v>
      </c>
    </row>
    <row r="360" spans="1:44" ht="15" customHeight="1" x14ac:dyDescent="0.25">
      <c r="A360" s="76">
        <v>359</v>
      </c>
      <c r="B360" s="76">
        <v>2007</v>
      </c>
      <c r="C360" s="77" t="s">
        <v>195</v>
      </c>
      <c r="D360" s="76">
        <v>3</v>
      </c>
      <c r="E360" s="78">
        <v>16</v>
      </c>
      <c r="F360" s="79">
        <v>1</v>
      </c>
      <c r="G360" s="75">
        <v>60</v>
      </c>
      <c r="H360" s="75">
        <v>7.7</v>
      </c>
      <c r="I360" s="78">
        <v>15</v>
      </c>
      <c r="J360" s="81">
        <v>3.0300000000000001E-2</v>
      </c>
      <c r="K360" s="77" t="s">
        <v>306</v>
      </c>
      <c r="L360" s="77" t="s">
        <v>36</v>
      </c>
      <c r="M360" s="77" t="s">
        <v>289</v>
      </c>
      <c r="N360" s="77">
        <v>25</v>
      </c>
      <c r="O360" s="77">
        <v>180</v>
      </c>
      <c r="P360" s="78"/>
      <c r="Q360" s="81">
        <v>37</v>
      </c>
      <c r="R360" s="82"/>
      <c r="S360" s="82">
        <v>2.7102974299947748E-4</v>
      </c>
      <c r="T360" s="82">
        <v>817000000</v>
      </c>
      <c r="U360" s="78">
        <v>2669</v>
      </c>
      <c r="V360" s="82">
        <v>1.7919999999999998E-2</v>
      </c>
      <c r="W360" s="82">
        <v>2.3040000000000001E-2</v>
      </c>
      <c r="X360" s="82">
        <v>0.14899999999999999</v>
      </c>
      <c r="Y360" s="78">
        <v>29.6</v>
      </c>
      <c r="Z360" s="78">
        <v>1075</v>
      </c>
      <c r="AA360" s="78">
        <f t="shared" si="134"/>
        <v>120</v>
      </c>
      <c r="AB360" s="81">
        <f t="shared" si="135"/>
        <v>0.82189116447904176</v>
      </c>
      <c r="AC360" s="81">
        <f t="shared" si="136"/>
        <v>70.588235294117652</v>
      </c>
      <c r="AD360" s="81">
        <v>300</v>
      </c>
      <c r="AE360" s="81">
        <f t="shared" si="137"/>
        <v>279.06976744186045</v>
      </c>
      <c r="AF360" s="81">
        <f t="shared" si="138"/>
        <v>229.41176470588235</v>
      </c>
      <c r="AG360" s="83">
        <v>1</v>
      </c>
      <c r="AH360" s="83">
        <v>3.25</v>
      </c>
      <c r="AI360" s="83">
        <f t="shared" si="139"/>
        <v>0.76470588235294112</v>
      </c>
      <c r="AJ360" s="81">
        <f t="shared" si="140"/>
        <v>93.132705882352951</v>
      </c>
      <c r="AK360" s="81">
        <f t="shared" si="141"/>
        <v>72.19589603283174</v>
      </c>
      <c r="AL360" s="81">
        <f t="shared" si="142"/>
        <v>22.544470588235296</v>
      </c>
      <c r="AM360" s="83">
        <v>0.17</v>
      </c>
      <c r="AN360" s="83">
        <f t="shared" si="143"/>
        <v>0.14529914529914531</v>
      </c>
      <c r="AO360" s="83">
        <v>4.8500000000000001E-2</v>
      </c>
      <c r="AP360" s="83">
        <f>AO360*(AH360-AM360)+AM360</f>
        <v>0.31938</v>
      </c>
      <c r="AQ360" s="83">
        <f t="shared" si="144"/>
        <v>0.24206824417529446</v>
      </c>
      <c r="AR360" s="77" t="s">
        <v>197</v>
      </c>
    </row>
    <row r="361" spans="1:44" ht="15" customHeight="1" x14ac:dyDescent="0.25">
      <c r="A361" s="76">
        <v>360</v>
      </c>
      <c r="B361" s="76">
        <v>2007</v>
      </c>
      <c r="C361" s="77" t="s">
        <v>195</v>
      </c>
      <c r="D361" s="76">
        <v>4</v>
      </c>
      <c r="E361" s="78">
        <v>13</v>
      </c>
      <c r="F361" s="79">
        <v>1</v>
      </c>
      <c r="G361" s="75">
        <v>70</v>
      </c>
      <c r="H361" s="75">
        <v>4.9000000000000004</v>
      </c>
      <c r="I361" s="78">
        <v>12</v>
      </c>
      <c r="J361" s="81">
        <v>1.03E-2</v>
      </c>
      <c r="K361" s="77" t="s">
        <v>306</v>
      </c>
      <c r="L361" s="77" t="s">
        <v>36</v>
      </c>
      <c r="M361" s="77" t="s">
        <v>289</v>
      </c>
      <c r="N361" s="77">
        <v>25</v>
      </c>
      <c r="O361" s="77">
        <v>180</v>
      </c>
      <c r="P361" s="78"/>
      <c r="Q361" s="81">
        <v>32</v>
      </c>
      <c r="R361" s="82"/>
      <c r="S361" s="82">
        <v>3.4229788053304804E-4</v>
      </c>
      <c r="T361" s="82">
        <v>817000000</v>
      </c>
      <c r="U361" s="78">
        <v>2669</v>
      </c>
      <c r="V361" s="82">
        <v>1.7919999999999998E-2</v>
      </c>
      <c r="W361" s="82">
        <v>2.3040000000000001E-2</v>
      </c>
      <c r="X361" s="82">
        <v>0.14899999999999999</v>
      </c>
      <c r="Y361" s="78">
        <v>29.6</v>
      </c>
      <c r="Z361" s="78">
        <v>1075</v>
      </c>
      <c r="AA361" s="78">
        <f t="shared" si="134"/>
        <v>120</v>
      </c>
      <c r="AB361" s="81">
        <f t="shared" si="135"/>
        <v>0.82189116447904176</v>
      </c>
      <c r="AC361" s="81">
        <f t="shared" si="136"/>
        <v>70.588235294117652</v>
      </c>
      <c r="AD361" s="81">
        <v>300</v>
      </c>
      <c r="AE361" s="81">
        <f t="shared" si="137"/>
        <v>279.06976744186045</v>
      </c>
      <c r="AF361" s="81">
        <f t="shared" si="138"/>
        <v>229.41176470588235</v>
      </c>
      <c r="AG361" s="83">
        <v>1</v>
      </c>
      <c r="AH361" s="83">
        <v>3.25</v>
      </c>
      <c r="AI361" s="83">
        <f t="shared" si="139"/>
        <v>0.76470588235294112</v>
      </c>
      <c r="AJ361" s="81">
        <f t="shared" si="140"/>
        <v>95.111152941176485</v>
      </c>
      <c r="AK361" s="81">
        <f t="shared" si="141"/>
        <v>73.729575923392616</v>
      </c>
      <c r="AL361" s="81">
        <f t="shared" si="142"/>
        <v>24.522917647058829</v>
      </c>
      <c r="AM361" s="83">
        <v>0.17</v>
      </c>
      <c r="AN361" s="83">
        <f t="shared" si="143"/>
        <v>0.14529914529914531</v>
      </c>
      <c r="AO361" s="83">
        <v>5.7599999999999998E-2</v>
      </c>
      <c r="AP361" s="83">
        <f>AO361*(AH361-AM361)+AM361</f>
        <v>0.34740800000000005</v>
      </c>
      <c r="AQ361" s="83">
        <f t="shared" si="144"/>
        <v>0.25783430111740469</v>
      </c>
      <c r="AR361" s="77" t="s">
        <v>197</v>
      </c>
    </row>
    <row r="362" spans="1:44" ht="15" customHeight="1" x14ac:dyDescent="0.25">
      <c r="A362" s="76">
        <v>361</v>
      </c>
      <c r="B362" s="76">
        <v>2007</v>
      </c>
      <c r="C362" s="77" t="s">
        <v>195</v>
      </c>
      <c r="D362" s="76">
        <v>5</v>
      </c>
      <c r="E362" s="78">
        <v>15</v>
      </c>
      <c r="F362" s="79">
        <v>1</v>
      </c>
      <c r="G362" s="75">
        <v>60</v>
      </c>
      <c r="H362" s="75">
        <v>12.5</v>
      </c>
      <c r="I362" s="78">
        <v>41</v>
      </c>
      <c r="J362" s="81">
        <v>3.9699999999999999E-2</v>
      </c>
      <c r="K362" s="77" t="s">
        <v>306</v>
      </c>
      <c r="L362" s="77" t="s">
        <v>36</v>
      </c>
      <c r="M362" s="77" t="s">
        <v>289</v>
      </c>
      <c r="N362" s="77">
        <v>25</v>
      </c>
      <c r="O362" s="77">
        <v>180</v>
      </c>
      <c r="P362" s="78"/>
      <c r="Q362" s="81">
        <v>22</v>
      </c>
      <c r="R362" s="82"/>
      <c r="S362" s="82">
        <v>2.7102974299947748E-4</v>
      </c>
      <c r="T362" s="82">
        <v>817000000</v>
      </c>
      <c r="U362" s="78">
        <v>2669</v>
      </c>
      <c r="V362" s="82">
        <v>1.7919999999999998E-2</v>
      </c>
      <c r="W362" s="82">
        <v>2.3040000000000001E-2</v>
      </c>
      <c r="X362" s="82">
        <v>0.14899999999999999</v>
      </c>
      <c r="Y362" s="78">
        <v>29.6</v>
      </c>
      <c r="Z362" s="78">
        <v>1075</v>
      </c>
      <c r="AA362" s="78">
        <f t="shared" si="134"/>
        <v>120</v>
      </c>
      <c r="AB362" s="81">
        <f t="shared" si="135"/>
        <v>0.82189116447904176</v>
      </c>
      <c r="AC362" s="81">
        <f t="shared" si="136"/>
        <v>70.588235294117652</v>
      </c>
      <c r="AD362" s="81">
        <v>300</v>
      </c>
      <c r="AE362" s="81">
        <f t="shared" si="137"/>
        <v>279.06976744186045</v>
      </c>
      <c r="AF362" s="81">
        <f t="shared" si="138"/>
        <v>229.41176470588235</v>
      </c>
      <c r="AG362" s="83">
        <v>1</v>
      </c>
      <c r="AH362" s="83">
        <v>3.25</v>
      </c>
      <c r="AI362" s="83">
        <f t="shared" si="139"/>
        <v>0.76470588235294112</v>
      </c>
      <c r="AJ362" s="81">
        <f t="shared" si="140"/>
        <v>82.588235294117652</v>
      </c>
      <c r="AK362" s="81">
        <f t="shared" si="141"/>
        <v>64.021887824897405</v>
      </c>
      <c r="AL362" s="81">
        <f t="shared" si="142"/>
        <v>12.000000000000002</v>
      </c>
      <c r="AM362" s="83">
        <v>0.17</v>
      </c>
      <c r="AN362" s="83">
        <f t="shared" si="143"/>
        <v>0.14529914529914531</v>
      </c>
      <c r="AO362" s="83">
        <v>0</v>
      </c>
      <c r="AP362" s="83">
        <v>0.17</v>
      </c>
      <c r="AQ362" s="83">
        <f t="shared" si="144"/>
        <v>0.14529914529914531</v>
      </c>
      <c r="AR362" s="77" t="s">
        <v>198</v>
      </c>
    </row>
    <row r="363" spans="1:44" s="10" customFormat="1" ht="15" customHeight="1" x14ac:dyDescent="0.25">
      <c r="A363" s="1">
        <v>362</v>
      </c>
      <c r="B363" s="1">
        <v>2007</v>
      </c>
      <c r="C363" s="28" t="s">
        <v>195</v>
      </c>
      <c r="D363" s="1">
        <v>6</v>
      </c>
      <c r="E363" s="8">
        <v>15</v>
      </c>
      <c r="F363" s="31">
        <v>1</v>
      </c>
      <c r="G363" s="59">
        <v>40</v>
      </c>
      <c r="H363" s="59">
        <v>20.9</v>
      </c>
      <c r="I363" s="8">
        <v>66</v>
      </c>
      <c r="J363" s="51">
        <v>1.6500000000000001E-2</v>
      </c>
      <c r="K363" s="28" t="s">
        <v>306</v>
      </c>
      <c r="L363" s="28" t="s">
        <v>36</v>
      </c>
      <c r="M363" s="28" t="s">
        <v>289</v>
      </c>
      <c r="N363" s="28">
        <v>25</v>
      </c>
      <c r="O363" s="28">
        <v>180</v>
      </c>
      <c r="P363" s="8"/>
      <c r="Q363" s="51">
        <v>50</v>
      </c>
      <c r="R363" s="9"/>
      <c r="S363" s="9">
        <v>1.6248643593528775E-4</v>
      </c>
      <c r="T363" s="9">
        <v>817000000</v>
      </c>
      <c r="U363" s="8">
        <v>2669</v>
      </c>
      <c r="V363" s="9">
        <v>1.7919999999999998E-2</v>
      </c>
      <c r="W363" s="9">
        <v>2.3040000000000001E-2</v>
      </c>
      <c r="X363" s="9">
        <v>0.14899999999999999</v>
      </c>
      <c r="Y363" s="8">
        <v>29.6</v>
      </c>
      <c r="Z363" s="8">
        <v>1075</v>
      </c>
      <c r="AA363" s="8">
        <f t="shared" si="134"/>
        <v>120</v>
      </c>
      <c r="AB363" s="51">
        <f t="shared" si="135"/>
        <v>0.82189116447904176</v>
      </c>
      <c r="AC363" s="51">
        <f t="shared" si="136"/>
        <v>70.588235294117652</v>
      </c>
      <c r="AD363" s="51">
        <v>300</v>
      </c>
      <c r="AE363" s="51">
        <f t="shared" si="137"/>
        <v>279.06976744186045</v>
      </c>
      <c r="AF363" s="51">
        <f t="shared" si="138"/>
        <v>229.41176470588235</v>
      </c>
      <c r="AG363" s="52">
        <v>1</v>
      </c>
      <c r="AH363" s="52">
        <v>3.25</v>
      </c>
      <c r="AI363" s="52">
        <f t="shared" si="139"/>
        <v>0.76470588235294112</v>
      </c>
      <c r="AJ363" s="51">
        <f t="shared" si="140"/>
        <v>82.588235294117652</v>
      </c>
      <c r="AK363" s="51">
        <f t="shared" si="141"/>
        <v>64.021887824897405</v>
      </c>
      <c r="AL363" s="51">
        <f t="shared" si="142"/>
        <v>12.000000000000002</v>
      </c>
      <c r="AM363" s="52">
        <v>0.17</v>
      </c>
      <c r="AN363" s="52">
        <f t="shared" si="143"/>
        <v>0.14529914529914531</v>
      </c>
      <c r="AO363" s="52">
        <v>0</v>
      </c>
      <c r="AP363" s="52">
        <v>0.17</v>
      </c>
      <c r="AQ363" s="52">
        <f t="shared" si="144"/>
        <v>0.14529914529914531</v>
      </c>
      <c r="AR363" s="28" t="s">
        <v>198</v>
      </c>
    </row>
    <row r="364" spans="1:44" ht="15" customHeight="1" x14ac:dyDescent="0.25">
      <c r="A364" s="21">
        <v>363</v>
      </c>
      <c r="B364" s="21">
        <v>2007</v>
      </c>
      <c r="C364" s="37" t="s">
        <v>199</v>
      </c>
      <c r="D364" s="21">
        <v>1</v>
      </c>
      <c r="E364" s="16">
        <v>21</v>
      </c>
      <c r="F364" s="40">
        <v>1.5</v>
      </c>
      <c r="G364" s="65">
        <v>50</v>
      </c>
      <c r="H364" s="65">
        <v>12.5</v>
      </c>
      <c r="I364" s="16">
        <v>80</v>
      </c>
      <c r="J364" s="48">
        <v>8.6800000000000002E-2</v>
      </c>
      <c r="K364" s="37" t="s">
        <v>306</v>
      </c>
      <c r="L364" s="37" t="s">
        <v>36</v>
      </c>
      <c r="M364" s="37" t="s">
        <v>289</v>
      </c>
      <c r="N364" s="37">
        <v>90</v>
      </c>
      <c r="O364" s="37">
        <v>30</v>
      </c>
      <c r="P364" s="16"/>
      <c r="Q364" s="48">
        <v>13</v>
      </c>
      <c r="R364" s="17"/>
      <c r="S364" s="17">
        <v>1.0948441752532682E-4</v>
      </c>
      <c r="T364" s="17">
        <v>820000000</v>
      </c>
      <c r="U364" s="16">
        <v>2883</v>
      </c>
      <c r="V364" s="17">
        <v>1.7919999999999998E-2</v>
      </c>
      <c r="W364" s="17">
        <v>2.3040000000000001E-2</v>
      </c>
      <c r="X364" s="17">
        <v>0.14899999999999999</v>
      </c>
      <c r="Y364" s="16">
        <v>29.6</v>
      </c>
      <c r="Z364" s="16">
        <v>1075</v>
      </c>
      <c r="AA364" s="16">
        <f t="shared" si="134"/>
        <v>120</v>
      </c>
      <c r="AB364" s="48">
        <f t="shared" si="135"/>
        <v>0.82189116447904176</v>
      </c>
      <c r="AC364" s="48">
        <f t="shared" si="136"/>
        <v>70.588235294117652</v>
      </c>
      <c r="AD364" s="48">
        <v>300</v>
      </c>
      <c r="AE364" s="48">
        <f t="shared" si="137"/>
        <v>279.06976744186045</v>
      </c>
      <c r="AF364" s="48">
        <f t="shared" si="138"/>
        <v>229.41176470588235</v>
      </c>
      <c r="AG364" s="66">
        <v>1</v>
      </c>
      <c r="AH364" s="66">
        <v>3.25</v>
      </c>
      <c r="AI364" s="66">
        <f t="shared" si="139"/>
        <v>0.76470588235294112</v>
      </c>
      <c r="AJ364" s="48">
        <f t="shared" si="140"/>
        <v>93.634927058823536</v>
      </c>
      <c r="AK364" s="48">
        <f t="shared" si="141"/>
        <v>72.585214774281809</v>
      </c>
      <c r="AL364" s="48">
        <f t="shared" si="142"/>
        <v>23.046691764705884</v>
      </c>
      <c r="AM364" s="66">
        <v>0.17</v>
      </c>
      <c r="AN364" s="66">
        <f t="shared" si="143"/>
        <v>0.14529914529914531</v>
      </c>
      <c r="AO364" s="66">
        <v>5.0810000000000001E-2</v>
      </c>
      <c r="AP364" s="66">
        <f>AO364*(AH364-AM364)+AM364</f>
        <v>0.32649480000000003</v>
      </c>
      <c r="AQ364" s="66">
        <f t="shared" si="144"/>
        <v>0.24613349407777552</v>
      </c>
      <c r="AR364" s="37" t="s">
        <v>196</v>
      </c>
    </row>
    <row r="365" spans="1:44" ht="15" customHeight="1" x14ac:dyDescent="0.25">
      <c r="A365" s="21">
        <v>364</v>
      </c>
      <c r="B365" s="21">
        <v>2007</v>
      </c>
      <c r="C365" s="37" t="s">
        <v>199</v>
      </c>
      <c r="D365" s="21">
        <v>2</v>
      </c>
      <c r="E365" s="16">
        <v>26</v>
      </c>
      <c r="F365" s="40">
        <v>1.5</v>
      </c>
      <c r="G365" s="65">
        <v>50</v>
      </c>
      <c r="H365" s="65">
        <v>12.5</v>
      </c>
      <c r="I365" s="16">
        <v>25</v>
      </c>
      <c r="J365" s="48">
        <v>3.2000000000000001E-2</v>
      </c>
      <c r="K365" s="37" t="s">
        <v>306</v>
      </c>
      <c r="L365" s="37" t="s">
        <v>36</v>
      </c>
      <c r="M365" s="37" t="s">
        <v>289</v>
      </c>
      <c r="N365" s="37">
        <v>25</v>
      </c>
      <c r="O365" s="37">
        <v>30</v>
      </c>
      <c r="P365" s="16"/>
      <c r="Q365" s="48">
        <v>51</v>
      </c>
      <c r="R365" s="17"/>
      <c r="S365" s="17">
        <v>1.0948441752532682E-4</v>
      </c>
      <c r="T365" s="17">
        <v>820000000</v>
      </c>
      <c r="U365" s="16">
        <v>2883</v>
      </c>
      <c r="V365" s="17">
        <v>1.7919999999999998E-2</v>
      </c>
      <c r="W365" s="17">
        <v>2.3040000000000001E-2</v>
      </c>
      <c r="X365" s="17">
        <v>0.14899999999999999</v>
      </c>
      <c r="Y365" s="16">
        <v>29.6</v>
      </c>
      <c r="Z365" s="16">
        <v>1075</v>
      </c>
      <c r="AA365" s="16">
        <f t="shared" si="134"/>
        <v>120</v>
      </c>
      <c r="AB365" s="48">
        <f t="shared" si="135"/>
        <v>0.82189116447904176</v>
      </c>
      <c r="AC365" s="48">
        <f t="shared" si="136"/>
        <v>70.588235294117652</v>
      </c>
      <c r="AD365" s="48">
        <v>300</v>
      </c>
      <c r="AE365" s="48">
        <f t="shared" si="137"/>
        <v>279.06976744186045</v>
      </c>
      <c r="AF365" s="48">
        <f t="shared" si="138"/>
        <v>229.41176470588235</v>
      </c>
      <c r="AG365" s="66">
        <v>1</v>
      </c>
      <c r="AH365" s="66">
        <v>3.25</v>
      </c>
      <c r="AI365" s="66">
        <f t="shared" si="139"/>
        <v>0.76470588235294112</v>
      </c>
      <c r="AJ365" s="48">
        <f t="shared" si="140"/>
        <v>93.132705882352951</v>
      </c>
      <c r="AK365" s="48">
        <f t="shared" si="141"/>
        <v>72.19589603283174</v>
      </c>
      <c r="AL365" s="48">
        <f t="shared" si="142"/>
        <v>22.544470588235296</v>
      </c>
      <c r="AM365" s="66">
        <v>0.17</v>
      </c>
      <c r="AN365" s="66">
        <f t="shared" si="143"/>
        <v>0.14529914529914531</v>
      </c>
      <c r="AO365" s="66">
        <v>4.8500000000000001E-2</v>
      </c>
      <c r="AP365" s="66">
        <f>AO365*(AH365-AM365)+AM365</f>
        <v>0.31938</v>
      </c>
      <c r="AQ365" s="66">
        <f t="shared" si="144"/>
        <v>0.24206824417529446</v>
      </c>
      <c r="AR365" s="37" t="s">
        <v>197</v>
      </c>
    </row>
    <row r="366" spans="1:44" ht="15" customHeight="1" x14ac:dyDescent="0.25">
      <c r="A366" s="21">
        <v>365</v>
      </c>
      <c r="B366" s="21">
        <v>2007</v>
      </c>
      <c r="C366" s="37" t="s">
        <v>199</v>
      </c>
      <c r="D366" s="21">
        <v>3</v>
      </c>
      <c r="E366" s="16">
        <v>17</v>
      </c>
      <c r="F366" s="40">
        <v>1.5</v>
      </c>
      <c r="G366" s="65">
        <v>60</v>
      </c>
      <c r="H366" s="65">
        <v>7.7</v>
      </c>
      <c r="I366" s="16">
        <v>16</v>
      </c>
      <c r="J366" s="48">
        <v>3.0300000000000001E-2</v>
      </c>
      <c r="K366" s="37" t="s">
        <v>306</v>
      </c>
      <c r="L366" s="37" t="s">
        <v>36</v>
      </c>
      <c r="M366" s="37" t="s">
        <v>289</v>
      </c>
      <c r="N366" s="37">
        <v>25</v>
      </c>
      <c r="O366" s="37">
        <v>30</v>
      </c>
      <c r="P366" s="16"/>
      <c r="Q366" s="48">
        <v>37</v>
      </c>
      <c r="R366" s="17"/>
      <c r="S366" s="17">
        <v>1.4310230575620338E-4</v>
      </c>
      <c r="T366" s="17">
        <v>820000000</v>
      </c>
      <c r="U366" s="16">
        <v>2883</v>
      </c>
      <c r="V366" s="17">
        <v>1.7919999999999998E-2</v>
      </c>
      <c r="W366" s="17">
        <v>2.3040000000000001E-2</v>
      </c>
      <c r="X366" s="17">
        <v>0.14899999999999999</v>
      </c>
      <c r="Y366" s="16">
        <v>29.6</v>
      </c>
      <c r="Z366" s="16">
        <v>1075</v>
      </c>
      <c r="AA366" s="16">
        <f t="shared" si="134"/>
        <v>120</v>
      </c>
      <c r="AB366" s="48">
        <f t="shared" si="135"/>
        <v>0.82189116447904176</v>
      </c>
      <c r="AC366" s="48">
        <f t="shared" si="136"/>
        <v>70.588235294117652</v>
      </c>
      <c r="AD366" s="48">
        <v>300</v>
      </c>
      <c r="AE366" s="48">
        <f t="shared" si="137"/>
        <v>279.06976744186045</v>
      </c>
      <c r="AF366" s="48">
        <f t="shared" si="138"/>
        <v>229.41176470588235</v>
      </c>
      <c r="AG366" s="66">
        <v>1</v>
      </c>
      <c r="AH366" s="66">
        <v>3.25</v>
      </c>
      <c r="AI366" s="66">
        <f t="shared" si="139"/>
        <v>0.76470588235294112</v>
      </c>
      <c r="AJ366" s="48">
        <f t="shared" si="140"/>
        <v>93.132705882352951</v>
      </c>
      <c r="AK366" s="48">
        <f t="shared" si="141"/>
        <v>72.19589603283174</v>
      </c>
      <c r="AL366" s="48">
        <f t="shared" si="142"/>
        <v>22.544470588235296</v>
      </c>
      <c r="AM366" s="66">
        <v>0.17</v>
      </c>
      <c r="AN366" s="66">
        <f t="shared" si="143"/>
        <v>0.14529914529914531</v>
      </c>
      <c r="AO366" s="66">
        <v>4.8500000000000001E-2</v>
      </c>
      <c r="AP366" s="66">
        <f>AO366*(AH366-AM366)+AM366</f>
        <v>0.31938</v>
      </c>
      <c r="AQ366" s="66">
        <f t="shared" si="144"/>
        <v>0.24206824417529446</v>
      </c>
      <c r="AR366" s="37" t="s">
        <v>197</v>
      </c>
    </row>
    <row r="367" spans="1:44" ht="15" customHeight="1" x14ac:dyDescent="0.25">
      <c r="A367" s="21">
        <v>366</v>
      </c>
      <c r="B367" s="21">
        <v>2007</v>
      </c>
      <c r="C367" s="37" t="s">
        <v>199</v>
      </c>
      <c r="D367" s="21">
        <v>4</v>
      </c>
      <c r="E367" s="16">
        <v>16</v>
      </c>
      <c r="F367" s="40">
        <v>1.5</v>
      </c>
      <c r="G367" s="65">
        <v>70</v>
      </c>
      <c r="H367" s="65">
        <v>4.9000000000000004</v>
      </c>
      <c r="I367" s="16">
        <v>15</v>
      </c>
      <c r="J367" s="48">
        <v>1.03E-2</v>
      </c>
      <c r="K367" s="37" t="s">
        <v>306</v>
      </c>
      <c r="L367" s="37" t="s">
        <v>36</v>
      </c>
      <c r="M367" s="37" t="s">
        <v>289</v>
      </c>
      <c r="N367" s="37">
        <v>25</v>
      </c>
      <c r="O367" s="37">
        <v>30</v>
      </c>
      <c r="P367" s="16"/>
      <c r="Q367" s="48">
        <v>32</v>
      </c>
      <c r="R367" s="17"/>
      <c r="S367" s="17">
        <v>1.8414634468563571E-4</v>
      </c>
      <c r="T367" s="17">
        <v>820000000</v>
      </c>
      <c r="U367" s="16">
        <v>2883</v>
      </c>
      <c r="V367" s="17">
        <v>1.7919999999999998E-2</v>
      </c>
      <c r="W367" s="17">
        <v>2.3040000000000001E-2</v>
      </c>
      <c r="X367" s="17">
        <v>0.14899999999999999</v>
      </c>
      <c r="Y367" s="16">
        <v>29.6</v>
      </c>
      <c r="Z367" s="16">
        <v>1075</v>
      </c>
      <c r="AA367" s="16">
        <f t="shared" si="134"/>
        <v>120</v>
      </c>
      <c r="AB367" s="48">
        <f t="shared" si="135"/>
        <v>0.82189116447904176</v>
      </c>
      <c r="AC367" s="48">
        <f t="shared" si="136"/>
        <v>70.588235294117652</v>
      </c>
      <c r="AD367" s="48">
        <v>300</v>
      </c>
      <c r="AE367" s="48">
        <f t="shared" si="137"/>
        <v>279.06976744186045</v>
      </c>
      <c r="AF367" s="48">
        <f t="shared" si="138"/>
        <v>229.41176470588235</v>
      </c>
      <c r="AG367" s="66">
        <v>1</v>
      </c>
      <c r="AH367" s="66">
        <v>3.25</v>
      </c>
      <c r="AI367" s="66">
        <f t="shared" si="139"/>
        <v>0.76470588235294112</v>
      </c>
      <c r="AJ367" s="48">
        <f t="shared" si="140"/>
        <v>95.111152941176485</v>
      </c>
      <c r="AK367" s="48">
        <f t="shared" si="141"/>
        <v>73.729575923392616</v>
      </c>
      <c r="AL367" s="48">
        <f t="shared" si="142"/>
        <v>24.522917647058829</v>
      </c>
      <c r="AM367" s="66">
        <v>0.17</v>
      </c>
      <c r="AN367" s="66">
        <f t="shared" si="143"/>
        <v>0.14529914529914531</v>
      </c>
      <c r="AO367" s="66">
        <v>5.7599999999999998E-2</v>
      </c>
      <c r="AP367" s="66">
        <f>AO367*(AH367-AM367)+AM367</f>
        <v>0.34740800000000005</v>
      </c>
      <c r="AQ367" s="66">
        <f t="shared" si="144"/>
        <v>0.25783430111740469</v>
      </c>
      <c r="AR367" s="37" t="s">
        <v>197</v>
      </c>
    </row>
    <row r="368" spans="1:44" ht="15" customHeight="1" x14ac:dyDescent="0.25">
      <c r="A368" s="21">
        <v>367</v>
      </c>
      <c r="B368" s="21">
        <v>2007</v>
      </c>
      <c r="C368" s="37" t="s">
        <v>199</v>
      </c>
      <c r="D368" s="21">
        <v>5</v>
      </c>
      <c r="E368" s="16">
        <v>15</v>
      </c>
      <c r="F368" s="40">
        <v>1.5</v>
      </c>
      <c r="G368" s="65">
        <v>60</v>
      </c>
      <c r="H368" s="65">
        <v>12.5</v>
      </c>
      <c r="I368" s="16">
        <v>41</v>
      </c>
      <c r="J368" s="48">
        <v>3.9699999999999999E-2</v>
      </c>
      <c r="K368" s="37" t="s">
        <v>306</v>
      </c>
      <c r="L368" s="37" t="s">
        <v>36</v>
      </c>
      <c r="M368" s="37" t="s">
        <v>289</v>
      </c>
      <c r="N368" s="37">
        <v>25</v>
      </c>
      <c r="O368" s="37">
        <v>30</v>
      </c>
      <c r="P368" s="16"/>
      <c r="Q368" s="48">
        <v>22</v>
      </c>
      <c r="R368" s="17"/>
      <c r="S368" s="17">
        <v>1.4310230575620338E-4</v>
      </c>
      <c r="T368" s="17">
        <v>820000000</v>
      </c>
      <c r="U368" s="16">
        <v>2883</v>
      </c>
      <c r="V368" s="17">
        <v>1.7919999999999998E-2</v>
      </c>
      <c r="W368" s="17">
        <v>2.3040000000000001E-2</v>
      </c>
      <c r="X368" s="17">
        <v>0.14899999999999999</v>
      </c>
      <c r="Y368" s="16">
        <v>29.6</v>
      </c>
      <c r="Z368" s="16">
        <v>1075</v>
      </c>
      <c r="AA368" s="16">
        <f t="shared" si="134"/>
        <v>120</v>
      </c>
      <c r="AB368" s="48">
        <f t="shared" si="135"/>
        <v>0.82189116447904176</v>
      </c>
      <c r="AC368" s="48">
        <f t="shared" si="136"/>
        <v>70.588235294117652</v>
      </c>
      <c r="AD368" s="48">
        <v>300</v>
      </c>
      <c r="AE368" s="48">
        <f t="shared" si="137"/>
        <v>279.06976744186045</v>
      </c>
      <c r="AF368" s="48">
        <f t="shared" si="138"/>
        <v>229.41176470588235</v>
      </c>
      <c r="AG368" s="66">
        <v>1</v>
      </c>
      <c r="AH368" s="66">
        <v>3.25</v>
      </c>
      <c r="AI368" s="66">
        <f t="shared" si="139"/>
        <v>0.76470588235294112</v>
      </c>
      <c r="AJ368" s="48">
        <f t="shared" si="140"/>
        <v>82.588235294117652</v>
      </c>
      <c r="AK368" s="48">
        <f t="shared" si="141"/>
        <v>64.021887824897405</v>
      </c>
      <c r="AL368" s="48">
        <f t="shared" si="142"/>
        <v>12.000000000000002</v>
      </c>
      <c r="AM368" s="66">
        <v>0.17</v>
      </c>
      <c r="AN368" s="66">
        <f t="shared" si="143"/>
        <v>0.14529914529914531</v>
      </c>
      <c r="AO368" s="66">
        <v>0</v>
      </c>
      <c r="AP368" s="66">
        <v>0.17</v>
      </c>
      <c r="AQ368" s="66">
        <f t="shared" si="144"/>
        <v>0.14529914529914531</v>
      </c>
      <c r="AR368" s="37" t="s">
        <v>198</v>
      </c>
    </row>
    <row r="369" spans="1:44" ht="15" customHeight="1" x14ac:dyDescent="0.25">
      <c r="A369" s="21">
        <v>368</v>
      </c>
      <c r="B369" s="21">
        <v>2007</v>
      </c>
      <c r="C369" s="37" t="s">
        <v>199</v>
      </c>
      <c r="D369" s="21">
        <v>6</v>
      </c>
      <c r="E369" s="16">
        <v>15</v>
      </c>
      <c r="F369" s="40">
        <v>1.5</v>
      </c>
      <c r="G369" s="65">
        <v>40</v>
      </c>
      <c r="H369" s="65">
        <v>20.9</v>
      </c>
      <c r="I369" s="16">
        <v>66</v>
      </c>
      <c r="J369" s="48">
        <v>1.6500000000000001E-2</v>
      </c>
      <c r="K369" s="37" t="s">
        <v>306</v>
      </c>
      <c r="L369" s="37" t="s">
        <v>36</v>
      </c>
      <c r="M369" s="37" t="s">
        <v>289</v>
      </c>
      <c r="N369" s="37">
        <v>25</v>
      </c>
      <c r="O369" s="37">
        <v>30</v>
      </c>
      <c r="P369" s="16"/>
      <c r="Q369" s="48">
        <v>50</v>
      </c>
      <c r="R369" s="17"/>
      <c r="S369" s="17">
        <v>8.2343788190885925E-5</v>
      </c>
      <c r="T369" s="17">
        <v>820000000</v>
      </c>
      <c r="U369" s="16">
        <v>2883</v>
      </c>
      <c r="V369" s="17">
        <v>1.7919999999999998E-2</v>
      </c>
      <c r="W369" s="17">
        <v>2.3040000000000001E-2</v>
      </c>
      <c r="X369" s="17">
        <v>0.14899999999999999</v>
      </c>
      <c r="Y369" s="16">
        <v>29.6</v>
      </c>
      <c r="Z369" s="16">
        <v>1075</v>
      </c>
      <c r="AA369" s="16">
        <f t="shared" si="134"/>
        <v>120</v>
      </c>
      <c r="AB369" s="48">
        <f t="shared" si="135"/>
        <v>0.82189116447904176</v>
      </c>
      <c r="AC369" s="48">
        <f t="shared" si="136"/>
        <v>70.588235294117652</v>
      </c>
      <c r="AD369" s="48">
        <v>300</v>
      </c>
      <c r="AE369" s="48">
        <f t="shared" si="137"/>
        <v>279.06976744186045</v>
      </c>
      <c r="AF369" s="48">
        <f t="shared" si="138"/>
        <v>229.41176470588235</v>
      </c>
      <c r="AG369" s="66">
        <v>1</v>
      </c>
      <c r="AH369" s="66">
        <v>3.25</v>
      </c>
      <c r="AI369" s="66">
        <f t="shared" si="139"/>
        <v>0.76470588235294112</v>
      </c>
      <c r="AJ369" s="48">
        <f t="shared" si="140"/>
        <v>82.588235294117652</v>
      </c>
      <c r="AK369" s="48">
        <f t="shared" si="141"/>
        <v>64.021887824897405</v>
      </c>
      <c r="AL369" s="48">
        <f t="shared" si="142"/>
        <v>12.000000000000002</v>
      </c>
      <c r="AM369" s="66">
        <v>0.17</v>
      </c>
      <c r="AN369" s="66">
        <f t="shared" si="143"/>
        <v>0.14529914529914531</v>
      </c>
      <c r="AO369" s="66">
        <v>0</v>
      </c>
      <c r="AP369" s="66">
        <v>0.17</v>
      </c>
      <c r="AQ369" s="66">
        <f t="shared" si="144"/>
        <v>0.14529914529914531</v>
      </c>
      <c r="AR369" s="37" t="s">
        <v>198</v>
      </c>
    </row>
    <row r="370" spans="1:44" s="26" customFormat="1" ht="15" hidden="1" customHeight="1" x14ac:dyDescent="0.25">
      <c r="A370" s="23">
        <v>369</v>
      </c>
      <c r="B370" s="23">
        <v>2007</v>
      </c>
      <c r="C370" s="29" t="s">
        <v>200</v>
      </c>
      <c r="D370" s="23">
        <v>1</v>
      </c>
      <c r="E370" s="24">
        <v>34</v>
      </c>
      <c r="F370" s="36">
        <v>0.45</v>
      </c>
      <c r="G370" s="62">
        <v>69</v>
      </c>
      <c r="H370" s="62">
        <v>0</v>
      </c>
      <c r="I370" s="24">
        <v>72</v>
      </c>
      <c r="J370" s="63">
        <v>1.0500000000000001E-2</v>
      </c>
      <c r="K370" s="29" t="s">
        <v>306</v>
      </c>
      <c r="L370" s="29" t="s">
        <v>36</v>
      </c>
      <c r="M370" s="29" t="s">
        <v>34</v>
      </c>
      <c r="N370" s="29" t="s">
        <v>34</v>
      </c>
      <c r="O370" s="29" t="s">
        <v>34</v>
      </c>
      <c r="P370" s="24"/>
      <c r="Q370" s="63">
        <v>5</v>
      </c>
      <c r="R370" s="25"/>
      <c r="S370" s="25">
        <v>3.0366797835720409E-4</v>
      </c>
      <c r="T370" s="25">
        <v>800000000</v>
      </c>
      <c r="U370" s="24">
        <v>2695</v>
      </c>
      <c r="V370" s="25">
        <v>1.7919999999999998E-2</v>
      </c>
      <c r="W370" s="25">
        <v>2.3040000000000001E-2</v>
      </c>
      <c r="X370" s="25">
        <v>0.54900000000000004</v>
      </c>
      <c r="Y370" s="24">
        <v>29.6</v>
      </c>
      <c r="Z370" s="24">
        <v>1075</v>
      </c>
      <c r="AA370" s="24">
        <f>AD370/2.5*1000</f>
        <v>1319.9999999999998</v>
      </c>
      <c r="AB370" s="63">
        <f t="shared" si="135"/>
        <v>8.2189116447904165E-2</v>
      </c>
      <c r="AC370" s="63">
        <f t="shared" si="136"/>
        <v>0.82500000000000018</v>
      </c>
      <c r="AD370" s="63">
        <v>3.3</v>
      </c>
      <c r="AE370" s="63">
        <f t="shared" si="137"/>
        <v>3.0697674418604652</v>
      </c>
      <c r="AF370" s="63">
        <f t="shared" si="138"/>
        <v>2.4749999999999996</v>
      </c>
      <c r="AG370" s="64">
        <v>1</v>
      </c>
      <c r="AH370" s="64">
        <v>3</v>
      </c>
      <c r="AI370" s="64">
        <f t="shared" si="139"/>
        <v>0.75</v>
      </c>
      <c r="AJ370" s="63">
        <f t="shared" si="140"/>
        <v>0.97350000000000025</v>
      </c>
      <c r="AK370" s="63">
        <f t="shared" si="141"/>
        <v>0.75465116279069788</v>
      </c>
      <c r="AL370" s="63">
        <f t="shared" si="142"/>
        <v>0.14850000000000005</v>
      </c>
      <c r="AM370" s="64">
        <f>(0.18-AH370*AO370)/(1-AO370)</f>
        <v>8.6492012259199627E-2</v>
      </c>
      <c r="AN370" s="64">
        <f t="shared" si="143"/>
        <v>7.9606671087578698E-2</v>
      </c>
      <c r="AO370" s="64">
        <f>1/EXP(EXP(1.2352))</f>
        <v>3.2094639223319434E-2</v>
      </c>
      <c r="AP370" s="64">
        <f>AO370*(AH370-AM370)+AM370</f>
        <v>0.18</v>
      </c>
      <c r="AQ370" s="64">
        <f t="shared" si="144"/>
        <v>0.15254237288135594</v>
      </c>
      <c r="AR370" s="29" t="s">
        <v>34</v>
      </c>
    </row>
    <row r="371" spans="1:44" ht="15" customHeight="1" x14ac:dyDescent="0.25">
      <c r="A371" s="76">
        <v>370</v>
      </c>
      <c r="B371" s="76">
        <v>2007</v>
      </c>
      <c r="C371" s="77" t="s">
        <v>166</v>
      </c>
      <c r="D371" s="76">
        <v>1</v>
      </c>
      <c r="E371" s="78">
        <v>33</v>
      </c>
      <c r="F371" s="79">
        <v>0.05</v>
      </c>
      <c r="G371" s="80">
        <v>33</v>
      </c>
      <c r="H371" s="80">
        <v>0</v>
      </c>
      <c r="I371" s="78">
        <v>100</v>
      </c>
      <c r="J371" s="81">
        <v>0.05</v>
      </c>
      <c r="K371" s="77" t="s">
        <v>5</v>
      </c>
      <c r="L371" s="77" t="s">
        <v>305</v>
      </c>
      <c r="M371" s="77" t="s">
        <v>289</v>
      </c>
      <c r="N371" s="77">
        <v>25</v>
      </c>
      <c r="O371" s="77">
        <v>120</v>
      </c>
      <c r="P371" s="78"/>
      <c r="Q371" s="81">
        <v>15</v>
      </c>
      <c r="R371" s="82"/>
      <c r="S371" s="82">
        <v>3.4194468330436855E-5</v>
      </c>
      <c r="T371" s="82">
        <v>840000000</v>
      </c>
      <c r="U371" s="78">
        <v>3095</v>
      </c>
      <c r="V371" s="82">
        <v>1.7919999999999998E-2</v>
      </c>
      <c r="W371" s="82">
        <v>2.3040000000000001E-2</v>
      </c>
      <c r="X371" s="82">
        <v>0.54900000000000004</v>
      </c>
      <c r="Y371" s="78">
        <v>29.6</v>
      </c>
      <c r="Z371" s="78">
        <v>1075</v>
      </c>
      <c r="AA371" s="78">
        <f t="shared" ref="AA371:AA397" si="145">AD371/2.5</f>
        <v>400</v>
      </c>
      <c r="AB371" s="81">
        <f t="shared" si="135"/>
        <v>0.82189116447904176</v>
      </c>
      <c r="AC371" s="81">
        <f t="shared" si="136"/>
        <v>198.01980198019794</v>
      </c>
      <c r="AD371" s="81">
        <v>1000</v>
      </c>
      <c r="AE371" s="81">
        <f t="shared" si="137"/>
        <v>930.23255813953483</v>
      </c>
      <c r="AF371" s="81">
        <f t="shared" si="138"/>
        <v>801.98019801980206</v>
      </c>
      <c r="AG371" s="83">
        <v>1</v>
      </c>
      <c r="AH371" s="83">
        <v>4.05</v>
      </c>
      <c r="AI371" s="83">
        <f t="shared" si="139"/>
        <v>0.80198019801980203</v>
      </c>
      <c r="AJ371" s="81">
        <f t="shared" si="140"/>
        <v>383.53386138613843</v>
      </c>
      <c r="AK371" s="81">
        <f t="shared" si="141"/>
        <v>297.31307084196777</v>
      </c>
      <c r="AL371" s="81">
        <f t="shared" si="142"/>
        <v>185.51405940594049</v>
      </c>
      <c r="AM371" s="83">
        <v>0</v>
      </c>
      <c r="AN371" s="83">
        <f t="shared" si="143"/>
        <v>0</v>
      </c>
      <c r="AO371" s="83">
        <v>0.23132</v>
      </c>
      <c r="AP371" s="83">
        <f>AO371*AH371</f>
        <v>0.93684599999999996</v>
      </c>
      <c r="AQ371" s="83">
        <f t="shared" si="144"/>
        <v>0.48369669039252472</v>
      </c>
      <c r="AR371" s="77" t="s">
        <v>167</v>
      </c>
    </row>
    <row r="372" spans="1:44" s="12" customFormat="1" ht="15" hidden="1" customHeight="1" x14ac:dyDescent="0.25">
      <c r="A372" s="3">
        <v>371</v>
      </c>
      <c r="B372" s="3">
        <v>2008</v>
      </c>
      <c r="C372" s="27" t="s">
        <v>201</v>
      </c>
      <c r="D372" s="3">
        <v>1</v>
      </c>
      <c r="E372" s="11">
        <v>18</v>
      </c>
      <c r="F372" s="30">
        <v>0.01</v>
      </c>
      <c r="G372" s="45">
        <v>33.25</v>
      </c>
      <c r="H372" s="45">
        <v>25</v>
      </c>
      <c r="I372" s="11">
        <v>408</v>
      </c>
      <c r="J372" s="47">
        <v>0.78080000000000005</v>
      </c>
      <c r="K372" s="27" t="s">
        <v>306</v>
      </c>
      <c r="L372" s="27" t="s">
        <v>305</v>
      </c>
      <c r="M372" s="27" t="s">
        <v>34</v>
      </c>
      <c r="N372" s="27" t="s">
        <v>34</v>
      </c>
      <c r="O372" s="27" t="s">
        <v>34</v>
      </c>
      <c r="P372" s="87"/>
      <c r="Q372" s="92">
        <v>7</v>
      </c>
      <c r="R372" s="4"/>
      <c r="S372" s="4">
        <v>4.0137163231953726E-6</v>
      </c>
      <c r="T372" s="4">
        <v>500000000</v>
      </c>
      <c r="U372" s="11">
        <v>3595</v>
      </c>
      <c r="V372" s="4">
        <v>1.7919999999999998E-2</v>
      </c>
      <c r="W372" s="4">
        <v>2.3040000000000001E-2</v>
      </c>
      <c r="X372" s="4">
        <v>0.54900000000000004</v>
      </c>
      <c r="Y372" s="11">
        <v>29.6</v>
      </c>
      <c r="Z372" s="11">
        <v>1075</v>
      </c>
      <c r="AA372" s="11">
        <f t="shared" si="145"/>
        <v>320</v>
      </c>
      <c r="AB372" s="47">
        <f t="shared" si="135"/>
        <v>0.82189116447904176</v>
      </c>
      <c r="AC372" s="47">
        <f t="shared" si="136"/>
        <v>120</v>
      </c>
      <c r="AD372" s="47">
        <v>800</v>
      </c>
      <c r="AE372" s="47">
        <f t="shared" si="137"/>
        <v>744.18604651162786</v>
      </c>
      <c r="AF372" s="47">
        <f t="shared" si="138"/>
        <v>680</v>
      </c>
      <c r="AG372" s="53">
        <v>1</v>
      </c>
      <c r="AH372" s="53">
        <f>17/3</f>
        <v>5.666666666666667</v>
      </c>
      <c r="AI372" s="53">
        <f t="shared" si="139"/>
        <v>0.85</v>
      </c>
      <c r="AJ372" s="47">
        <f t="shared" si="140"/>
        <v>270.04999999999995</v>
      </c>
      <c r="AK372" s="47">
        <f t="shared" si="141"/>
        <v>209.34108527131778</v>
      </c>
      <c r="AL372" s="47">
        <f t="shared" si="142"/>
        <v>150.04999999999995</v>
      </c>
      <c r="AM372" s="53">
        <f>9/41</f>
        <v>0.21951219512195122</v>
      </c>
      <c r="AN372" s="53">
        <f t="shared" si="143"/>
        <v>0.18</v>
      </c>
      <c r="AO372" s="53">
        <f t="shared" ref="AO372:AO381" si="146">(AP372-AM372)/(AH372-AM372)</f>
        <v>0.18925559701492531</v>
      </c>
      <c r="AP372" s="53">
        <f>(AF372-529.95)/AC372</f>
        <v>1.2504166666666663</v>
      </c>
      <c r="AQ372" s="53">
        <f t="shared" si="144"/>
        <v>0.55563784484354739</v>
      </c>
      <c r="AR372" s="27" t="s">
        <v>34</v>
      </c>
    </row>
    <row r="373" spans="1:44" ht="15" hidden="1" customHeight="1" x14ac:dyDescent="0.25">
      <c r="A373" s="76">
        <v>372</v>
      </c>
      <c r="B373" s="76">
        <v>2008</v>
      </c>
      <c r="C373" s="77" t="s">
        <v>201</v>
      </c>
      <c r="D373" s="76">
        <v>2</v>
      </c>
      <c r="E373" s="78">
        <v>18</v>
      </c>
      <c r="F373" s="79">
        <v>0.35</v>
      </c>
      <c r="G373" s="80">
        <v>33.25</v>
      </c>
      <c r="H373" s="80">
        <v>25</v>
      </c>
      <c r="I373" s="78">
        <v>336</v>
      </c>
      <c r="J373" s="81">
        <v>0.60750000000000004</v>
      </c>
      <c r="K373" s="77" t="s">
        <v>306</v>
      </c>
      <c r="L373" s="77" t="s">
        <v>36</v>
      </c>
      <c r="M373" s="77" t="s">
        <v>34</v>
      </c>
      <c r="N373" s="77" t="s">
        <v>34</v>
      </c>
      <c r="O373" s="77" t="s">
        <v>34</v>
      </c>
      <c r="P373" s="88"/>
      <c r="Q373" s="90">
        <v>11</v>
      </c>
      <c r="R373" s="82"/>
      <c r="S373" s="82">
        <v>4.0137163231953726E-6</v>
      </c>
      <c r="T373" s="82">
        <v>500000000</v>
      </c>
      <c r="U373" s="78">
        <v>3595</v>
      </c>
      <c r="V373" s="82">
        <v>1.7919999999999998E-2</v>
      </c>
      <c r="W373" s="82">
        <v>2.3040000000000001E-2</v>
      </c>
      <c r="X373" s="82">
        <v>0.54900000000000004</v>
      </c>
      <c r="Y373" s="78">
        <v>29.6</v>
      </c>
      <c r="Z373" s="78">
        <v>1075</v>
      </c>
      <c r="AA373" s="78">
        <f t="shared" si="145"/>
        <v>320</v>
      </c>
      <c r="AB373" s="81">
        <f t="shared" si="135"/>
        <v>0.82189116447904176</v>
      </c>
      <c r="AC373" s="81">
        <f t="shared" si="136"/>
        <v>120</v>
      </c>
      <c r="AD373" s="81">
        <v>800</v>
      </c>
      <c r="AE373" s="81">
        <f t="shared" si="137"/>
        <v>744.18604651162786</v>
      </c>
      <c r="AF373" s="81">
        <f t="shared" si="138"/>
        <v>680</v>
      </c>
      <c r="AG373" s="83">
        <v>1</v>
      </c>
      <c r="AH373" s="83">
        <f>17/3</f>
        <v>5.666666666666667</v>
      </c>
      <c r="AI373" s="83">
        <f t="shared" si="139"/>
        <v>0.85</v>
      </c>
      <c r="AJ373" s="81">
        <f t="shared" si="140"/>
        <v>293.08999999999997</v>
      </c>
      <c r="AK373" s="81">
        <f t="shared" si="141"/>
        <v>227.20155038759688</v>
      </c>
      <c r="AL373" s="81">
        <f t="shared" si="142"/>
        <v>173.08999999999997</v>
      </c>
      <c r="AM373" s="83">
        <f>9/41</f>
        <v>0.21951219512195122</v>
      </c>
      <c r="AN373" s="83">
        <f t="shared" si="143"/>
        <v>0.18</v>
      </c>
      <c r="AO373" s="83">
        <f t="shared" si="146"/>
        <v>0.22450335820895517</v>
      </c>
      <c r="AP373" s="83">
        <f>(AF373-506.91)/AC373</f>
        <v>1.4424166666666665</v>
      </c>
      <c r="AQ373" s="83">
        <f t="shared" si="144"/>
        <v>0.5905694496571019</v>
      </c>
      <c r="AR373" s="77" t="s">
        <v>34</v>
      </c>
    </row>
    <row r="374" spans="1:44" ht="15" hidden="1" customHeight="1" x14ac:dyDescent="0.25">
      <c r="A374" s="76">
        <v>373</v>
      </c>
      <c r="B374" s="76">
        <v>2008</v>
      </c>
      <c r="C374" s="77" t="s">
        <v>201</v>
      </c>
      <c r="D374" s="76">
        <v>3</v>
      </c>
      <c r="E374" s="78">
        <v>18</v>
      </c>
      <c r="F374" s="79">
        <v>0.5</v>
      </c>
      <c r="G374" s="80">
        <v>33.25</v>
      </c>
      <c r="H374" s="80">
        <v>25</v>
      </c>
      <c r="I374" s="78">
        <v>288</v>
      </c>
      <c r="J374" s="81">
        <v>2.2172000000000001</v>
      </c>
      <c r="K374" s="77" t="s">
        <v>306</v>
      </c>
      <c r="L374" s="77" t="s">
        <v>36</v>
      </c>
      <c r="M374" s="77" t="s">
        <v>34</v>
      </c>
      <c r="N374" s="77" t="s">
        <v>34</v>
      </c>
      <c r="O374" s="77" t="s">
        <v>34</v>
      </c>
      <c r="P374" s="88" t="s">
        <v>382</v>
      </c>
      <c r="Q374" s="90">
        <v>18</v>
      </c>
      <c r="R374" s="82"/>
      <c r="S374" s="82">
        <v>4.0137163231953726E-6</v>
      </c>
      <c r="T374" s="82">
        <v>500000000</v>
      </c>
      <c r="U374" s="78">
        <v>3595</v>
      </c>
      <c r="V374" s="82">
        <v>1.7919999999999998E-2</v>
      </c>
      <c r="W374" s="82">
        <v>2.3040000000000001E-2</v>
      </c>
      <c r="X374" s="82">
        <v>0.54900000000000004</v>
      </c>
      <c r="Y374" s="78">
        <v>29.6</v>
      </c>
      <c r="Z374" s="78">
        <v>1075</v>
      </c>
      <c r="AA374" s="78">
        <f t="shared" si="145"/>
        <v>320</v>
      </c>
      <c r="AB374" s="81">
        <f t="shared" si="135"/>
        <v>0.82189116447904176</v>
      </c>
      <c r="AC374" s="81">
        <f t="shared" si="136"/>
        <v>120</v>
      </c>
      <c r="AD374" s="81">
        <v>800</v>
      </c>
      <c r="AE374" s="81">
        <f t="shared" si="137"/>
        <v>744.18604651162786</v>
      </c>
      <c r="AF374" s="81">
        <f t="shared" si="138"/>
        <v>680</v>
      </c>
      <c r="AG374" s="83">
        <v>1</v>
      </c>
      <c r="AH374" s="83">
        <f>17/3</f>
        <v>5.666666666666667</v>
      </c>
      <c r="AI374" s="83">
        <f t="shared" si="139"/>
        <v>0.85</v>
      </c>
      <c r="AJ374" s="81">
        <f t="shared" si="140"/>
        <v>337.32999999999993</v>
      </c>
      <c r="AK374" s="81">
        <f t="shared" si="141"/>
        <v>261.4961240310077</v>
      </c>
      <c r="AL374" s="81">
        <f t="shared" si="142"/>
        <v>217.32999999999993</v>
      </c>
      <c r="AM374" s="83">
        <f>9/41</f>
        <v>0.21951219512195122</v>
      </c>
      <c r="AN374" s="83">
        <f t="shared" si="143"/>
        <v>0.18</v>
      </c>
      <c r="AO374" s="83">
        <f t="shared" si="146"/>
        <v>0.29218395522388058</v>
      </c>
      <c r="AP374" s="83">
        <f>(AF374-462.67)/AC374</f>
        <v>1.8110833333333332</v>
      </c>
      <c r="AQ374" s="83">
        <f t="shared" si="144"/>
        <v>0.64426525953813762</v>
      </c>
      <c r="AR374" s="77" t="s">
        <v>34</v>
      </c>
    </row>
    <row r="375" spans="1:44" ht="15" hidden="1" customHeight="1" x14ac:dyDescent="0.25">
      <c r="A375" s="76">
        <v>374</v>
      </c>
      <c r="B375" s="76">
        <v>2008</v>
      </c>
      <c r="C375" s="77" t="s">
        <v>201</v>
      </c>
      <c r="D375" s="76">
        <v>4</v>
      </c>
      <c r="E375" s="78">
        <v>18</v>
      </c>
      <c r="F375" s="79">
        <v>0.02</v>
      </c>
      <c r="G375" s="80">
        <v>33.25</v>
      </c>
      <c r="H375" s="80">
        <v>25</v>
      </c>
      <c r="I375" s="78">
        <v>408</v>
      </c>
      <c r="J375" s="81">
        <v>1.6417999999999999</v>
      </c>
      <c r="K375" s="77" t="s">
        <v>306</v>
      </c>
      <c r="L375" s="77" t="s">
        <v>36</v>
      </c>
      <c r="M375" s="77" t="s">
        <v>34</v>
      </c>
      <c r="N375" s="77" t="s">
        <v>34</v>
      </c>
      <c r="O375" s="77" t="s">
        <v>34</v>
      </c>
      <c r="P375" s="88"/>
      <c r="Q375" s="90">
        <v>8</v>
      </c>
      <c r="R375" s="82"/>
      <c r="S375" s="82">
        <v>4.0137163231953726E-6</v>
      </c>
      <c r="T375" s="82">
        <v>500000000</v>
      </c>
      <c r="U375" s="78">
        <v>3595</v>
      </c>
      <c r="V375" s="82">
        <v>1.7919999999999998E-2</v>
      </c>
      <c r="W375" s="82">
        <v>2.3040000000000001E-2</v>
      </c>
      <c r="X375" s="82">
        <v>0.54900000000000004</v>
      </c>
      <c r="Y375" s="78">
        <v>29.6</v>
      </c>
      <c r="Z375" s="78">
        <v>1075</v>
      </c>
      <c r="AA375" s="78">
        <f t="shared" si="145"/>
        <v>236</v>
      </c>
      <c r="AB375" s="81">
        <f t="shared" si="135"/>
        <v>0.82189116447904187</v>
      </c>
      <c r="AC375" s="81">
        <f t="shared" si="136"/>
        <v>88.5</v>
      </c>
      <c r="AD375" s="81">
        <v>590</v>
      </c>
      <c r="AE375" s="81">
        <f t="shared" si="137"/>
        <v>548.83720930232562</v>
      </c>
      <c r="AF375" s="81">
        <f t="shared" si="138"/>
        <v>501.5</v>
      </c>
      <c r="AG375" s="83">
        <v>1</v>
      </c>
      <c r="AH375" s="83">
        <f>17/3</f>
        <v>5.666666666666667</v>
      </c>
      <c r="AI375" s="83">
        <f t="shared" si="139"/>
        <v>0.85</v>
      </c>
      <c r="AJ375" s="81">
        <f t="shared" si="140"/>
        <v>133.82</v>
      </c>
      <c r="AK375" s="81">
        <f t="shared" si="141"/>
        <v>103.73643410852712</v>
      </c>
      <c r="AL375" s="81">
        <f t="shared" si="142"/>
        <v>45.319999999999993</v>
      </c>
      <c r="AM375" s="83">
        <f>9/41</f>
        <v>0.21951219512195122</v>
      </c>
      <c r="AN375" s="83">
        <f t="shared" si="143"/>
        <v>0.18</v>
      </c>
      <c r="AO375" s="83">
        <f t="shared" si="146"/>
        <v>5.3712117379205664E-2</v>
      </c>
      <c r="AP375" s="83">
        <f>(AF375-456.18)/AC375</f>
        <v>0.51209039548022595</v>
      </c>
      <c r="AQ375" s="83">
        <f t="shared" si="144"/>
        <v>0.33866387684949928</v>
      </c>
      <c r="AR375" s="77" t="s">
        <v>34</v>
      </c>
    </row>
    <row r="376" spans="1:44" s="10" customFormat="1" ht="15" hidden="1" customHeight="1" x14ac:dyDescent="0.25">
      <c r="A376" s="1">
        <v>375</v>
      </c>
      <c r="B376" s="1">
        <v>2008</v>
      </c>
      <c r="C376" s="28" t="s">
        <v>201</v>
      </c>
      <c r="D376" s="1">
        <v>5</v>
      </c>
      <c r="E376" s="8">
        <v>18</v>
      </c>
      <c r="F376" s="31">
        <v>0.01</v>
      </c>
      <c r="G376" s="49">
        <v>33.25</v>
      </c>
      <c r="H376" s="49">
        <v>25</v>
      </c>
      <c r="I376" s="8">
        <v>408</v>
      </c>
      <c r="J376" s="51">
        <v>1.4809000000000001</v>
      </c>
      <c r="K376" s="28" t="s">
        <v>306</v>
      </c>
      <c r="L376" s="28" t="s">
        <v>305</v>
      </c>
      <c r="M376" s="28" t="s">
        <v>34</v>
      </c>
      <c r="N376" s="28" t="s">
        <v>34</v>
      </c>
      <c r="O376" s="28" t="s">
        <v>34</v>
      </c>
      <c r="P376" s="89"/>
      <c r="Q376" s="91">
        <v>7</v>
      </c>
      <c r="R376" s="9"/>
      <c r="S376" s="9">
        <v>4.0137163231953726E-6</v>
      </c>
      <c r="T376" s="9">
        <v>500000000</v>
      </c>
      <c r="U376" s="8">
        <v>3595</v>
      </c>
      <c r="V376" s="9">
        <v>1.7919999999999998E-2</v>
      </c>
      <c r="W376" s="9">
        <v>2.3040000000000001E-2</v>
      </c>
      <c r="X376" s="9">
        <v>0.54900000000000004</v>
      </c>
      <c r="Y376" s="8">
        <v>29.6</v>
      </c>
      <c r="Z376" s="8">
        <v>1075</v>
      </c>
      <c r="AA376" s="8">
        <f t="shared" si="145"/>
        <v>236</v>
      </c>
      <c r="AB376" s="51">
        <f t="shared" si="135"/>
        <v>0.82189116447904187</v>
      </c>
      <c r="AC376" s="51">
        <f t="shared" si="136"/>
        <v>88.5</v>
      </c>
      <c r="AD376" s="51">
        <v>590</v>
      </c>
      <c r="AE376" s="51">
        <f t="shared" si="137"/>
        <v>548.83720930232562</v>
      </c>
      <c r="AF376" s="51">
        <f t="shared" si="138"/>
        <v>501.5</v>
      </c>
      <c r="AG376" s="52">
        <v>1</v>
      </c>
      <c r="AH376" s="52">
        <f>17/3</f>
        <v>5.666666666666667</v>
      </c>
      <c r="AI376" s="52">
        <f t="shared" si="139"/>
        <v>0.85</v>
      </c>
      <c r="AJ376" s="51">
        <f t="shared" si="140"/>
        <v>140.22999999999999</v>
      </c>
      <c r="AK376" s="51">
        <f t="shared" si="141"/>
        <v>108.70542635658914</v>
      </c>
      <c r="AL376" s="51">
        <f t="shared" si="142"/>
        <v>51.730000000000004</v>
      </c>
      <c r="AM376" s="52">
        <f>9/41</f>
        <v>0.21951219512195122</v>
      </c>
      <c r="AN376" s="52">
        <f t="shared" si="143"/>
        <v>0.18</v>
      </c>
      <c r="AO376" s="52">
        <f t="shared" si="146"/>
        <v>6.7008854034910234E-2</v>
      </c>
      <c r="AP376" s="52">
        <f>(AF376-449.77)/AC376</f>
        <v>0.58451977401129962</v>
      </c>
      <c r="AQ376" s="52">
        <f t="shared" si="144"/>
        <v>0.36889395992298374</v>
      </c>
      <c r="AR376" s="28" t="s">
        <v>34</v>
      </c>
    </row>
    <row r="377" spans="1:44" ht="15" hidden="1" customHeight="1" x14ac:dyDescent="0.25">
      <c r="A377" s="76">
        <v>376</v>
      </c>
      <c r="B377" s="76">
        <v>2008</v>
      </c>
      <c r="C377" s="77" t="s">
        <v>202</v>
      </c>
      <c r="D377" s="76">
        <v>1</v>
      </c>
      <c r="E377" s="78">
        <v>11</v>
      </c>
      <c r="F377" s="79">
        <v>0.3</v>
      </c>
      <c r="G377" s="80">
        <v>65</v>
      </c>
      <c r="H377" s="80">
        <v>20</v>
      </c>
      <c r="I377" s="78">
        <v>20</v>
      </c>
      <c r="J377" s="81">
        <v>1.4200000000000001E-2</v>
      </c>
      <c r="K377" s="77" t="s">
        <v>5</v>
      </c>
      <c r="L377" s="77" t="s">
        <v>36</v>
      </c>
      <c r="M377" s="77" t="s">
        <v>34</v>
      </c>
      <c r="N377" s="77" t="s">
        <v>34</v>
      </c>
      <c r="O377" s="77" t="s">
        <v>34</v>
      </c>
      <c r="P377" s="78"/>
      <c r="Q377" s="81">
        <v>24</v>
      </c>
      <c r="R377" s="82"/>
      <c r="S377" s="82">
        <v>4.1832885445524271E-4</v>
      </c>
      <c r="T377" s="82">
        <v>900000000</v>
      </c>
      <c r="U377" s="78">
        <v>2595</v>
      </c>
      <c r="V377" s="82">
        <v>1.7919999999999998E-2</v>
      </c>
      <c r="W377" s="82">
        <v>2.3040000000000001E-2</v>
      </c>
      <c r="X377" s="82">
        <v>0.54900000000000004</v>
      </c>
      <c r="Y377" s="78">
        <v>29.6</v>
      </c>
      <c r="Z377" s="78">
        <v>1075</v>
      </c>
      <c r="AA377" s="78">
        <f t="shared" si="145"/>
        <v>20</v>
      </c>
      <c r="AB377" s="81">
        <f t="shared" si="135"/>
        <v>0.82189116447904176</v>
      </c>
      <c r="AC377" s="81">
        <f t="shared" si="136"/>
        <v>12.311999999999998</v>
      </c>
      <c r="AD377" s="81">
        <v>50</v>
      </c>
      <c r="AE377" s="81">
        <f t="shared" si="137"/>
        <v>46.511627906976742</v>
      </c>
      <c r="AF377" s="81">
        <f t="shared" si="138"/>
        <v>37.688000000000002</v>
      </c>
      <c r="AG377" s="83">
        <v>1</v>
      </c>
      <c r="AH377" s="83">
        <f>75.376/24.624</f>
        <v>3.0610786224821318</v>
      </c>
      <c r="AI377" s="83">
        <f t="shared" si="139"/>
        <v>0.75375999999999999</v>
      </c>
      <c r="AJ377" s="81">
        <f t="shared" si="140"/>
        <v>14.978648855797655</v>
      </c>
      <c r="AK377" s="81">
        <f t="shared" si="141"/>
        <v>11.611355702168725</v>
      </c>
      <c r="AL377" s="81">
        <f t="shared" si="142"/>
        <v>2.6666488557976562</v>
      </c>
      <c r="AM377" s="83">
        <v>0.18</v>
      </c>
      <c r="AN377" s="83">
        <f t="shared" si="143"/>
        <v>0.15254237288135594</v>
      </c>
      <c r="AO377" s="83">
        <f t="shared" si="146"/>
        <v>1.2699900986181064E-2</v>
      </c>
      <c r="AP377" s="83">
        <f>17.803/82.197</f>
        <v>0.216589413238926</v>
      </c>
      <c r="AQ377" s="83">
        <f t="shared" si="144"/>
        <v>0.17802999999999999</v>
      </c>
      <c r="AR377" s="77" t="s">
        <v>203</v>
      </c>
    </row>
    <row r="378" spans="1:44" ht="15" hidden="1" customHeight="1" x14ac:dyDescent="0.25">
      <c r="A378" s="76">
        <v>377</v>
      </c>
      <c r="B378" s="76">
        <v>2008</v>
      </c>
      <c r="C378" s="77" t="s">
        <v>202</v>
      </c>
      <c r="D378" s="76">
        <v>2</v>
      </c>
      <c r="E378" s="78">
        <v>9</v>
      </c>
      <c r="F378" s="79">
        <v>0.3</v>
      </c>
      <c r="G378" s="80">
        <v>65</v>
      </c>
      <c r="H378" s="80">
        <v>20</v>
      </c>
      <c r="I378" s="78">
        <v>16</v>
      </c>
      <c r="J378" s="81">
        <v>3.8399999999999997E-2</v>
      </c>
      <c r="K378" s="77" t="s">
        <v>5</v>
      </c>
      <c r="L378" s="77" t="s">
        <v>36</v>
      </c>
      <c r="M378" s="77" t="s">
        <v>293</v>
      </c>
      <c r="N378" s="77" t="s">
        <v>329</v>
      </c>
      <c r="O378" s="77" t="s">
        <v>329</v>
      </c>
      <c r="P378" s="78"/>
      <c r="Q378" s="81">
        <v>29</v>
      </c>
      <c r="R378" s="82"/>
      <c r="S378" s="82">
        <v>4.1832885445524271E-4</v>
      </c>
      <c r="T378" s="82">
        <v>900000000</v>
      </c>
      <c r="U378" s="78">
        <v>2595</v>
      </c>
      <c r="V378" s="82">
        <v>1.7919999999999998E-2</v>
      </c>
      <c r="W378" s="82">
        <v>2.3040000000000001E-2</v>
      </c>
      <c r="X378" s="82">
        <v>0.54900000000000004</v>
      </c>
      <c r="Y378" s="78">
        <v>29.6</v>
      </c>
      <c r="Z378" s="78">
        <v>1075</v>
      </c>
      <c r="AA378" s="78">
        <f t="shared" si="145"/>
        <v>20</v>
      </c>
      <c r="AB378" s="81">
        <f t="shared" si="135"/>
        <v>0.82189116447904176</v>
      </c>
      <c r="AC378" s="81">
        <f t="shared" si="136"/>
        <v>12.311999999999998</v>
      </c>
      <c r="AD378" s="81">
        <v>50</v>
      </c>
      <c r="AE378" s="81">
        <f t="shared" si="137"/>
        <v>46.511627906976742</v>
      </c>
      <c r="AF378" s="81">
        <f t="shared" si="138"/>
        <v>37.688000000000002</v>
      </c>
      <c r="AG378" s="83">
        <v>1</v>
      </c>
      <c r="AH378" s="83">
        <f>75.376/24.624</f>
        <v>3.0610786224821318</v>
      </c>
      <c r="AI378" s="83">
        <f t="shared" si="139"/>
        <v>0.75375999999999999</v>
      </c>
      <c r="AJ378" s="81">
        <f t="shared" si="140"/>
        <v>15.149128851264885</v>
      </c>
      <c r="AK378" s="81">
        <f t="shared" si="141"/>
        <v>11.74351073741464</v>
      </c>
      <c r="AL378" s="81">
        <f t="shared" si="142"/>
        <v>2.8371288512648878</v>
      </c>
      <c r="AM378" s="83">
        <v>0.18</v>
      </c>
      <c r="AN378" s="83">
        <f t="shared" si="143"/>
        <v>0.15254237288135594</v>
      </c>
      <c r="AO378" s="83">
        <f t="shared" si="146"/>
        <v>1.7505966740515529E-2</v>
      </c>
      <c r="AP378" s="83">
        <f>18.728/81.272</f>
        <v>0.23043606654198248</v>
      </c>
      <c r="AQ378" s="83">
        <f t="shared" si="144"/>
        <v>0.18728</v>
      </c>
      <c r="AR378" s="77" t="s">
        <v>204</v>
      </c>
    </row>
    <row r="379" spans="1:44" ht="15" hidden="1" customHeight="1" x14ac:dyDescent="0.25">
      <c r="A379" s="76">
        <v>378</v>
      </c>
      <c r="B379" s="76">
        <v>2008</v>
      </c>
      <c r="C379" s="77" t="s">
        <v>202</v>
      </c>
      <c r="D379" s="76">
        <v>3</v>
      </c>
      <c r="E379" s="78">
        <v>9</v>
      </c>
      <c r="F379" s="79">
        <v>0.3</v>
      </c>
      <c r="G379" s="80">
        <v>65</v>
      </c>
      <c r="H379" s="80">
        <v>20</v>
      </c>
      <c r="I379" s="78">
        <v>16</v>
      </c>
      <c r="J379" s="81">
        <v>1.6899999999999998E-2</v>
      </c>
      <c r="K379" s="77" t="s">
        <v>5</v>
      </c>
      <c r="L379" s="77" t="s">
        <v>36</v>
      </c>
      <c r="M379" s="77" t="s">
        <v>82</v>
      </c>
      <c r="N379" s="77" t="s">
        <v>329</v>
      </c>
      <c r="O379" s="77" t="s">
        <v>329</v>
      </c>
      <c r="P379" s="78"/>
      <c r="Q379" s="81">
        <v>33</v>
      </c>
      <c r="R379" s="82"/>
      <c r="S379" s="82">
        <v>4.1832885445524271E-4</v>
      </c>
      <c r="T379" s="82">
        <v>900000000</v>
      </c>
      <c r="U379" s="78">
        <v>2595</v>
      </c>
      <c r="V379" s="82">
        <v>1.7919999999999998E-2</v>
      </c>
      <c r="W379" s="82">
        <v>2.3040000000000001E-2</v>
      </c>
      <c r="X379" s="82">
        <v>0.54900000000000004</v>
      </c>
      <c r="Y379" s="78">
        <v>29.6</v>
      </c>
      <c r="Z379" s="78">
        <v>1075</v>
      </c>
      <c r="AA379" s="78">
        <f t="shared" si="145"/>
        <v>20</v>
      </c>
      <c r="AB379" s="81">
        <f t="shared" si="135"/>
        <v>0.82189116447904176</v>
      </c>
      <c r="AC379" s="81">
        <f t="shared" si="136"/>
        <v>12.311999999999998</v>
      </c>
      <c r="AD379" s="81">
        <v>50</v>
      </c>
      <c r="AE379" s="81">
        <f t="shared" si="137"/>
        <v>46.511627906976742</v>
      </c>
      <c r="AF379" s="81">
        <f t="shared" si="138"/>
        <v>37.688000000000002</v>
      </c>
      <c r="AG379" s="83">
        <v>1</v>
      </c>
      <c r="AH379" s="83">
        <f>75.376/24.624</f>
        <v>3.0610786224821318</v>
      </c>
      <c r="AI379" s="83">
        <f t="shared" si="139"/>
        <v>0.75375999999999999</v>
      </c>
      <c r="AJ379" s="81">
        <f t="shared" si="140"/>
        <v>14.812141336124443</v>
      </c>
      <c r="AK379" s="81">
        <f t="shared" si="141"/>
        <v>11.482280105522824</v>
      </c>
      <c r="AL379" s="81">
        <f t="shared" si="142"/>
        <v>2.5001413361244449</v>
      </c>
      <c r="AM379" s="83">
        <v>0.18</v>
      </c>
      <c r="AN379" s="83">
        <f t="shared" si="143"/>
        <v>0.15254237288135594</v>
      </c>
      <c r="AO379" s="83">
        <f t="shared" si="146"/>
        <v>8.0058247929750866E-3</v>
      </c>
      <c r="AP379" s="83">
        <f>16.879/83.121</f>
        <v>0.20306541066637795</v>
      </c>
      <c r="AQ379" s="83">
        <f t="shared" si="144"/>
        <v>0.16879000000000002</v>
      </c>
      <c r="AR379" s="77" t="s">
        <v>205</v>
      </c>
    </row>
    <row r="380" spans="1:44" ht="15" hidden="1" customHeight="1" x14ac:dyDescent="0.25">
      <c r="A380" s="76">
        <v>379</v>
      </c>
      <c r="B380" s="76">
        <v>2008</v>
      </c>
      <c r="C380" s="77" t="s">
        <v>202</v>
      </c>
      <c r="D380" s="76">
        <v>4</v>
      </c>
      <c r="E380" s="78">
        <v>9</v>
      </c>
      <c r="F380" s="79">
        <v>0.3</v>
      </c>
      <c r="G380" s="80">
        <v>65</v>
      </c>
      <c r="H380" s="80">
        <v>20</v>
      </c>
      <c r="I380" s="78">
        <v>16</v>
      </c>
      <c r="J380" s="81">
        <v>2.24E-2</v>
      </c>
      <c r="K380" s="77" t="s">
        <v>5</v>
      </c>
      <c r="L380" s="77" t="s">
        <v>36</v>
      </c>
      <c r="M380" s="77" t="s">
        <v>82</v>
      </c>
      <c r="N380" s="77" t="s">
        <v>329</v>
      </c>
      <c r="O380" s="77" t="s">
        <v>329</v>
      </c>
      <c r="P380" s="78"/>
      <c r="Q380" s="81">
        <v>32</v>
      </c>
      <c r="R380" s="82"/>
      <c r="S380" s="82">
        <v>4.1832885445524271E-4</v>
      </c>
      <c r="T380" s="82">
        <v>900000000</v>
      </c>
      <c r="U380" s="78">
        <v>2595</v>
      </c>
      <c r="V380" s="82">
        <v>1.7919999999999998E-2</v>
      </c>
      <c r="W380" s="82">
        <v>2.3040000000000001E-2</v>
      </c>
      <c r="X380" s="82">
        <v>0.54900000000000004</v>
      </c>
      <c r="Y380" s="78">
        <v>29.6</v>
      </c>
      <c r="Z380" s="78">
        <v>1075</v>
      </c>
      <c r="AA380" s="78">
        <f t="shared" si="145"/>
        <v>20</v>
      </c>
      <c r="AB380" s="81">
        <f t="shared" si="135"/>
        <v>0.82189116447904176</v>
      </c>
      <c r="AC380" s="81">
        <f t="shared" si="136"/>
        <v>12.311999999999998</v>
      </c>
      <c r="AD380" s="81">
        <v>50</v>
      </c>
      <c r="AE380" s="81">
        <f t="shared" si="137"/>
        <v>46.511627906976742</v>
      </c>
      <c r="AF380" s="81">
        <f t="shared" si="138"/>
        <v>37.688000000000002</v>
      </c>
      <c r="AG380" s="83">
        <v>1</v>
      </c>
      <c r="AH380" s="83">
        <f>75.376/24.624</f>
        <v>3.0610786224821318</v>
      </c>
      <c r="AI380" s="83">
        <f t="shared" si="139"/>
        <v>0.75375999999999999</v>
      </c>
      <c r="AJ380" s="81">
        <f t="shared" si="140"/>
        <v>14.568862488019025</v>
      </c>
      <c r="AK380" s="81">
        <f t="shared" si="141"/>
        <v>11.29369185117754</v>
      </c>
      <c r="AL380" s="81">
        <f t="shared" si="142"/>
        <v>2.2568624880190269</v>
      </c>
      <c r="AM380" s="83">
        <v>0.18</v>
      </c>
      <c r="AN380" s="83">
        <f t="shared" si="143"/>
        <v>0.15254237288135594</v>
      </c>
      <c r="AO380" s="83">
        <f t="shared" si="146"/>
        <v>1.1474591681465518E-3</v>
      </c>
      <c r="AP380" s="83">
        <f>15.491/84.509</f>
        <v>0.18330592007951815</v>
      </c>
      <c r="AQ380" s="83">
        <f t="shared" si="144"/>
        <v>0.15490999999999999</v>
      </c>
      <c r="AR380" s="77" t="s">
        <v>206</v>
      </c>
    </row>
    <row r="381" spans="1:44" s="10" customFormat="1" ht="15" customHeight="1" x14ac:dyDescent="0.25">
      <c r="A381" s="1">
        <v>380</v>
      </c>
      <c r="B381" s="1">
        <v>2008</v>
      </c>
      <c r="C381" s="28" t="s">
        <v>202</v>
      </c>
      <c r="D381" s="1">
        <v>5</v>
      </c>
      <c r="E381" s="8">
        <v>7</v>
      </c>
      <c r="F381" s="31">
        <v>0.3</v>
      </c>
      <c r="G381" s="49">
        <v>65</v>
      </c>
      <c r="H381" s="49">
        <v>20</v>
      </c>
      <c r="I381" s="8">
        <v>12</v>
      </c>
      <c r="J381" s="51">
        <v>4.1399999999999999E-2</v>
      </c>
      <c r="K381" s="28" t="s">
        <v>5</v>
      </c>
      <c r="L381" s="28" t="s">
        <v>36</v>
      </c>
      <c r="M381" s="28" t="s">
        <v>289</v>
      </c>
      <c r="N381" s="28">
        <v>80</v>
      </c>
      <c r="O381" s="28">
        <v>30</v>
      </c>
      <c r="P381" s="8"/>
      <c r="Q381" s="51">
        <v>38</v>
      </c>
      <c r="R381" s="9"/>
      <c r="S381" s="9">
        <v>4.1832885445524271E-4</v>
      </c>
      <c r="T381" s="9">
        <v>900000000</v>
      </c>
      <c r="U381" s="8">
        <v>2595</v>
      </c>
      <c r="V381" s="9">
        <v>1.7919999999999998E-2</v>
      </c>
      <c r="W381" s="9">
        <v>2.3040000000000001E-2</v>
      </c>
      <c r="X381" s="9">
        <v>0.54900000000000004</v>
      </c>
      <c r="Y381" s="8">
        <v>29.6</v>
      </c>
      <c r="Z381" s="8">
        <v>1075</v>
      </c>
      <c r="AA381" s="8">
        <f t="shared" si="145"/>
        <v>20</v>
      </c>
      <c r="AB381" s="51">
        <f t="shared" si="135"/>
        <v>0.82189116447904176</v>
      </c>
      <c r="AC381" s="51">
        <f t="shared" si="136"/>
        <v>12.311999999999998</v>
      </c>
      <c r="AD381" s="51">
        <v>50</v>
      </c>
      <c r="AE381" s="51">
        <f t="shared" si="137"/>
        <v>46.511627906976742</v>
      </c>
      <c r="AF381" s="51">
        <f t="shared" si="138"/>
        <v>37.688000000000002</v>
      </c>
      <c r="AG381" s="52">
        <v>1</v>
      </c>
      <c r="AH381" s="52">
        <f>75.376/24.624</f>
        <v>3.0610786224821318</v>
      </c>
      <c r="AI381" s="52">
        <f t="shared" si="139"/>
        <v>0.75375999999999999</v>
      </c>
      <c r="AJ381" s="51">
        <f t="shared" si="140"/>
        <v>15.064788870263191</v>
      </c>
      <c r="AK381" s="51">
        <f t="shared" si="141"/>
        <v>11.678130907180767</v>
      </c>
      <c r="AL381" s="51">
        <f t="shared" si="142"/>
        <v>2.7527888702631929</v>
      </c>
      <c r="AM381" s="52">
        <v>0.18</v>
      </c>
      <c r="AN381" s="52">
        <f t="shared" si="143"/>
        <v>0.15254237288135594</v>
      </c>
      <c r="AO381" s="52">
        <f t="shared" si="146"/>
        <v>1.5128306573980744E-2</v>
      </c>
      <c r="AP381" s="52">
        <f>18.273/81.727</f>
        <v>0.22358584066465181</v>
      </c>
      <c r="AQ381" s="52">
        <f t="shared" si="144"/>
        <v>0.18273</v>
      </c>
      <c r="AR381" s="28" t="s">
        <v>371</v>
      </c>
    </row>
    <row r="382" spans="1:44" ht="15" customHeight="1" x14ac:dyDescent="0.25">
      <c r="A382" s="76">
        <v>381</v>
      </c>
      <c r="B382" s="76">
        <v>2008</v>
      </c>
      <c r="C382" s="77" t="s">
        <v>207</v>
      </c>
      <c r="D382" s="76">
        <v>1</v>
      </c>
      <c r="E382" s="78">
        <v>24</v>
      </c>
      <c r="F382" s="79">
        <v>1.5</v>
      </c>
      <c r="G382" s="80">
        <v>60</v>
      </c>
      <c r="H382" s="80">
        <v>20</v>
      </c>
      <c r="I382" s="78">
        <v>23</v>
      </c>
      <c r="J382" s="81">
        <v>2.3599999999999999E-2</v>
      </c>
      <c r="K382" s="77" t="s">
        <v>306</v>
      </c>
      <c r="L382" s="77" t="s">
        <v>36</v>
      </c>
      <c r="M382" s="77" t="s">
        <v>289</v>
      </c>
      <c r="N382" s="77">
        <v>25</v>
      </c>
      <c r="O382" s="77">
        <v>180</v>
      </c>
      <c r="P382" s="78"/>
      <c r="Q382" s="81">
        <v>27</v>
      </c>
      <c r="R382" s="82"/>
      <c r="S382" s="82">
        <v>2.8228651384738996E-4</v>
      </c>
      <c r="T382" s="82">
        <v>920000000</v>
      </c>
      <c r="U382" s="78">
        <v>2695</v>
      </c>
      <c r="V382" s="82">
        <v>1.7919999999999998E-2</v>
      </c>
      <c r="W382" s="82">
        <v>2.3040000000000001E-2</v>
      </c>
      <c r="X382" s="82">
        <v>0.54900000000000004</v>
      </c>
      <c r="Y382" s="78">
        <v>29.6</v>
      </c>
      <c r="Z382" s="78">
        <v>1075</v>
      </c>
      <c r="AA382" s="78">
        <f t="shared" si="145"/>
        <v>400</v>
      </c>
      <c r="AB382" s="81">
        <f t="shared" si="135"/>
        <v>0.82189116447904176</v>
      </c>
      <c r="AC382" s="81">
        <f t="shared" si="136"/>
        <v>205</v>
      </c>
      <c r="AD382" s="81">
        <v>1000</v>
      </c>
      <c r="AE382" s="81">
        <f t="shared" si="137"/>
        <v>930.23255813953483</v>
      </c>
      <c r="AF382" s="81">
        <f t="shared" si="138"/>
        <v>795</v>
      </c>
      <c r="AG382" s="83">
        <v>1</v>
      </c>
      <c r="AH382" s="83">
        <f>159/41</f>
        <v>3.8780487804878048</v>
      </c>
      <c r="AI382" s="83">
        <f t="shared" si="139"/>
        <v>0.79500000000000004</v>
      </c>
      <c r="AJ382" s="81">
        <f t="shared" si="140"/>
        <v>281.78463855421683</v>
      </c>
      <c r="AK382" s="81">
        <f t="shared" si="141"/>
        <v>218.43770430559445</v>
      </c>
      <c r="AL382" s="81">
        <f t="shared" si="142"/>
        <v>76.784638554216841</v>
      </c>
      <c r="AM382" s="83">
        <f>17/83</f>
        <v>0.20481927710843373</v>
      </c>
      <c r="AN382" s="83">
        <f t="shared" si="143"/>
        <v>0.17</v>
      </c>
      <c r="AO382" s="83">
        <v>4.6210000000000001E-2</v>
      </c>
      <c r="AP382" s="83">
        <f>AO382*(AH382-AM382)+AM382</f>
        <v>0.37455921245959445</v>
      </c>
      <c r="AQ382" s="83">
        <f t="shared" si="144"/>
        <v>0.27249405414072309</v>
      </c>
      <c r="AR382" s="77" t="s">
        <v>270</v>
      </c>
    </row>
    <row r="383" spans="1:44" ht="15" customHeight="1" x14ac:dyDescent="0.25">
      <c r="A383" s="76">
        <v>382</v>
      </c>
      <c r="B383" s="76">
        <v>2008</v>
      </c>
      <c r="C383" s="77" t="s">
        <v>207</v>
      </c>
      <c r="D383" s="76">
        <v>2</v>
      </c>
      <c r="E383" s="78">
        <v>24</v>
      </c>
      <c r="F383" s="79">
        <v>1.5</v>
      </c>
      <c r="G383" s="80">
        <v>60</v>
      </c>
      <c r="H383" s="80">
        <v>20</v>
      </c>
      <c r="I383" s="78">
        <v>23</v>
      </c>
      <c r="J383" s="81">
        <v>4.0399999999999998E-2</v>
      </c>
      <c r="K383" s="77" t="s">
        <v>306</v>
      </c>
      <c r="L383" s="77" t="s">
        <v>36</v>
      </c>
      <c r="M383" s="77" t="s">
        <v>289</v>
      </c>
      <c r="N383" s="77">
        <v>25</v>
      </c>
      <c r="O383" s="77">
        <v>180</v>
      </c>
      <c r="P383" s="78"/>
      <c r="Q383" s="81">
        <v>29</v>
      </c>
      <c r="R383" s="82"/>
      <c r="S383" s="82">
        <v>2.8228651384738996E-4</v>
      </c>
      <c r="T383" s="82">
        <v>920000000</v>
      </c>
      <c r="U383" s="78">
        <v>2695</v>
      </c>
      <c r="V383" s="82">
        <v>1.7919999999999998E-2</v>
      </c>
      <c r="W383" s="82">
        <v>2.3040000000000001E-2</v>
      </c>
      <c r="X383" s="82">
        <v>0.54900000000000004</v>
      </c>
      <c r="Y383" s="78">
        <v>29.6</v>
      </c>
      <c r="Z383" s="78">
        <v>1075</v>
      </c>
      <c r="AA383" s="78">
        <f t="shared" si="145"/>
        <v>400</v>
      </c>
      <c r="AB383" s="81">
        <f t="shared" si="135"/>
        <v>0.82189116447904176</v>
      </c>
      <c r="AC383" s="81">
        <f t="shared" si="136"/>
        <v>205</v>
      </c>
      <c r="AD383" s="81">
        <v>1000</v>
      </c>
      <c r="AE383" s="81">
        <f t="shared" si="137"/>
        <v>930.23255813953483</v>
      </c>
      <c r="AF383" s="81">
        <f t="shared" si="138"/>
        <v>795</v>
      </c>
      <c r="AG383" s="83">
        <v>1</v>
      </c>
      <c r="AH383" s="83">
        <f>159/41</f>
        <v>3.8780487804878048</v>
      </c>
      <c r="AI383" s="83">
        <f t="shared" si="139"/>
        <v>0.79500000000000004</v>
      </c>
      <c r="AJ383" s="81">
        <f t="shared" si="140"/>
        <v>281.78463855421683</v>
      </c>
      <c r="AK383" s="81">
        <f t="shared" si="141"/>
        <v>218.43770430559445</v>
      </c>
      <c r="AL383" s="81">
        <f t="shared" si="142"/>
        <v>76.784638554216841</v>
      </c>
      <c r="AM383" s="83">
        <f>17/83</f>
        <v>0.20481927710843373</v>
      </c>
      <c r="AN383" s="83">
        <f t="shared" si="143"/>
        <v>0.17</v>
      </c>
      <c r="AO383" s="83">
        <v>4.6210000000000001E-2</v>
      </c>
      <c r="AP383" s="83">
        <f>AO383*(AH383-AM383)+AM383</f>
        <v>0.37455921245959445</v>
      </c>
      <c r="AQ383" s="83">
        <f t="shared" si="144"/>
        <v>0.27249405414072309</v>
      </c>
      <c r="AR383" s="77" t="s">
        <v>271</v>
      </c>
    </row>
    <row r="384" spans="1:44" s="10" customFormat="1" ht="15" hidden="1" customHeight="1" x14ac:dyDescent="0.25">
      <c r="A384" s="1">
        <v>383</v>
      </c>
      <c r="B384" s="1">
        <v>2008</v>
      </c>
      <c r="C384" s="28" t="s">
        <v>207</v>
      </c>
      <c r="D384" s="1">
        <v>3</v>
      </c>
      <c r="E384" s="8">
        <v>53</v>
      </c>
      <c r="F384" s="31">
        <v>1.5</v>
      </c>
      <c r="G384" s="49">
        <v>60</v>
      </c>
      <c r="H384" s="49">
        <v>20</v>
      </c>
      <c r="I384" s="8">
        <v>52</v>
      </c>
      <c r="J384" s="51">
        <v>4.9599999999999998E-2</v>
      </c>
      <c r="K384" s="28" t="s">
        <v>306</v>
      </c>
      <c r="L384" s="28" t="s">
        <v>36</v>
      </c>
      <c r="M384" s="28" t="s">
        <v>34</v>
      </c>
      <c r="N384" s="28" t="s">
        <v>34</v>
      </c>
      <c r="O384" s="28" t="s">
        <v>34</v>
      </c>
      <c r="P384" s="8"/>
      <c r="Q384" s="51">
        <v>10</v>
      </c>
      <c r="R384" s="9"/>
      <c r="S384" s="9">
        <v>2.8228651384738996E-4</v>
      </c>
      <c r="T384" s="9">
        <v>920000000</v>
      </c>
      <c r="U384" s="8">
        <v>2695</v>
      </c>
      <c r="V384" s="9">
        <v>1.7919999999999998E-2</v>
      </c>
      <c r="W384" s="9">
        <v>2.3040000000000001E-2</v>
      </c>
      <c r="X384" s="9">
        <v>0.54900000000000004</v>
      </c>
      <c r="Y384" s="8">
        <v>29.6</v>
      </c>
      <c r="Z384" s="8">
        <v>1075</v>
      </c>
      <c r="AA384" s="8">
        <f t="shared" si="145"/>
        <v>400</v>
      </c>
      <c r="AB384" s="51">
        <f t="shared" si="135"/>
        <v>0.82189116447904176</v>
      </c>
      <c r="AC384" s="51">
        <f t="shared" si="136"/>
        <v>205</v>
      </c>
      <c r="AD384" s="51">
        <v>1000</v>
      </c>
      <c r="AE384" s="51">
        <f t="shared" si="137"/>
        <v>930.23255813953483</v>
      </c>
      <c r="AF384" s="51">
        <f t="shared" si="138"/>
        <v>795</v>
      </c>
      <c r="AG384" s="52">
        <v>1</v>
      </c>
      <c r="AH384" s="52">
        <f>79.5/20.5</f>
        <v>3.8780487804878048</v>
      </c>
      <c r="AI384" s="52">
        <f t="shared" si="139"/>
        <v>0.79500000000000004</v>
      </c>
      <c r="AJ384" s="51">
        <f t="shared" si="140"/>
        <v>295.72289156626505</v>
      </c>
      <c r="AK384" s="51">
        <f t="shared" si="141"/>
        <v>229.24255160175585</v>
      </c>
      <c r="AL384" s="51">
        <f t="shared" si="142"/>
        <v>90.722891566265048</v>
      </c>
      <c r="AM384" s="52">
        <f>17/83</f>
        <v>0.20481927710843373</v>
      </c>
      <c r="AN384" s="52">
        <f t="shared" si="143"/>
        <v>0.17</v>
      </c>
      <c r="AO384" s="52">
        <v>6.472E-2</v>
      </c>
      <c r="AP384" s="52">
        <f>AO384*(AH384-AM384)+AM384</f>
        <v>0.44255069056714663</v>
      </c>
      <c r="AQ384" s="52">
        <f t="shared" si="144"/>
        <v>0.30678345895294357</v>
      </c>
      <c r="AR384" s="28" t="s">
        <v>34</v>
      </c>
    </row>
    <row r="385" spans="1:44" ht="15" customHeight="1" x14ac:dyDescent="0.25">
      <c r="A385" s="76">
        <v>384</v>
      </c>
      <c r="B385" s="76">
        <v>2009</v>
      </c>
      <c r="C385" s="77" t="s">
        <v>208</v>
      </c>
      <c r="D385" s="76">
        <v>1</v>
      </c>
      <c r="E385" s="78">
        <v>45</v>
      </c>
      <c r="F385" s="74">
        <v>0.5</v>
      </c>
      <c r="G385" s="75">
        <v>45</v>
      </c>
      <c r="H385" s="75">
        <v>30</v>
      </c>
      <c r="I385" s="78">
        <v>200</v>
      </c>
      <c r="J385" s="81">
        <v>0.76</v>
      </c>
      <c r="K385" s="77" t="s">
        <v>298</v>
      </c>
      <c r="L385" s="77" t="s">
        <v>36</v>
      </c>
      <c r="M385" s="77" t="s">
        <v>289</v>
      </c>
      <c r="N385" s="77">
        <v>25</v>
      </c>
      <c r="O385" s="77">
        <v>60</v>
      </c>
      <c r="P385" s="88"/>
      <c r="Q385" s="90">
        <v>20</v>
      </c>
      <c r="R385" s="82"/>
      <c r="S385" s="82">
        <v>2.8024369061446715E-5</v>
      </c>
      <c r="T385" s="82">
        <v>620000000</v>
      </c>
      <c r="U385" s="78">
        <v>3183</v>
      </c>
      <c r="V385" s="82">
        <v>1.7919999999999998E-2</v>
      </c>
      <c r="W385" s="82">
        <v>8.3040000000000003E-2</v>
      </c>
      <c r="X385" s="82">
        <v>0.14899999999999999</v>
      </c>
      <c r="Y385" s="78">
        <v>29.6</v>
      </c>
      <c r="Z385" s="78">
        <v>1075</v>
      </c>
      <c r="AA385" s="78">
        <f t="shared" si="145"/>
        <v>400</v>
      </c>
      <c r="AB385" s="81">
        <f t="shared" si="135"/>
        <v>0.82189116447904176</v>
      </c>
      <c r="AC385" s="81">
        <f t="shared" si="136"/>
        <v>256.0839135768008</v>
      </c>
      <c r="AD385" s="81">
        <v>1000</v>
      </c>
      <c r="AE385" s="81">
        <f t="shared" si="137"/>
        <v>930.23255813953483</v>
      </c>
      <c r="AF385" s="81">
        <f t="shared" si="138"/>
        <v>743.9160864231992</v>
      </c>
      <c r="AG385" s="83">
        <v>1</v>
      </c>
      <c r="AH385" s="83">
        <v>2.9049700000000001</v>
      </c>
      <c r="AI385" s="83">
        <f t="shared" si="139"/>
        <v>0.74391608642319917</v>
      </c>
      <c r="AJ385" s="81">
        <f t="shared" si="140"/>
        <v>272.36828964114954</v>
      </c>
      <c r="AK385" s="81">
        <f t="shared" si="141"/>
        <v>211.13820902414693</v>
      </c>
      <c r="AL385" s="81">
        <f t="shared" si="142"/>
        <v>16.284376064348759</v>
      </c>
      <c r="AM385" s="83">
        <v>6.3589999999999994E-2</v>
      </c>
      <c r="AN385" s="83">
        <f t="shared" si="143"/>
        <v>5.9788076232382768E-2</v>
      </c>
      <c r="AO385" s="83">
        <v>0</v>
      </c>
      <c r="AP385" s="83">
        <v>6.3589999999999994E-2</v>
      </c>
      <c r="AQ385" s="83">
        <f t="shared" si="144"/>
        <v>5.9788076232382768E-2</v>
      </c>
      <c r="AR385" s="77" t="s">
        <v>209</v>
      </c>
    </row>
    <row r="386" spans="1:44" ht="15" customHeight="1" x14ac:dyDescent="0.25">
      <c r="A386" s="76">
        <v>385</v>
      </c>
      <c r="B386" s="76">
        <v>2009</v>
      </c>
      <c r="C386" s="77" t="s">
        <v>208</v>
      </c>
      <c r="D386" s="76">
        <v>2</v>
      </c>
      <c r="E386" s="78">
        <v>37</v>
      </c>
      <c r="F386" s="74">
        <v>0.5</v>
      </c>
      <c r="G386" s="75">
        <v>70</v>
      </c>
      <c r="H386" s="75">
        <v>10</v>
      </c>
      <c r="I386" s="78">
        <v>170</v>
      </c>
      <c r="J386" s="81">
        <v>0.1827</v>
      </c>
      <c r="K386" s="77" t="s">
        <v>298</v>
      </c>
      <c r="L386" s="77" t="s">
        <v>36</v>
      </c>
      <c r="M386" s="77" t="s">
        <v>289</v>
      </c>
      <c r="N386" s="77">
        <v>25</v>
      </c>
      <c r="O386" s="77">
        <v>60</v>
      </c>
      <c r="P386" s="88"/>
      <c r="Q386" s="90">
        <v>24</v>
      </c>
      <c r="R386" s="82"/>
      <c r="S386" s="82">
        <v>5.8085622115665878E-5</v>
      </c>
      <c r="T386" s="82">
        <v>620000000</v>
      </c>
      <c r="U386" s="78">
        <v>3183</v>
      </c>
      <c r="V386" s="82">
        <v>1.7919999999999998E-2</v>
      </c>
      <c r="W386" s="82">
        <v>8.3040000000000003E-2</v>
      </c>
      <c r="X386" s="82">
        <v>0.14899999999999999</v>
      </c>
      <c r="Y386" s="78">
        <v>29.6</v>
      </c>
      <c r="Z386" s="78">
        <v>1075</v>
      </c>
      <c r="AA386" s="78">
        <f t="shared" si="145"/>
        <v>400</v>
      </c>
      <c r="AB386" s="81">
        <f t="shared" si="135"/>
        <v>0.82189116447904176</v>
      </c>
      <c r="AC386" s="81">
        <f t="shared" si="136"/>
        <v>256.0839135768008</v>
      </c>
      <c r="AD386" s="81">
        <v>1000</v>
      </c>
      <c r="AE386" s="81">
        <f t="shared" si="137"/>
        <v>930.23255813953483</v>
      </c>
      <c r="AF386" s="81">
        <f t="shared" si="138"/>
        <v>743.9160864231992</v>
      </c>
      <c r="AG386" s="83">
        <v>1</v>
      </c>
      <c r="AH386" s="83">
        <v>2.9049700000000001</v>
      </c>
      <c r="AI386" s="83">
        <f t="shared" si="139"/>
        <v>0.74391608642319917</v>
      </c>
      <c r="AJ386" s="81">
        <f t="shared" si="140"/>
        <v>269.44893302637399</v>
      </c>
      <c r="AK386" s="81">
        <f t="shared" si="141"/>
        <v>208.87514188091009</v>
      </c>
      <c r="AL386" s="81">
        <f t="shared" si="142"/>
        <v>13.365019449573232</v>
      </c>
      <c r="AM386" s="83">
        <v>5.219E-2</v>
      </c>
      <c r="AN386" s="83">
        <f t="shared" si="143"/>
        <v>4.960130774860054E-2</v>
      </c>
      <c r="AO386" s="83">
        <v>0</v>
      </c>
      <c r="AP386" s="83">
        <v>5.219E-2</v>
      </c>
      <c r="AQ386" s="83">
        <f t="shared" si="144"/>
        <v>4.960130774860054E-2</v>
      </c>
      <c r="AR386" s="77" t="s">
        <v>209</v>
      </c>
    </row>
    <row r="387" spans="1:44" ht="15" customHeight="1" x14ac:dyDescent="0.25">
      <c r="A387" s="76">
        <v>386</v>
      </c>
      <c r="B387" s="76">
        <v>2009</v>
      </c>
      <c r="C387" s="77" t="s">
        <v>208</v>
      </c>
      <c r="D387" s="76">
        <v>3</v>
      </c>
      <c r="E387" s="78">
        <v>35</v>
      </c>
      <c r="F387" s="74">
        <v>0.5</v>
      </c>
      <c r="G387" s="75">
        <v>70</v>
      </c>
      <c r="H387" s="75">
        <v>10</v>
      </c>
      <c r="I387" s="78">
        <v>152</v>
      </c>
      <c r="J387" s="81">
        <v>0.84809999999999997</v>
      </c>
      <c r="K387" s="77" t="s">
        <v>298</v>
      </c>
      <c r="L387" s="77" t="s">
        <v>36</v>
      </c>
      <c r="M387" s="77" t="s">
        <v>289</v>
      </c>
      <c r="N387" s="77">
        <v>25</v>
      </c>
      <c r="O387" s="77">
        <v>60</v>
      </c>
      <c r="P387" s="88"/>
      <c r="Q387" s="90">
        <v>35</v>
      </c>
      <c r="R387" s="82"/>
      <c r="S387" s="82">
        <v>5.8085622115665878E-5</v>
      </c>
      <c r="T387" s="82">
        <v>620000000</v>
      </c>
      <c r="U387" s="78">
        <v>3183</v>
      </c>
      <c r="V387" s="82">
        <v>1.7919999999999998E-2</v>
      </c>
      <c r="W387" s="82">
        <v>8.3040000000000003E-2</v>
      </c>
      <c r="X387" s="82">
        <v>0.14899999999999999</v>
      </c>
      <c r="Y387" s="78">
        <v>29.6</v>
      </c>
      <c r="Z387" s="78">
        <v>1075</v>
      </c>
      <c r="AA387" s="78">
        <f t="shared" si="145"/>
        <v>400</v>
      </c>
      <c r="AB387" s="81">
        <f t="shared" si="135"/>
        <v>0.82189116447904176</v>
      </c>
      <c r="AC387" s="81">
        <f t="shared" si="136"/>
        <v>256.0839135768008</v>
      </c>
      <c r="AD387" s="81">
        <v>1000</v>
      </c>
      <c r="AE387" s="81">
        <f t="shared" si="137"/>
        <v>930.23255813953483</v>
      </c>
      <c r="AF387" s="81">
        <f t="shared" si="138"/>
        <v>743.9160864231992</v>
      </c>
      <c r="AG387" s="83">
        <v>1</v>
      </c>
      <c r="AH387" s="83">
        <v>2.9049700000000001</v>
      </c>
      <c r="AI387" s="83">
        <f t="shared" si="139"/>
        <v>0.74391608642319917</v>
      </c>
      <c r="AJ387" s="81">
        <f t="shared" si="140"/>
        <v>272.07891481880779</v>
      </c>
      <c r="AK387" s="81">
        <f t="shared" si="141"/>
        <v>210.91388745644016</v>
      </c>
      <c r="AL387" s="81">
        <f t="shared" si="142"/>
        <v>15.99500124200698</v>
      </c>
      <c r="AM387" s="83">
        <v>6.2460000000000002E-2</v>
      </c>
      <c r="AN387" s="83">
        <f t="shared" si="143"/>
        <v>5.8788095551832543E-2</v>
      </c>
      <c r="AO387" s="83">
        <v>0</v>
      </c>
      <c r="AP387" s="83">
        <v>6.2460000000000002E-2</v>
      </c>
      <c r="AQ387" s="83">
        <f t="shared" si="144"/>
        <v>5.8788095551832543E-2</v>
      </c>
      <c r="AR387" s="77" t="s">
        <v>209</v>
      </c>
    </row>
    <row r="388" spans="1:44" ht="15" customHeight="1" x14ac:dyDescent="0.25">
      <c r="A388" s="76">
        <v>387</v>
      </c>
      <c r="B388" s="76">
        <v>2009</v>
      </c>
      <c r="C388" s="77" t="s">
        <v>208</v>
      </c>
      <c r="D388" s="76">
        <v>4</v>
      </c>
      <c r="E388" s="78">
        <v>27</v>
      </c>
      <c r="F388" s="74">
        <v>1</v>
      </c>
      <c r="G388" s="75">
        <v>65</v>
      </c>
      <c r="H388" s="75">
        <v>12</v>
      </c>
      <c r="I388" s="78">
        <v>122</v>
      </c>
      <c r="J388" s="81">
        <v>0.45129999999999998</v>
      </c>
      <c r="K388" s="77" t="s">
        <v>298</v>
      </c>
      <c r="L388" s="77" t="s">
        <v>36</v>
      </c>
      <c r="M388" s="77" t="s">
        <v>289</v>
      </c>
      <c r="N388" s="77">
        <v>25</v>
      </c>
      <c r="O388" s="77">
        <v>60</v>
      </c>
      <c r="P388" s="88" t="s">
        <v>382</v>
      </c>
      <c r="Q388" s="90">
        <v>31</v>
      </c>
      <c r="R388" s="82"/>
      <c r="S388" s="82">
        <v>5.0641465226958986E-5</v>
      </c>
      <c r="T388" s="82">
        <v>620000000</v>
      </c>
      <c r="U388" s="78">
        <v>3183</v>
      </c>
      <c r="V388" s="82">
        <v>1.7919999999999998E-2</v>
      </c>
      <c r="W388" s="82">
        <v>8.3040000000000003E-2</v>
      </c>
      <c r="X388" s="82">
        <v>0.14899999999999999</v>
      </c>
      <c r="Y388" s="78">
        <v>29.6</v>
      </c>
      <c r="Z388" s="78">
        <v>1075</v>
      </c>
      <c r="AA388" s="78">
        <f t="shared" si="145"/>
        <v>400</v>
      </c>
      <c r="AB388" s="81">
        <f t="shared" si="135"/>
        <v>0.82189116447904176</v>
      </c>
      <c r="AC388" s="81">
        <f t="shared" si="136"/>
        <v>256.0839135768008</v>
      </c>
      <c r="AD388" s="81">
        <v>1000</v>
      </c>
      <c r="AE388" s="81">
        <f t="shared" si="137"/>
        <v>930.23255813953483</v>
      </c>
      <c r="AF388" s="81">
        <f t="shared" si="138"/>
        <v>743.9160864231992</v>
      </c>
      <c r="AG388" s="83">
        <v>1</v>
      </c>
      <c r="AH388" s="83">
        <v>2.9049700000000001</v>
      </c>
      <c r="AI388" s="83">
        <f t="shared" si="139"/>
        <v>0.74391608642319917</v>
      </c>
      <c r="AJ388" s="81">
        <f t="shared" si="140"/>
        <v>268.24789947169882</v>
      </c>
      <c r="AK388" s="81">
        <f t="shared" si="141"/>
        <v>207.94410811759599</v>
      </c>
      <c r="AL388" s="81">
        <f t="shared" si="142"/>
        <v>12.163985894898037</v>
      </c>
      <c r="AM388" s="83">
        <v>4.7500000000000001E-2</v>
      </c>
      <c r="AN388" s="83">
        <f t="shared" si="143"/>
        <v>4.5346062052505964E-2</v>
      </c>
      <c r="AO388" s="83">
        <v>0</v>
      </c>
      <c r="AP388" s="83">
        <v>4.7500000000000001E-2</v>
      </c>
      <c r="AQ388" s="83">
        <f t="shared" si="144"/>
        <v>4.5346062052505964E-2</v>
      </c>
      <c r="AR388" s="77" t="s">
        <v>209</v>
      </c>
    </row>
    <row r="389" spans="1:44" ht="15" customHeight="1" x14ac:dyDescent="0.25">
      <c r="A389" s="76">
        <v>388</v>
      </c>
      <c r="B389" s="76">
        <v>2009</v>
      </c>
      <c r="C389" s="77" t="s">
        <v>208</v>
      </c>
      <c r="D389" s="76">
        <v>5</v>
      </c>
      <c r="E389" s="78">
        <v>25</v>
      </c>
      <c r="F389" s="74">
        <v>1</v>
      </c>
      <c r="G389" s="75">
        <v>65</v>
      </c>
      <c r="H389" s="75">
        <v>12</v>
      </c>
      <c r="I389" s="78">
        <v>104</v>
      </c>
      <c r="J389" s="81">
        <v>0.1671</v>
      </c>
      <c r="K389" s="77" t="s">
        <v>298</v>
      </c>
      <c r="L389" s="77" t="s">
        <v>36</v>
      </c>
      <c r="M389" s="77" t="s">
        <v>289</v>
      </c>
      <c r="N389" s="77">
        <v>25</v>
      </c>
      <c r="O389" s="77">
        <v>60</v>
      </c>
      <c r="P389" s="88"/>
      <c r="Q389" s="90">
        <v>22</v>
      </c>
      <c r="R389" s="82"/>
      <c r="S389" s="82">
        <v>5.0641465226958986E-5</v>
      </c>
      <c r="T389" s="82">
        <v>620000000</v>
      </c>
      <c r="U389" s="78">
        <v>3183</v>
      </c>
      <c r="V389" s="82">
        <v>1.7919999999999998E-2</v>
      </c>
      <c r="W389" s="82">
        <v>8.3040000000000003E-2</v>
      </c>
      <c r="X389" s="82">
        <v>0.14899999999999999</v>
      </c>
      <c r="Y389" s="78">
        <v>29.6</v>
      </c>
      <c r="Z389" s="78">
        <v>1075</v>
      </c>
      <c r="AA389" s="78">
        <f t="shared" si="145"/>
        <v>400</v>
      </c>
      <c r="AB389" s="81">
        <f t="shared" si="135"/>
        <v>0.82189116447904176</v>
      </c>
      <c r="AC389" s="81">
        <f t="shared" si="136"/>
        <v>256.0839135768008</v>
      </c>
      <c r="AD389" s="81">
        <v>1000</v>
      </c>
      <c r="AE389" s="81">
        <f t="shared" si="137"/>
        <v>930.23255813953483</v>
      </c>
      <c r="AF389" s="81">
        <f t="shared" si="138"/>
        <v>743.9160864231992</v>
      </c>
      <c r="AG389" s="83">
        <v>1</v>
      </c>
      <c r="AH389" s="83">
        <v>2.9049700000000001</v>
      </c>
      <c r="AI389" s="83">
        <f t="shared" si="139"/>
        <v>0.74391608642319917</v>
      </c>
      <c r="AJ389" s="81">
        <f t="shared" si="140"/>
        <v>271.81514838782368</v>
      </c>
      <c r="AK389" s="81">
        <f t="shared" si="141"/>
        <v>210.70941735490209</v>
      </c>
      <c r="AL389" s="81">
        <f t="shared" si="142"/>
        <v>15.731234811022873</v>
      </c>
      <c r="AM389" s="83">
        <v>6.1429999999999998E-2</v>
      </c>
      <c r="AN389" s="83">
        <f t="shared" si="143"/>
        <v>5.7874753869779444E-2</v>
      </c>
      <c r="AO389" s="83">
        <v>0</v>
      </c>
      <c r="AP389" s="83">
        <v>6.1429999999999998E-2</v>
      </c>
      <c r="AQ389" s="83">
        <f t="shared" si="144"/>
        <v>5.7874753869779444E-2</v>
      </c>
      <c r="AR389" s="77" t="s">
        <v>209</v>
      </c>
    </row>
    <row r="390" spans="1:44" ht="15" customHeight="1" x14ac:dyDescent="0.25">
      <c r="A390" s="76">
        <v>389</v>
      </c>
      <c r="B390" s="76">
        <v>2009</v>
      </c>
      <c r="C390" s="77" t="s">
        <v>208</v>
      </c>
      <c r="D390" s="76">
        <v>6</v>
      </c>
      <c r="E390" s="78">
        <v>23</v>
      </c>
      <c r="F390" s="74">
        <v>1.5</v>
      </c>
      <c r="G390" s="75">
        <v>61</v>
      </c>
      <c r="H390" s="75">
        <v>15</v>
      </c>
      <c r="I390" s="78">
        <v>100</v>
      </c>
      <c r="J390" s="81">
        <v>0.24049999999999999</v>
      </c>
      <c r="K390" s="77" t="s">
        <v>298</v>
      </c>
      <c r="L390" s="77" t="s">
        <v>36</v>
      </c>
      <c r="M390" s="77" t="s">
        <v>289</v>
      </c>
      <c r="N390" s="77">
        <v>25</v>
      </c>
      <c r="O390" s="77">
        <v>60</v>
      </c>
      <c r="P390" s="88"/>
      <c r="Q390" s="90">
        <v>21</v>
      </c>
      <c r="R390" s="82"/>
      <c r="S390" s="82">
        <v>4.5245249994657298E-5</v>
      </c>
      <c r="T390" s="82">
        <v>620000000</v>
      </c>
      <c r="U390" s="78">
        <v>3183</v>
      </c>
      <c r="V390" s="82">
        <v>1.7919999999999998E-2</v>
      </c>
      <c r="W390" s="82">
        <v>8.3040000000000003E-2</v>
      </c>
      <c r="X390" s="82">
        <v>0.14899999999999999</v>
      </c>
      <c r="Y390" s="78">
        <v>29.6</v>
      </c>
      <c r="Z390" s="78">
        <v>1075</v>
      </c>
      <c r="AA390" s="78">
        <f t="shared" si="145"/>
        <v>400</v>
      </c>
      <c r="AB390" s="81">
        <f t="shared" si="135"/>
        <v>0.82189116447904176</v>
      </c>
      <c r="AC390" s="81">
        <f t="shared" si="136"/>
        <v>256.0839135768008</v>
      </c>
      <c r="AD390" s="81">
        <v>1000</v>
      </c>
      <c r="AE390" s="81">
        <f t="shared" si="137"/>
        <v>930.23255813953483</v>
      </c>
      <c r="AF390" s="81">
        <f t="shared" si="138"/>
        <v>743.9160864231992</v>
      </c>
      <c r="AG390" s="83">
        <v>1</v>
      </c>
      <c r="AH390" s="83">
        <v>2.9049700000000001</v>
      </c>
      <c r="AI390" s="83">
        <f t="shared" si="139"/>
        <v>0.74391608642319917</v>
      </c>
      <c r="AJ390" s="81">
        <f t="shared" si="140"/>
        <v>267.20307710430546</v>
      </c>
      <c r="AK390" s="81">
        <f t="shared" ref="AK390:AK421" si="147">AJ390/1290*1000</f>
        <v>207.1341682979112</v>
      </c>
      <c r="AL390" s="81">
        <f t="shared" si="142"/>
        <v>11.119163527504691</v>
      </c>
      <c r="AM390" s="83">
        <v>4.342E-2</v>
      </c>
      <c r="AN390" s="83">
        <f t="shared" si="143"/>
        <v>4.161315673458435E-2</v>
      </c>
      <c r="AO390" s="83">
        <v>0</v>
      </c>
      <c r="AP390" s="83">
        <v>4.342E-2</v>
      </c>
      <c r="AQ390" s="83">
        <f t="shared" si="144"/>
        <v>4.161315673458435E-2</v>
      </c>
      <c r="AR390" s="77" t="s">
        <v>209</v>
      </c>
    </row>
    <row r="391" spans="1:44" ht="15" customHeight="1" x14ac:dyDescent="0.25">
      <c r="A391" s="76">
        <v>390</v>
      </c>
      <c r="B391" s="76">
        <v>2009</v>
      </c>
      <c r="C391" s="77" t="s">
        <v>208</v>
      </c>
      <c r="D391" s="76">
        <v>7</v>
      </c>
      <c r="E391" s="78">
        <v>20</v>
      </c>
      <c r="F391" s="74">
        <v>1.5</v>
      </c>
      <c r="G391" s="75">
        <v>61</v>
      </c>
      <c r="H391" s="75">
        <v>15</v>
      </c>
      <c r="I391" s="78">
        <v>80</v>
      </c>
      <c r="J391" s="81">
        <v>0.1862</v>
      </c>
      <c r="K391" s="77" t="s">
        <v>298</v>
      </c>
      <c r="L391" s="77" t="s">
        <v>36</v>
      </c>
      <c r="M391" s="77" t="s">
        <v>289</v>
      </c>
      <c r="N391" s="77">
        <v>25</v>
      </c>
      <c r="O391" s="77">
        <v>60</v>
      </c>
      <c r="P391" s="88"/>
      <c r="Q391" s="90">
        <v>17</v>
      </c>
      <c r="R391" s="82"/>
      <c r="S391" s="82">
        <v>4.5245249994657298E-5</v>
      </c>
      <c r="T391" s="82">
        <v>620000000</v>
      </c>
      <c r="U391" s="78">
        <v>3183</v>
      </c>
      <c r="V391" s="82">
        <v>1.7919999999999998E-2</v>
      </c>
      <c r="W391" s="82">
        <v>8.3040000000000003E-2</v>
      </c>
      <c r="X391" s="82">
        <v>0.14899999999999999</v>
      </c>
      <c r="Y391" s="78">
        <v>29.6</v>
      </c>
      <c r="Z391" s="78">
        <v>1075</v>
      </c>
      <c r="AA391" s="78">
        <f t="shared" si="145"/>
        <v>400</v>
      </c>
      <c r="AB391" s="81">
        <f t="shared" si="135"/>
        <v>0.82189116447904176</v>
      </c>
      <c r="AC391" s="81">
        <f t="shared" si="136"/>
        <v>256.0839135768008</v>
      </c>
      <c r="AD391" s="81">
        <v>1000</v>
      </c>
      <c r="AE391" s="81">
        <f t="shared" si="137"/>
        <v>930.23255813953483</v>
      </c>
      <c r="AF391" s="81">
        <f t="shared" si="138"/>
        <v>743.9160864231992</v>
      </c>
      <c r="AG391" s="83">
        <v>1</v>
      </c>
      <c r="AH391" s="83">
        <v>2.9049700000000001</v>
      </c>
      <c r="AI391" s="83">
        <f t="shared" si="139"/>
        <v>0.74391608642319917</v>
      </c>
      <c r="AJ391" s="81">
        <f t="shared" si="140"/>
        <v>270.76008266388726</v>
      </c>
      <c r="AK391" s="81">
        <f t="shared" si="147"/>
        <v>209.89153694874983</v>
      </c>
      <c r="AL391" s="81">
        <f t="shared" si="142"/>
        <v>14.676169087086455</v>
      </c>
      <c r="AM391" s="83">
        <v>5.731E-2</v>
      </c>
      <c r="AN391" s="83">
        <f t="shared" si="143"/>
        <v>5.4203592134757075E-2</v>
      </c>
      <c r="AO391" s="83">
        <v>0</v>
      </c>
      <c r="AP391" s="83">
        <v>5.731E-2</v>
      </c>
      <c r="AQ391" s="83">
        <f t="shared" si="144"/>
        <v>5.4203592134757075E-2</v>
      </c>
      <c r="AR391" s="77" t="s">
        <v>209</v>
      </c>
    </row>
    <row r="392" spans="1:44" s="12" customFormat="1" ht="15" customHeight="1" x14ac:dyDescent="0.25">
      <c r="A392" s="3">
        <v>391</v>
      </c>
      <c r="B392" s="3">
        <v>2009</v>
      </c>
      <c r="C392" s="27" t="s">
        <v>210</v>
      </c>
      <c r="D392" s="3">
        <v>1</v>
      </c>
      <c r="E392" s="11">
        <v>12</v>
      </c>
      <c r="F392" s="34">
        <v>2.7</v>
      </c>
      <c r="G392" s="58">
        <v>39.5</v>
      </c>
      <c r="H392" s="58">
        <v>25</v>
      </c>
      <c r="I392" s="11">
        <v>33</v>
      </c>
      <c r="J392" s="47">
        <v>0.11119999999999999</v>
      </c>
      <c r="K392" s="27" t="s">
        <v>306</v>
      </c>
      <c r="L392" s="27" t="s">
        <v>36</v>
      </c>
      <c r="M392" s="27" t="s">
        <v>289</v>
      </c>
      <c r="N392" s="27">
        <v>25</v>
      </c>
      <c r="O392" s="27">
        <v>60</v>
      </c>
      <c r="P392" s="11"/>
      <c r="Q392" s="47">
        <v>80</v>
      </c>
      <c r="R392" s="4"/>
      <c r="S392" s="4">
        <v>1.6369452798492359E-3</v>
      </c>
      <c r="T392" s="4">
        <v>930000000</v>
      </c>
      <c r="U392" s="11">
        <v>1983</v>
      </c>
      <c r="V392" s="4">
        <v>1.7919999999999998E-2</v>
      </c>
      <c r="W392" s="4">
        <v>2.3040000000000001E-2</v>
      </c>
      <c r="X392" s="4">
        <v>0.14899999999999999</v>
      </c>
      <c r="Y392" s="11">
        <v>29.6</v>
      </c>
      <c r="Z392" s="11">
        <v>1075</v>
      </c>
      <c r="AA392" s="11">
        <f t="shared" si="145"/>
        <v>400</v>
      </c>
      <c r="AB392" s="47">
        <f t="shared" si="135"/>
        <v>0.82189116447904176</v>
      </c>
      <c r="AC392" s="47">
        <f t="shared" si="136"/>
        <v>220</v>
      </c>
      <c r="AD392" s="47">
        <v>1000</v>
      </c>
      <c r="AE392" s="47">
        <f t="shared" si="137"/>
        <v>930.23255813953483</v>
      </c>
      <c r="AF392" s="47">
        <f t="shared" si="138"/>
        <v>780</v>
      </c>
      <c r="AG392" s="53">
        <v>1</v>
      </c>
      <c r="AH392" s="53">
        <f t="shared" ref="AH392:AH397" si="148">39/11</f>
        <v>3.5454545454545454</v>
      </c>
      <c r="AI392" s="53">
        <f t="shared" si="139"/>
        <v>0.78</v>
      </c>
      <c r="AJ392" s="47">
        <f t="shared" si="140"/>
        <v>263.25880000000001</v>
      </c>
      <c r="AK392" s="47">
        <f t="shared" si="147"/>
        <v>204.07658914728682</v>
      </c>
      <c r="AL392" s="47">
        <f t="shared" si="142"/>
        <v>43.258800000000001</v>
      </c>
      <c r="AM392" s="53">
        <v>0</v>
      </c>
      <c r="AN392" s="53">
        <f t="shared" si="143"/>
        <v>0</v>
      </c>
      <c r="AO392" s="53">
        <v>5.5460000000000002E-2</v>
      </c>
      <c r="AP392" s="53">
        <f t="shared" ref="AP392:AP397" si="149">AO392*AH392</f>
        <v>0.19663090909090911</v>
      </c>
      <c r="AQ392" s="53">
        <f t="shared" si="144"/>
        <v>0.16432043297318077</v>
      </c>
      <c r="AR392" s="27" t="s">
        <v>211</v>
      </c>
    </row>
    <row r="393" spans="1:44" ht="15" customHeight="1" x14ac:dyDescent="0.25">
      <c r="A393" s="76">
        <v>392</v>
      </c>
      <c r="B393" s="76">
        <v>2009</v>
      </c>
      <c r="C393" s="77" t="s">
        <v>210</v>
      </c>
      <c r="D393" s="76">
        <v>2</v>
      </c>
      <c r="E393" s="78">
        <v>11</v>
      </c>
      <c r="F393" s="74">
        <v>6.9</v>
      </c>
      <c r="G393" s="75">
        <v>44.5</v>
      </c>
      <c r="H393" s="75">
        <v>20</v>
      </c>
      <c r="I393" s="78">
        <v>30</v>
      </c>
      <c r="J393" s="81">
        <v>9.35E-2</v>
      </c>
      <c r="K393" s="77" t="s">
        <v>306</v>
      </c>
      <c r="L393" s="77" t="s">
        <v>36</v>
      </c>
      <c r="M393" s="77" t="s">
        <v>289</v>
      </c>
      <c r="N393" s="77">
        <v>25</v>
      </c>
      <c r="O393" s="77">
        <v>60</v>
      </c>
      <c r="P393" s="78"/>
      <c r="Q393" s="81">
        <v>79</v>
      </c>
      <c r="R393" s="82"/>
      <c r="S393" s="82">
        <v>1.8087954624815897E-3</v>
      </c>
      <c r="T393" s="82">
        <v>930000000</v>
      </c>
      <c r="U393" s="78">
        <v>1983</v>
      </c>
      <c r="V393" s="82">
        <v>1.7919999999999998E-2</v>
      </c>
      <c r="W393" s="82">
        <v>2.3040000000000001E-2</v>
      </c>
      <c r="X393" s="82">
        <v>0.14899999999999999</v>
      </c>
      <c r="Y393" s="78">
        <v>29.6</v>
      </c>
      <c r="Z393" s="78">
        <v>1075</v>
      </c>
      <c r="AA393" s="78">
        <f t="shared" si="145"/>
        <v>400</v>
      </c>
      <c r="AB393" s="81">
        <f t="shared" si="135"/>
        <v>0.82189116447904176</v>
      </c>
      <c r="AC393" s="81">
        <f t="shared" si="136"/>
        <v>220</v>
      </c>
      <c r="AD393" s="81">
        <v>1000</v>
      </c>
      <c r="AE393" s="81">
        <f t="shared" si="137"/>
        <v>930.23255813953483</v>
      </c>
      <c r="AF393" s="81">
        <f t="shared" si="138"/>
        <v>780</v>
      </c>
      <c r="AG393" s="83">
        <v>1</v>
      </c>
      <c r="AH393" s="83">
        <f t="shared" si="148"/>
        <v>3.5454545454545454</v>
      </c>
      <c r="AI393" s="83">
        <f t="shared" si="139"/>
        <v>0.78</v>
      </c>
      <c r="AJ393" s="81">
        <f t="shared" si="140"/>
        <v>264.65499999999997</v>
      </c>
      <c r="AK393" s="81">
        <f t="shared" si="147"/>
        <v>205.15891472868213</v>
      </c>
      <c r="AL393" s="81">
        <f t="shared" si="142"/>
        <v>44.654999999999994</v>
      </c>
      <c r="AM393" s="83">
        <v>0</v>
      </c>
      <c r="AN393" s="83">
        <f t="shared" si="143"/>
        <v>0</v>
      </c>
      <c r="AO393" s="83">
        <v>5.7250000000000002E-2</v>
      </c>
      <c r="AP393" s="83">
        <f t="shared" si="149"/>
        <v>0.20297727272727273</v>
      </c>
      <c r="AQ393" s="83">
        <f t="shared" si="144"/>
        <v>0.16872910014925091</v>
      </c>
      <c r="AR393" s="77" t="s">
        <v>211</v>
      </c>
    </row>
    <row r="394" spans="1:44" ht="15" customHeight="1" x14ac:dyDescent="0.25">
      <c r="A394" s="76">
        <v>393</v>
      </c>
      <c r="B394" s="76">
        <v>2009</v>
      </c>
      <c r="C394" s="77" t="s">
        <v>210</v>
      </c>
      <c r="D394" s="76">
        <v>3</v>
      </c>
      <c r="E394" s="78">
        <v>8</v>
      </c>
      <c r="F394" s="74">
        <v>4.7</v>
      </c>
      <c r="G394" s="75">
        <v>50.5</v>
      </c>
      <c r="H394" s="75">
        <v>15</v>
      </c>
      <c r="I394" s="78">
        <v>21</v>
      </c>
      <c r="J394" s="81">
        <v>4.8000000000000001E-2</v>
      </c>
      <c r="K394" s="77" t="s">
        <v>306</v>
      </c>
      <c r="L394" s="77" t="s">
        <v>36</v>
      </c>
      <c r="M394" s="77" t="s">
        <v>289</v>
      </c>
      <c r="N394" s="77">
        <v>25</v>
      </c>
      <c r="O394" s="77">
        <v>60</v>
      </c>
      <c r="P394" s="78"/>
      <c r="Q394" s="81">
        <v>78</v>
      </c>
      <c r="R394" s="82"/>
      <c r="S394" s="82">
        <v>2.0307087256056888E-3</v>
      </c>
      <c r="T394" s="82">
        <v>930000000</v>
      </c>
      <c r="U394" s="78">
        <v>1983</v>
      </c>
      <c r="V394" s="82">
        <v>1.7919999999999998E-2</v>
      </c>
      <c r="W394" s="82">
        <v>2.3040000000000001E-2</v>
      </c>
      <c r="X394" s="82">
        <v>0.14899999999999999</v>
      </c>
      <c r="Y394" s="78">
        <v>29.6</v>
      </c>
      <c r="Z394" s="78">
        <v>1075</v>
      </c>
      <c r="AA394" s="78">
        <f t="shared" si="145"/>
        <v>400</v>
      </c>
      <c r="AB394" s="81">
        <f t="shared" si="135"/>
        <v>0.82189116447904176</v>
      </c>
      <c r="AC394" s="81">
        <f t="shared" si="136"/>
        <v>220</v>
      </c>
      <c r="AD394" s="81">
        <v>1000</v>
      </c>
      <c r="AE394" s="81">
        <f t="shared" si="137"/>
        <v>930.23255813953483</v>
      </c>
      <c r="AF394" s="81">
        <f t="shared" si="138"/>
        <v>780</v>
      </c>
      <c r="AG394" s="83">
        <v>1</v>
      </c>
      <c r="AH394" s="83">
        <f t="shared" si="148"/>
        <v>3.5454545454545454</v>
      </c>
      <c r="AI394" s="83">
        <f t="shared" si="139"/>
        <v>0.78</v>
      </c>
      <c r="AJ394" s="81">
        <f t="shared" si="140"/>
        <v>266.04340000000002</v>
      </c>
      <c r="AK394" s="81">
        <f t="shared" si="147"/>
        <v>206.23519379844961</v>
      </c>
      <c r="AL394" s="81">
        <f t="shared" si="142"/>
        <v>46.043400000000005</v>
      </c>
      <c r="AM394" s="83">
        <v>0</v>
      </c>
      <c r="AN394" s="83">
        <f t="shared" si="143"/>
        <v>0</v>
      </c>
      <c r="AO394" s="83">
        <v>5.9029999999999999E-2</v>
      </c>
      <c r="AP394" s="83">
        <f t="shared" si="149"/>
        <v>0.20928818181818182</v>
      </c>
      <c r="AQ394" s="83">
        <f t="shared" si="144"/>
        <v>0.17306725143341276</v>
      </c>
      <c r="AR394" s="77" t="s">
        <v>211</v>
      </c>
    </row>
    <row r="395" spans="1:44" ht="15" customHeight="1" x14ac:dyDescent="0.25">
      <c r="A395" s="76">
        <v>394</v>
      </c>
      <c r="B395" s="76">
        <v>2009</v>
      </c>
      <c r="C395" s="77" t="s">
        <v>210</v>
      </c>
      <c r="D395" s="76">
        <v>4</v>
      </c>
      <c r="E395" s="78">
        <v>11</v>
      </c>
      <c r="F395" s="74">
        <v>2.75</v>
      </c>
      <c r="G395" s="75">
        <v>39.5</v>
      </c>
      <c r="H395" s="75">
        <v>25</v>
      </c>
      <c r="I395" s="78">
        <v>30</v>
      </c>
      <c r="J395" s="81">
        <v>0.22770000000000001</v>
      </c>
      <c r="K395" s="77" t="s">
        <v>306</v>
      </c>
      <c r="L395" s="77" t="s">
        <v>36</v>
      </c>
      <c r="M395" s="77" t="s">
        <v>289</v>
      </c>
      <c r="N395" s="77">
        <v>25</v>
      </c>
      <c r="O395" s="77">
        <v>60</v>
      </c>
      <c r="P395" s="78"/>
      <c r="Q395" s="81">
        <v>91</v>
      </c>
      <c r="R395" s="82"/>
      <c r="S395" s="82">
        <v>1.6369452798492359E-3</v>
      </c>
      <c r="T395" s="82">
        <v>930000000</v>
      </c>
      <c r="U395" s="78">
        <v>1983</v>
      </c>
      <c r="V395" s="82">
        <v>1.7919999999999998E-2</v>
      </c>
      <c r="W395" s="82">
        <v>2.3040000000000001E-2</v>
      </c>
      <c r="X395" s="82">
        <v>0.14899999999999999</v>
      </c>
      <c r="Y395" s="78">
        <v>29.6</v>
      </c>
      <c r="Z395" s="78">
        <v>1075</v>
      </c>
      <c r="AA395" s="78">
        <f t="shared" si="145"/>
        <v>400</v>
      </c>
      <c r="AB395" s="81">
        <f t="shared" si="135"/>
        <v>0.82189116447904176</v>
      </c>
      <c r="AC395" s="81">
        <f t="shared" si="136"/>
        <v>220</v>
      </c>
      <c r="AD395" s="81">
        <v>1000</v>
      </c>
      <c r="AE395" s="81">
        <f t="shared" si="137"/>
        <v>930.23255813953483</v>
      </c>
      <c r="AF395" s="81">
        <f t="shared" si="138"/>
        <v>780</v>
      </c>
      <c r="AG395" s="83">
        <v>1</v>
      </c>
      <c r="AH395" s="83">
        <f t="shared" si="148"/>
        <v>3.5454545454545454</v>
      </c>
      <c r="AI395" s="83">
        <f t="shared" si="139"/>
        <v>0.78</v>
      </c>
      <c r="AJ395" s="81">
        <f t="shared" si="140"/>
        <v>257.78319999999997</v>
      </c>
      <c r="AK395" s="81">
        <f t="shared" si="147"/>
        <v>199.83193798449611</v>
      </c>
      <c r="AL395" s="81">
        <f t="shared" si="142"/>
        <v>37.783199999999994</v>
      </c>
      <c r="AM395" s="83">
        <v>0</v>
      </c>
      <c r="AN395" s="83">
        <f t="shared" si="143"/>
        <v>0</v>
      </c>
      <c r="AO395" s="83">
        <v>4.8439999999999997E-2</v>
      </c>
      <c r="AP395" s="83">
        <f t="shared" si="149"/>
        <v>0.17174181818181816</v>
      </c>
      <c r="AQ395" s="83">
        <f t="shared" si="144"/>
        <v>0.14656967560337522</v>
      </c>
      <c r="AR395" s="77" t="s">
        <v>211</v>
      </c>
    </row>
    <row r="396" spans="1:44" ht="15" customHeight="1" x14ac:dyDescent="0.25">
      <c r="A396" s="76">
        <v>395</v>
      </c>
      <c r="B396" s="76">
        <v>2009</v>
      </c>
      <c r="C396" s="77" t="s">
        <v>210</v>
      </c>
      <c r="D396" s="76">
        <v>5</v>
      </c>
      <c r="E396" s="78">
        <v>10</v>
      </c>
      <c r="F396" s="74">
        <v>6.9</v>
      </c>
      <c r="G396" s="75">
        <v>44.5</v>
      </c>
      <c r="H396" s="75">
        <v>20</v>
      </c>
      <c r="I396" s="78">
        <v>27</v>
      </c>
      <c r="J396" s="81">
        <v>8.8499999999999995E-2</v>
      </c>
      <c r="K396" s="77" t="s">
        <v>306</v>
      </c>
      <c r="L396" s="77" t="s">
        <v>36</v>
      </c>
      <c r="M396" s="77" t="s">
        <v>289</v>
      </c>
      <c r="N396" s="77">
        <v>25</v>
      </c>
      <c r="O396" s="77">
        <v>60</v>
      </c>
      <c r="P396" s="78"/>
      <c r="Q396" s="81">
        <v>89</v>
      </c>
      <c r="R396" s="82"/>
      <c r="S396" s="82">
        <v>1.8087954624815897E-3</v>
      </c>
      <c r="T396" s="82">
        <v>930000000</v>
      </c>
      <c r="U396" s="78">
        <v>1983</v>
      </c>
      <c r="V396" s="82">
        <v>1.7919999999999998E-2</v>
      </c>
      <c r="W396" s="82">
        <v>2.3040000000000001E-2</v>
      </c>
      <c r="X396" s="82">
        <v>0.14899999999999999</v>
      </c>
      <c r="Y396" s="78">
        <v>29.6</v>
      </c>
      <c r="Z396" s="78">
        <v>1075</v>
      </c>
      <c r="AA396" s="78">
        <f t="shared" si="145"/>
        <v>400</v>
      </c>
      <c r="AB396" s="81">
        <f t="shared" si="135"/>
        <v>0.82189116447904176</v>
      </c>
      <c r="AC396" s="81">
        <f t="shared" si="136"/>
        <v>220</v>
      </c>
      <c r="AD396" s="81">
        <v>1000</v>
      </c>
      <c r="AE396" s="81">
        <f t="shared" si="137"/>
        <v>930.23255813953483</v>
      </c>
      <c r="AF396" s="81">
        <f t="shared" si="138"/>
        <v>780</v>
      </c>
      <c r="AG396" s="83">
        <v>1</v>
      </c>
      <c r="AH396" s="83">
        <f t="shared" si="148"/>
        <v>3.5454545454545454</v>
      </c>
      <c r="AI396" s="83">
        <f t="shared" si="139"/>
        <v>0.78</v>
      </c>
      <c r="AJ396" s="81">
        <f t="shared" si="140"/>
        <v>267.53320000000002</v>
      </c>
      <c r="AK396" s="81">
        <f t="shared" si="147"/>
        <v>207.39007751937984</v>
      </c>
      <c r="AL396" s="81">
        <f t="shared" si="142"/>
        <v>47.533200000000008</v>
      </c>
      <c r="AM396" s="83">
        <v>0</v>
      </c>
      <c r="AN396" s="83">
        <f t="shared" si="143"/>
        <v>0</v>
      </c>
      <c r="AO396" s="83">
        <v>6.0940000000000001E-2</v>
      </c>
      <c r="AP396" s="83">
        <f t="shared" si="149"/>
        <v>0.21606</v>
      </c>
      <c r="AQ396" s="83">
        <f t="shared" si="144"/>
        <v>0.1776721543344901</v>
      </c>
      <c r="AR396" s="77" t="s">
        <v>211</v>
      </c>
    </row>
    <row r="397" spans="1:44" s="10" customFormat="1" ht="15" customHeight="1" x14ac:dyDescent="0.25">
      <c r="A397" s="1">
        <v>396</v>
      </c>
      <c r="B397" s="1">
        <v>2009</v>
      </c>
      <c r="C397" s="28" t="s">
        <v>210</v>
      </c>
      <c r="D397" s="1">
        <v>6</v>
      </c>
      <c r="E397" s="8">
        <v>7</v>
      </c>
      <c r="F397" s="35">
        <v>4.7</v>
      </c>
      <c r="G397" s="59">
        <v>50.5</v>
      </c>
      <c r="H397" s="59">
        <v>15</v>
      </c>
      <c r="I397" s="8">
        <v>18</v>
      </c>
      <c r="J397" s="51">
        <v>6.4299999999999996E-2</v>
      </c>
      <c r="K397" s="28" t="s">
        <v>306</v>
      </c>
      <c r="L397" s="28" t="s">
        <v>36</v>
      </c>
      <c r="M397" s="28" t="s">
        <v>289</v>
      </c>
      <c r="N397" s="28">
        <v>25</v>
      </c>
      <c r="O397" s="28">
        <v>60</v>
      </c>
      <c r="P397" s="8"/>
      <c r="Q397" s="51">
        <v>81</v>
      </c>
      <c r="R397" s="9"/>
      <c r="S397" s="9">
        <v>2.0307087256056888E-3</v>
      </c>
      <c r="T397" s="9">
        <v>930000000</v>
      </c>
      <c r="U397" s="8">
        <v>1983</v>
      </c>
      <c r="V397" s="9">
        <v>1.7919999999999998E-2</v>
      </c>
      <c r="W397" s="9">
        <v>2.3040000000000001E-2</v>
      </c>
      <c r="X397" s="9">
        <v>0.14899999999999999</v>
      </c>
      <c r="Y397" s="8">
        <v>29.6</v>
      </c>
      <c r="Z397" s="8">
        <v>1075</v>
      </c>
      <c r="AA397" s="8">
        <f t="shared" si="145"/>
        <v>400</v>
      </c>
      <c r="AB397" s="51">
        <f t="shared" si="135"/>
        <v>0.82189116447904176</v>
      </c>
      <c r="AC397" s="51">
        <f t="shared" si="136"/>
        <v>220</v>
      </c>
      <c r="AD397" s="51">
        <v>1000</v>
      </c>
      <c r="AE397" s="51">
        <f t="shared" si="137"/>
        <v>930.23255813953483</v>
      </c>
      <c r="AF397" s="51">
        <f t="shared" si="138"/>
        <v>780</v>
      </c>
      <c r="AG397" s="52">
        <v>1</v>
      </c>
      <c r="AH397" s="52">
        <f t="shared" si="148"/>
        <v>3.5454545454545454</v>
      </c>
      <c r="AI397" s="52">
        <f t="shared" si="139"/>
        <v>0.78</v>
      </c>
      <c r="AJ397" s="51">
        <f t="shared" si="140"/>
        <v>265.09180000000003</v>
      </c>
      <c r="AK397" s="51">
        <f t="shared" si="147"/>
        <v>205.49751937984499</v>
      </c>
      <c r="AL397" s="51">
        <f t="shared" si="142"/>
        <v>45.091800000000006</v>
      </c>
      <c r="AM397" s="52">
        <v>0</v>
      </c>
      <c r="AN397" s="52">
        <f t="shared" si="143"/>
        <v>0</v>
      </c>
      <c r="AO397" s="52">
        <v>5.781E-2</v>
      </c>
      <c r="AP397" s="52">
        <f t="shared" si="149"/>
        <v>0.20496272727272727</v>
      </c>
      <c r="AQ397" s="52">
        <f t="shared" si="144"/>
        <v>0.17009881105337848</v>
      </c>
      <c r="AR397" s="28" t="s">
        <v>211</v>
      </c>
    </row>
    <row r="398" spans="1:44" ht="15" hidden="1" customHeight="1" x14ac:dyDescent="0.25">
      <c r="A398" s="76">
        <v>397</v>
      </c>
      <c r="B398" s="76">
        <v>2010</v>
      </c>
      <c r="C398" s="77" t="s">
        <v>201</v>
      </c>
      <c r="D398" s="76">
        <v>1</v>
      </c>
      <c r="E398" s="78">
        <v>8</v>
      </c>
      <c r="F398" s="79">
        <v>0.8</v>
      </c>
      <c r="G398" s="80">
        <v>33.25</v>
      </c>
      <c r="H398" s="80">
        <v>25</v>
      </c>
      <c r="I398" s="78">
        <v>7</v>
      </c>
      <c r="J398" s="81">
        <v>1E-4</v>
      </c>
      <c r="K398" s="77" t="s">
        <v>306</v>
      </c>
      <c r="L398" s="77" t="s">
        <v>36</v>
      </c>
      <c r="M398" s="77" t="s">
        <v>34</v>
      </c>
      <c r="N398" s="77" t="s">
        <v>34</v>
      </c>
      <c r="O398" s="77" t="s">
        <v>34</v>
      </c>
      <c r="P398" s="78"/>
      <c r="Q398" s="81">
        <v>10</v>
      </c>
      <c r="R398" s="82"/>
      <c r="S398" s="82">
        <v>1.4690569790247015E-4</v>
      </c>
      <c r="T398" s="82">
        <v>700000000</v>
      </c>
      <c r="U398" s="78">
        <v>2595</v>
      </c>
      <c r="V398" s="82">
        <v>1.7919999999999998E-2</v>
      </c>
      <c r="W398" s="82">
        <v>2.3040000000000001E-2</v>
      </c>
      <c r="X398" s="82">
        <v>0.54900000000000004</v>
      </c>
      <c r="Y398" s="78">
        <v>29.6</v>
      </c>
      <c r="Z398" s="78">
        <v>1075</v>
      </c>
      <c r="AA398" s="78">
        <f>AD398/2.5*1000</f>
        <v>1600</v>
      </c>
      <c r="AB398" s="81">
        <f>POWER(3/(4*PI())*AE398*1000/AA398,1/3)</f>
        <v>0.82189116447904176</v>
      </c>
      <c r="AC398" s="81">
        <f t="shared" si="136"/>
        <v>0.60000000000000009</v>
      </c>
      <c r="AD398" s="81">
        <f>0.8*5</f>
        <v>4</v>
      </c>
      <c r="AE398" s="81">
        <f t="shared" si="137"/>
        <v>3.7209302325581399</v>
      </c>
      <c r="AF398" s="81">
        <f t="shared" si="138"/>
        <v>3.4</v>
      </c>
      <c r="AG398" s="83">
        <v>1</v>
      </c>
      <c r="AH398" s="83">
        <f>17/3</f>
        <v>5.666666666666667</v>
      </c>
      <c r="AI398" s="83">
        <f t="shared" si="139"/>
        <v>0.85</v>
      </c>
      <c r="AJ398" s="81">
        <f t="shared" si="140"/>
        <v>3.775784499999999</v>
      </c>
      <c r="AK398" s="81">
        <f t="shared" si="147"/>
        <v>2.9269647286821701</v>
      </c>
      <c r="AL398" s="81">
        <f t="shared" si="142"/>
        <v>3.1757844999999989</v>
      </c>
      <c r="AM398" s="83">
        <f>9/41</f>
        <v>0.21951219512195122</v>
      </c>
      <c r="AN398" s="83">
        <f t="shared" si="143"/>
        <v>0.18</v>
      </c>
      <c r="AO398" s="83">
        <f>(AP398-AM398)/(AH398-AM398)</f>
        <v>0.93139674999999977</v>
      </c>
      <c r="AP398" s="83">
        <f>(AF398-SUM(3.0105,4.4503,5.9948,9.3194,9.3194,7.2513,5.4974)/1000*5)/AC398</f>
        <v>5.2929741666666654</v>
      </c>
      <c r="AQ398" s="83">
        <f t="shared" si="144"/>
        <v>0.84109262591654788</v>
      </c>
      <c r="AR398" s="77"/>
    </row>
    <row r="399" spans="1:44" s="12" customFormat="1" ht="15" hidden="1" customHeight="1" x14ac:dyDescent="0.25">
      <c r="A399" s="3">
        <v>398</v>
      </c>
      <c r="B399" s="3">
        <v>2010</v>
      </c>
      <c r="C399" s="27" t="s">
        <v>212</v>
      </c>
      <c r="D399" s="3">
        <v>1</v>
      </c>
      <c r="E399" s="11">
        <v>12</v>
      </c>
      <c r="F399" s="30">
        <v>0.1</v>
      </c>
      <c r="G399" s="54">
        <v>23.5</v>
      </c>
      <c r="H399" s="54">
        <v>30</v>
      </c>
      <c r="I399" s="11">
        <v>576</v>
      </c>
      <c r="J399" s="47">
        <v>1.0861000000000001</v>
      </c>
      <c r="K399" s="27" t="s">
        <v>306</v>
      </c>
      <c r="L399" s="27" t="s">
        <v>36</v>
      </c>
      <c r="M399" s="27" t="s">
        <v>34</v>
      </c>
      <c r="N399" s="27" t="s">
        <v>34</v>
      </c>
      <c r="O399" s="27" t="s">
        <v>34</v>
      </c>
      <c r="P399" s="11"/>
      <c r="Q399" s="47">
        <v>10</v>
      </c>
      <c r="R399" s="4"/>
      <c r="S399" s="4">
        <v>1.3252472604982145E-5</v>
      </c>
      <c r="T399" s="4">
        <v>450000000</v>
      </c>
      <c r="U399" s="11">
        <v>3095</v>
      </c>
      <c r="V399" s="4">
        <v>1.7919999999999998E-2</v>
      </c>
      <c r="W399" s="4">
        <v>2.3040000000000001E-2</v>
      </c>
      <c r="X399" s="4">
        <v>0.54900000000000004</v>
      </c>
      <c r="Y399" s="11">
        <v>29.6</v>
      </c>
      <c r="Z399" s="11">
        <v>1075</v>
      </c>
      <c r="AA399" s="11">
        <f t="shared" ref="AA399:AA420" si="150">AD399/2.5</f>
        <v>400</v>
      </c>
      <c r="AB399" s="47">
        <f t="shared" ref="AB399:AB430" si="151">POWER(3/(4*PI())*AE399/AA399,1/3)</f>
        <v>0.82189116447904176</v>
      </c>
      <c r="AC399" s="47">
        <f t="shared" si="136"/>
        <v>219.83341328332824</v>
      </c>
      <c r="AD399" s="47">
        <v>1000</v>
      </c>
      <c r="AE399" s="47">
        <f t="shared" si="137"/>
        <v>930.23255813953483</v>
      </c>
      <c r="AF399" s="47">
        <f t="shared" si="138"/>
        <v>780.16658671667176</v>
      </c>
      <c r="AG399" s="53">
        <v>1</v>
      </c>
      <c r="AH399" s="53">
        <f>0.1789/0.05041</f>
        <v>3.5488990279706405</v>
      </c>
      <c r="AI399" s="53">
        <f t="shared" si="139"/>
        <v>0.78016658671667172</v>
      </c>
      <c r="AJ399" s="47">
        <f t="shared" si="140"/>
        <v>259.16161091971566</v>
      </c>
      <c r="AK399" s="47">
        <f t="shared" si="147"/>
        <v>200.90047358117494</v>
      </c>
      <c r="AL399" s="47">
        <f t="shared" si="142"/>
        <v>39.328197636387415</v>
      </c>
      <c r="AM399" s="53">
        <f>AP399</f>
        <v>0.1789</v>
      </c>
      <c r="AN399" s="53">
        <f t="shared" si="143"/>
        <v>0.1517516328781067</v>
      </c>
      <c r="AO399" s="53">
        <v>0</v>
      </c>
      <c r="AP399" s="53">
        <v>0.1789</v>
      </c>
      <c r="AQ399" s="53">
        <f t="shared" si="144"/>
        <v>0.1517516328781067</v>
      </c>
      <c r="AR399" s="27" t="s">
        <v>34</v>
      </c>
    </row>
    <row r="400" spans="1:44" s="10" customFormat="1" ht="15" hidden="1" customHeight="1" x14ac:dyDescent="0.25">
      <c r="A400" s="1">
        <v>399</v>
      </c>
      <c r="B400" s="1">
        <v>2010</v>
      </c>
      <c r="C400" s="28" t="s">
        <v>212</v>
      </c>
      <c r="D400" s="1">
        <v>2</v>
      </c>
      <c r="E400" s="8">
        <v>10</v>
      </c>
      <c r="F400" s="31">
        <v>0.2</v>
      </c>
      <c r="G400" s="57">
        <v>20.5</v>
      </c>
      <c r="H400" s="57">
        <v>28</v>
      </c>
      <c r="I400" s="8">
        <v>432</v>
      </c>
      <c r="J400" s="51">
        <v>2.2717000000000001</v>
      </c>
      <c r="K400" s="28" t="s">
        <v>306</v>
      </c>
      <c r="L400" s="28" t="s">
        <v>36</v>
      </c>
      <c r="M400" s="28" t="s">
        <v>34</v>
      </c>
      <c r="N400" s="28" t="s">
        <v>34</v>
      </c>
      <c r="O400" s="28" t="s">
        <v>34</v>
      </c>
      <c r="P400" s="8"/>
      <c r="Q400" s="51">
        <v>16</v>
      </c>
      <c r="R400" s="9"/>
      <c r="S400" s="9">
        <v>1.1912682113105667E-5</v>
      </c>
      <c r="T400" s="9">
        <v>450000000</v>
      </c>
      <c r="U400" s="8">
        <v>3095</v>
      </c>
      <c r="V400" s="9">
        <v>1.7919999999999998E-2</v>
      </c>
      <c r="W400" s="9">
        <v>2.3040000000000001E-2</v>
      </c>
      <c r="X400" s="9">
        <v>0.54900000000000004</v>
      </c>
      <c r="Y400" s="8">
        <v>29.6</v>
      </c>
      <c r="Z400" s="8">
        <v>1075</v>
      </c>
      <c r="AA400" s="8">
        <f t="shared" si="150"/>
        <v>400</v>
      </c>
      <c r="AB400" s="51">
        <f t="shared" si="151"/>
        <v>0.82189116447904176</v>
      </c>
      <c r="AC400" s="51">
        <f t="shared" si="136"/>
        <v>223.94869366848889</v>
      </c>
      <c r="AD400" s="51">
        <v>1000</v>
      </c>
      <c r="AE400" s="51">
        <f t="shared" si="137"/>
        <v>930.23255813953483</v>
      </c>
      <c r="AF400" s="51">
        <f t="shared" si="138"/>
        <v>776.05130633151111</v>
      </c>
      <c r="AG400" s="52">
        <v>1</v>
      </c>
      <c r="AH400" s="52">
        <f>0.1803/0.05203</f>
        <v>3.4653084758793002</v>
      </c>
      <c r="AI400" s="52">
        <f t="shared" si="139"/>
        <v>0.77605130633151109</v>
      </c>
      <c r="AJ400" s="51">
        <f t="shared" si="140"/>
        <v>264.32664313691743</v>
      </c>
      <c r="AK400" s="51">
        <f t="shared" si="147"/>
        <v>204.9043745247422</v>
      </c>
      <c r="AL400" s="51">
        <f t="shared" si="142"/>
        <v>40.377949468428547</v>
      </c>
      <c r="AM400" s="52">
        <v>0.18</v>
      </c>
      <c r="AN400" s="52">
        <f t="shared" si="143"/>
        <v>0.15254237288135594</v>
      </c>
      <c r="AO400" s="52">
        <f>(AP400-AM400)/(AH400-AM400)</f>
        <v>9.131562597624896E-5</v>
      </c>
      <c r="AP400" s="52">
        <v>0.18029999999999999</v>
      </c>
      <c r="AQ400" s="52">
        <f t="shared" si="144"/>
        <v>0.15275777344742864</v>
      </c>
      <c r="AR400" s="28" t="s">
        <v>34</v>
      </c>
    </row>
    <row r="401" spans="1:44" s="26" customFormat="1" ht="15" hidden="1" customHeight="1" x14ac:dyDescent="0.25">
      <c r="A401" s="23">
        <v>400</v>
      </c>
      <c r="B401" s="23">
        <v>2010</v>
      </c>
      <c r="C401" s="29" t="s">
        <v>213</v>
      </c>
      <c r="D401" s="23">
        <v>1</v>
      </c>
      <c r="E401" s="24">
        <v>7</v>
      </c>
      <c r="F401" s="36">
        <v>3</v>
      </c>
      <c r="G401" s="62">
        <v>65</v>
      </c>
      <c r="H401" s="62">
        <v>20</v>
      </c>
      <c r="I401" s="24">
        <v>144</v>
      </c>
      <c r="J401" s="63">
        <v>0.1249</v>
      </c>
      <c r="K401" s="29" t="s">
        <v>306</v>
      </c>
      <c r="L401" s="29" t="s">
        <v>36</v>
      </c>
      <c r="M401" s="29" t="s">
        <v>34</v>
      </c>
      <c r="N401" s="29" t="s">
        <v>34</v>
      </c>
      <c r="O401" s="29" t="s">
        <v>34</v>
      </c>
      <c r="P401" s="24"/>
      <c r="Q401" s="63">
        <v>5</v>
      </c>
      <c r="R401" s="25"/>
      <c r="S401" s="25">
        <v>6.5497889866807243E-4</v>
      </c>
      <c r="T401" s="25">
        <v>780000000</v>
      </c>
      <c r="U401" s="24">
        <v>2395</v>
      </c>
      <c r="V401" s="25">
        <v>1.7919999999999998E-2</v>
      </c>
      <c r="W401" s="25">
        <v>2.3040000000000001E-2</v>
      </c>
      <c r="X401" s="25">
        <v>0.54900000000000004</v>
      </c>
      <c r="Y401" s="24">
        <v>29.6</v>
      </c>
      <c r="Z401" s="24">
        <v>1075</v>
      </c>
      <c r="AA401" s="24">
        <f t="shared" si="150"/>
        <v>128</v>
      </c>
      <c r="AB401" s="63">
        <f t="shared" si="151"/>
        <v>0.82189116447904176</v>
      </c>
      <c r="AC401" s="63">
        <f t="shared" si="136"/>
        <v>49.45920000000001</v>
      </c>
      <c r="AD401" s="63">
        <v>320</v>
      </c>
      <c r="AE401" s="63">
        <f t="shared" si="137"/>
        <v>297.67441860465118</v>
      </c>
      <c r="AF401" s="63">
        <f t="shared" si="138"/>
        <v>270.54079999999999</v>
      </c>
      <c r="AG401" s="64">
        <v>1</v>
      </c>
      <c r="AH401" s="64">
        <f>0.84544/(1-0.84544)</f>
        <v>5.469979296066251</v>
      </c>
      <c r="AI401" s="64">
        <f t="shared" si="139"/>
        <v>0.84543999999999997</v>
      </c>
      <c r="AJ401" s="63">
        <f t="shared" si="140"/>
        <v>58.879299055963628</v>
      </c>
      <c r="AK401" s="63">
        <f t="shared" si="147"/>
        <v>45.642867485243123</v>
      </c>
      <c r="AL401" s="63">
        <f t="shared" si="142"/>
        <v>9.42009905596362</v>
      </c>
      <c r="AM401" s="64">
        <v>0.18</v>
      </c>
      <c r="AN401" s="64">
        <f t="shared" si="143"/>
        <v>0.15254237288135594</v>
      </c>
      <c r="AO401" s="64">
        <f>(AP401-AM401)/(AH401-AM401)</f>
        <v>1.9777049632473259E-3</v>
      </c>
      <c r="AP401" s="64">
        <f>0.15999/0.84001</f>
        <v>0.19046201830930581</v>
      </c>
      <c r="AQ401" s="64">
        <f t="shared" si="144"/>
        <v>0.15998999999999999</v>
      </c>
      <c r="AR401" s="29"/>
    </row>
    <row r="402" spans="1:44" ht="15" hidden="1" customHeight="1" x14ac:dyDescent="0.25">
      <c r="A402" s="76">
        <v>401</v>
      </c>
      <c r="B402" s="76">
        <v>2010</v>
      </c>
      <c r="C402" s="77" t="s">
        <v>214</v>
      </c>
      <c r="D402" s="76">
        <v>1</v>
      </c>
      <c r="E402" s="78">
        <v>17</v>
      </c>
      <c r="F402" s="79">
        <v>1.5</v>
      </c>
      <c r="G402" s="80">
        <v>60</v>
      </c>
      <c r="H402" s="80">
        <v>20</v>
      </c>
      <c r="I402" s="78">
        <v>16</v>
      </c>
      <c r="J402" s="81">
        <v>9.4600000000000004E-2</v>
      </c>
      <c r="K402" s="77" t="s">
        <v>215</v>
      </c>
      <c r="L402" s="77" t="s">
        <v>36</v>
      </c>
      <c r="M402" s="77" t="s">
        <v>34</v>
      </c>
      <c r="N402" s="77" t="s">
        <v>34</v>
      </c>
      <c r="O402" s="77" t="s">
        <v>34</v>
      </c>
      <c r="P402" s="78"/>
      <c r="Q402" s="81">
        <v>24</v>
      </c>
      <c r="R402" s="82"/>
      <c r="S402" s="82">
        <v>6.2959862713593776E-3</v>
      </c>
      <c r="T402" s="82">
        <v>1020000000</v>
      </c>
      <c r="U402" s="78">
        <v>1695</v>
      </c>
      <c r="V402" s="82">
        <v>1.7919999999999998E-2</v>
      </c>
      <c r="W402" s="82">
        <v>2.3040000000000001E-2</v>
      </c>
      <c r="X402" s="82">
        <v>0.54900000000000004</v>
      </c>
      <c r="Y402" s="78">
        <v>29.6</v>
      </c>
      <c r="Z402" s="78">
        <v>1075</v>
      </c>
      <c r="AA402" s="78">
        <f t="shared" si="150"/>
        <v>50</v>
      </c>
      <c r="AB402" s="81">
        <f t="shared" si="151"/>
        <v>0.82189116447904176</v>
      </c>
      <c r="AC402" s="81">
        <f t="shared" si="136"/>
        <v>41.254125412541256</v>
      </c>
      <c r="AD402" s="81">
        <v>125</v>
      </c>
      <c r="AE402" s="81">
        <f t="shared" si="137"/>
        <v>116.27906976744185</v>
      </c>
      <c r="AF402" s="81">
        <f t="shared" si="138"/>
        <v>83.745874587458744</v>
      </c>
      <c r="AG402" s="83">
        <v>1</v>
      </c>
      <c r="AH402" s="83">
        <v>2.0299999999999998</v>
      </c>
      <c r="AI402" s="83">
        <f t="shared" si="139"/>
        <v>0.66996699669966997</v>
      </c>
      <c r="AJ402" s="81">
        <f t="shared" si="140"/>
        <v>49.274587458745884</v>
      </c>
      <c r="AK402" s="81">
        <f t="shared" si="147"/>
        <v>38.197354619182853</v>
      </c>
      <c r="AL402" s="81">
        <f t="shared" si="142"/>
        <v>8.0204620462046226</v>
      </c>
      <c r="AM402" s="83">
        <v>0.19</v>
      </c>
      <c r="AN402" s="83">
        <f t="shared" si="143"/>
        <v>0.1596638655462185</v>
      </c>
      <c r="AO402" s="83">
        <v>2.3999999999999998E-3</v>
      </c>
      <c r="AP402" s="83">
        <f>AO402*(AH402-AM402)+AM402</f>
        <v>0.19441600000000001</v>
      </c>
      <c r="AQ402" s="83">
        <f t="shared" si="144"/>
        <v>0.16277075993623663</v>
      </c>
      <c r="AR402" s="77" t="s">
        <v>216</v>
      </c>
    </row>
    <row r="403" spans="1:44" ht="15" hidden="1" customHeight="1" x14ac:dyDescent="0.25">
      <c r="A403" s="76">
        <v>402</v>
      </c>
      <c r="B403" s="76">
        <v>2010</v>
      </c>
      <c r="C403" s="77" t="s">
        <v>214</v>
      </c>
      <c r="D403" s="76">
        <v>2</v>
      </c>
      <c r="E403" s="78">
        <v>15</v>
      </c>
      <c r="F403" s="79">
        <v>1.5</v>
      </c>
      <c r="G403" s="80">
        <v>60</v>
      </c>
      <c r="H403" s="80">
        <v>20</v>
      </c>
      <c r="I403" s="78">
        <v>14</v>
      </c>
      <c r="J403" s="81">
        <v>8.2500000000000004E-2</v>
      </c>
      <c r="K403" s="77" t="s">
        <v>215</v>
      </c>
      <c r="L403" s="77" t="s">
        <v>36</v>
      </c>
      <c r="M403" s="77" t="s">
        <v>290</v>
      </c>
      <c r="N403" s="77" t="s">
        <v>329</v>
      </c>
      <c r="O403" s="77" t="s">
        <v>329</v>
      </c>
      <c r="P403" s="78"/>
      <c r="Q403" s="81">
        <v>35</v>
      </c>
      <c r="R403" s="82"/>
      <c r="S403" s="82">
        <v>6.2959862713593776E-3</v>
      </c>
      <c r="T403" s="82">
        <v>1020000000</v>
      </c>
      <c r="U403" s="78">
        <v>1695</v>
      </c>
      <c r="V403" s="82">
        <v>1.7919999999999998E-2</v>
      </c>
      <c r="W403" s="82">
        <v>2.3040000000000001E-2</v>
      </c>
      <c r="X403" s="82">
        <v>0.54900000000000004</v>
      </c>
      <c r="Y403" s="78">
        <v>29.6</v>
      </c>
      <c r="Z403" s="78">
        <v>1075</v>
      </c>
      <c r="AA403" s="78">
        <f t="shared" si="150"/>
        <v>50</v>
      </c>
      <c r="AB403" s="81">
        <f t="shared" si="151"/>
        <v>0.82189116447904176</v>
      </c>
      <c r="AC403" s="81">
        <f t="shared" si="136"/>
        <v>41.254125412541256</v>
      </c>
      <c r="AD403" s="81">
        <v>125</v>
      </c>
      <c r="AE403" s="81">
        <f t="shared" si="137"/>
        <v>116.27906976744185</v>
      </c>
      <c r="AF403" s="81">
        <f t="shared" si="138"/>
        <v>83.745874587458744</v>
      </c>
      <c r="AG403" s="83">
        <v>1</v>
      </c>
      <c r="AH403" s="83">
        <v>2.0299999999999998</v>
      </c>
      <c r="AI403" s="83">
        <f t="shared" si="139"/>
        <v>0.66996699669966997</v>
      </c>
      <c r="AJ403" s="81">
        <f t="shared" si="140"/>
        <v>49.312049504950494</v>
      </c>
      <c r="AK403" s="81">
        <f t="shared" si="147"/>
        <v>38.226394965077901</v>
      </c>
      <c r="AL403" s="81">
        <f t="shared" si="142"/>
        <v>8.0579240924092392</v>
      </c>
      <c r="AM403" s="83">
        <v>0.182</v>
      </c>
      <c r="AN403" s="83">
        <f t="shared" si="143"/>
        <v>0.15397631133671744</v>
      </c>
      <c r="AO403" s="83">
        <v>7.2100000000000003E-3</v>
      </c>
      <c r="AP403" s="83">
        <f>AO403*(AH403-AM403)+AM403</f>
        <v>0.19532407999999998</v>
      </c>
      <c r="AQ403" s="83">
        <f t="shared" si="144"/>
        <v>0.16340679759417209</v>
      </c>
      <c r="AR403" s="77" t="s">
        <v>217</v>
      </c>
    </row>
    <row r="404" spans="1:44" s="10" customFormat="1" ht="15" hidden="1" customHeight="1" x14ac:dyDescent="0.25">
      <c r="A404" s="1">
        <v>403</v>
      </c>
      <c r="B404" s="1">
        <v>2010</v>
      </c>
      <c r="C404" s="28" t="s">
        <v>214</v>
      </c>
      <c r="D404" s="1">
        <v>3</v>
      </c>
      <c r="E404" s="8">
        <v>11</v>
      </c>
      <c r="F404" s="31">
        <v>1.5</v>
      </c>
      <c r="G404" s="49">
        <v>60</v>
      </c>
      <c r="H404" s="49">
        <v>20</v>
      </c>
      <c r="I404" s="8">
        <v>10</v>
      </c>
      <c r="J404" s="51">
        <v>9.6600000000000005E-2</v>
      </c>
      <c r="K404" s="28" t="s">
        <v>215</v>
      </c>
      <c r="L404" s="28" t="s">
        <v>36</v>
      </c>
      <c r="M404" s="28" t="s">
        <v>290</v>
      </c>
      <c r="N404" s="28" t="s">
        <v>329</v>
      </c>
      <c r="O404" s="28" t="s">
        <v>329</v>
      </c>
      <c r="P404" s="8"/>
      <c r="Q404" s="51">
        <v>36</v>
      </c>
      <c r="R404" s="9"/>
      <c r="S404" s="9">
        <v>6.2959862713593776E-3</v>
      </c>
      <c r="T404" s="9">
        <v>1020000000</v>
      </c>
      <c r="U404" s="8">
        <v>1695</v>
      </c>
      <c r="V404" s="9">
        <v>1.7919999999999998E-2</v>
      </c>
      <c r="W404" s="9">
        <v>2.3040000000000001E-2</v>
      </c>
      <c r="X404" s="9">
        <v>0.54900000000000004</v>
      </c>
      <c r="Y404" s="8">
        <v>29.6</v>
      </c>
      <c r="Z404" s="8">
        <v>1075</v>
      </c>
      <c r="AA404" s="8">
        <f t="shared" si="150"/>
        <v>50</v>
      </c>
      <c r="AB404" s="51">
        <f t="shared" si="151"/>
        <v>0.82189116447904176</v>
      </c>
      <c r="AC404" s="51">
        <f t="shared" si="136"/>
        <v>41.254125412541256</v>
      </c>
      <c r="AD404" s="51">
        <v>125</v>
      </c>
      <c r="AE404" s="51">
        <f t="shared" si="137"/>
        <v>116.27906976744185</v>
      </c>
      <c r="AF404" s="51">
        <f t="shared" si="138"/>
        <v>83.745874587458744</v>
      </c>
      <c r="AG404" s="52">
        <v>1</v>
      </c>
      <c r="AH404" s="52">
        <v>2.0299999999999998</v>
      </c>
      <c r="AI404" s="52">
        <f t="shared" si="139"/>
        <v>0.66996699669966997</v>
      </c>
      <c r="AJ404" s="51">
        <f t="shared" si="140"/>
        <v>48.699180693069309</v>
      </c>
      <c r="AK404" s="51">
        <f t="shared" si="147"/>
        <v>37.751302862844426</v>
      </c>
      <c r="AL404" s="51">
        <f t="shared" si="142"/>
        <v>7.4450552805280541</v>
      </c>
      <c r="AM404" s="52">
        <v>0.17599999999999999</v>
      </c>
      <c r="AN404" s="52">
        <f t="shared" si="143"/>
        <v>0.14965986394557823</v>
      </c>
      <c r="AO404" s="52">
        <v>2.4099999999999998E-3</v>
      </c>
      <c r="AP404" s="52">
        <f>AO404*(AH404-AM404)+AM404</f>
        <v>0.18046814</v>
      </c>
      <c r="AQ404" s="52">
        <f t="shared" si="144"/>
        <v>0.15287845040866585</v>
      </c>
      <c r="AR404" s="28" t="s">
        <v>218</v>
      </c>
    </row>
    <row r="405" spans="1:44" ht="15" customHeight="1" x14ac:dyDescent="0.25">
      <c r="A405" s="76">
        <v>404</v>
      </c>
      <c r="B405" s="76">
        <v>2010</v>
      </c>
      <c r="C405" s="77" t="s">
        <v>166</v>
      </c>
      <c r="D405" s="76">
        <v>1</v>
      </c>
      <c r="E405" s="78">
        <v>38</v>
      </c>
      <c r="F405" s="74">
        <v>1.25</v>
      </c>
      <c r="G405" s="75">
        <v>40</v>
      </c>
      <c r="H405" s="75">
        <v>25</v>
      </c>
      <c r="I405" s="78">
        <v>6</v>
      </c>
      <c r="J405" s="81">
        <v>1.4E-3</v>
      </c>
      <c r="K405" s="77" t="s">
        <v>299</v>
      </c>
      <c r="L405" s="77" t="s">
        <v>36</v>
      </c>
      <c r="M405" s="77" t="s">
        <v>289</v>
      </c>
      <c r="N405" s="77">
        <v>25</v>
      </c>
      <c r="O405" s="77">
        <v>180</v>
      </c>
      <c r="P405" s="78"/>
      <c r="Q405" s="81">
        <v>16</v>
      </c>
      <c r="R405" s="82"/>
      <c r="S405" s="82">
        <v>3.3403722049095311E-5</v>
      </c>
      <c r="T405" s="82">
        <v>630000000</v>
      </c>
      <c r="U405" s="78">
        <v>3083</v>
      </c>
      <c r="V405" s="82">
        <v>1.7919999999999998E-2</v>
      </c>
      <c r="W405" s="82">
        <v>2.3040000000000001E-2</v>
      </c>
      <c r="X405" s="82">
        <v>0.14899999999999999</v>
      </c>
      <c r="Y405" s="78">
        <v>29.6</v>
      </c>
      <c r="Z405" s="78">
        <v>1075</v>
      </c>
      <c r="AA405" s="78">
        <f t="shared" si="150"/>
        <v>280</v>
      </c>
      <c r="AB405" s="81">
        <f t="shared" si="151"/>
        <v>0.82189116447904176</v>
      </c>
      <c r="AC405" s="81">
        <f t="shared" si="136"/>
        <v>147</v>
      </c>
      <c r="AD405" s="81">
        <v>700</v>
      </c>
      <c r="AE405" s="81">
        <f t="shared" si="137"/>
        <v>651.1627906976745</v>
      </c>
      <c r="AF405" s="81">
        <f t="shared" si="138"/>
        <v>553</v>
      </c>
      <c r="AG405" s="83">
        <v>1</v>
      </c>
      <c r="AH405" s="83">
        <f t="shared" ref="AH405:AH420" si="152">79/21</f>
        <v>3.7619047619047619</v>
      </c>
      <c r="AI405" s="83">
        <f t="shared" si="139"/>
        <v>0.79</v>
      </c>
      <c r="AJ405" s="81">
        <f t="shared" si="140"/>
        <v>636.99950999999987</v>
      </c>
      <c r="AK405" s="81">
        <f t="shared" si="147"/>
        <v>493.7980697674418</v>
      </c>
      <c r="AL405" s="81">
        <f t="shared" si="142"/>
        <v>489.99950999999987</v>
      </c>
      <c r="AM405" s="83">
        <f t="shared" ref="AM405:AM420" si="153">5.77/94.23</f>
        <v>6.1233152923697326E-2</v>
      </c>
      <c r="AN405" s="83">
        <f t="shared" si="143"/>
        <v>5.7699999999999987E-2</v>
      </c>
      <c r="AO405" s="83">
        <f t="shared" ref="AO405:AO420" si="154">(AP405-AM405)/(AH405-AM405)</f>
        <v>0.88419000462925035</v>
      </c>
      <c r="AP405" s="83">
        <v>3.3333300000000001</v>
      </c>
      <c r="AQ405" s="83">
        <f t="shared" si="144"/>
        <v>0.76923059171583974</v>
      </c>
      <c r="AR405" s="77" t="s">
        <v>180</v>
      </c>
    </row>
    <row r="406" spans="1:44" ht="15" customHeight="1" x14ac:dyDescent="0.25">
      <c r="A406" s="76">
        <v>405</v>
      </c>
      <c r="B406" s="76">
        <v>2010</v>
      </c>
      <c r="C406" s="77" t="s">
        <v>166</v>
      </c>
      <c r="D406" s="76">
        <v>2</v>
      </c>
      <c r="E406" s="78">
        <v>38</v>
      </c>
      <c r="F406" s="74">
        <v>1</v>
      </c>
      <c r="G406" s="75">
        <v>40</v>
      </c>
      <c r="H406" s="75">
        <v>25</v>
      </c>
      <c r="I406" s="78">
        <v>7</v>
      </c>
      <c r="J406" s="81">
        <v>3.2000000000000002E-3</v>
      </c>
      <c r="K406" s="77" t="s">
        <v>299</v>
      </c>
      <c r="L406" s="77" t="s">
        <v>36</v>
      </c>
      <c r="M406" s="77" t="s">
        <v>289</v>
      </c>
      <c r="N406" s="77">
        <v>25</v>
      </c>
      <c r="O406" s="77">
        <v>180</v>
      </c>
      <c r="P406" s="78"/>
      <c r="Q406" s="81">
        <v>14</v>
      </c>
      <c r="R406" s="82"/>
      <c r="S406" s="82">
        <v>3.3403722049095311E-5</v>
      </c>
      <c r="T406" s="82">
        <v>630000000</v>
      </c>
      <c r="U406" s="78">
        <v>3083</v>
      </c>
      <c r="V406" s="82">
        <v>1.7919999999999998E-2</v>
      </c>
      <c r="W406" s="82">
        <v>2.3040000000000001E-2</v>
      </c>
      <c r="X406" s="82">
        <v>0.14899999999999999</v>
      </c>
      <c r="Y406" s="78">
        <v>29.6</v>
      </c>
      <c r="Z406" s="78">
        <v>1075</v>
      </c>
      <c r="AA406" s="78">
        <f t="shared" si="150"/>
        <v>280</v>
      </c>
      <c r="AB406" s="81">
        <f t="shared" si="151"/>
        <v>0.82189116447904176</v>
      </c>
      <c r="AC406" s="81">
        <f t="shared" si="136"/>
        <v>147</v>
      </c>
      <c r="AD406" s="81">
        <v>700</v>
      </c>
      <c r="AE406" s="81">
        <f t="shared" si="137"/>
        <v>651.1627906976745</v>
      </c>
      <c r="AF406" s="81">
        <f t="shared" si="138"/>
        <v>553</v>
      </c>
      <c r="AG406" s="83">
        <v>1</v>
      </c>
      <c r="AH406" s="83">
        <f t="shared" si="152"/>
        <v>3.7619047619047619</v>
      </c>
      <c r="AI406" s="83">
        <f t="shared" si="139"/>
        <v>0.79</v>
      </c>
      <c r="AJ406" s="81">
        <f t="shared" si="140"/>
        <v>654.04268999999977</v>
      </c>
      <c r="AK406" s="81">
        <f t="shared" si="147"/>
        <v>507.00983720930213</v>
      </c>
      <c r="AL406" s="81">
        <f t="shared" si="142"/>
        <v>507.04268999999977</v>
      </c>
      <c r="AM406" s="83">
        <f t="shared" si="153"/>
        <v>6.1233152923697326E-2</v>
      </c>
      <c r="AN406" s="83">
        <f t="shared" si="143"/>
        <v>5.7699999999999987E-2</v>
      </c>
      <c r="AO406" s="83">
        <f t="shared" si="154"/>
        <v>0.91551945297009418</v>
      </c>
      <c r="AP406" s="83">
        <v>3.4492699999999998</v>
      </c>
      <c r="AQ406" s="83">
        <f t="shared" si="144"/>
        <v>0.77524402879573495</v>
      </c>
      <c r="AR406" s="77" t="s">
        <v>180</v>
      </c>
    </row>
    <row r="407" spans="1:44" ht="15" customHeight="1" x14ac:dyDescent="0.25">
      <c r="A407" s="76">
        <v>406</v>
      </c>
      <c r="B407" s="76">
        <v>2010</v>
      </c>
      <c r="C407" s="77" t="s">
        <v>166</v>
      </c>
      <c r="D407" s="76">
        <v>3</v>
      </c>
      <c r="E407" s="78">
        <v>39</v>
      </c>
      <c r="F407" s="74">
        <v>0.75</v>
      </c>
      <c r="G407" s="75">
        <v>40</v>
      </c>
      <c r="H407" s="75">
        <v>25</v>
      </c>
      <c r="I407" s="78">
        <v>8</v>
      </c>
      <c r="J407" s="81">
        <v>8.0000000000000004E-4</v>
      </c>
      <c r="K407" s="77" t="s">
        <v>299</v>
      </c>
      <c r="L407" s="77" t="s">
        <v>36</v>
      </c>
      <c r="M407" s="77" t="s">
        <v>289</v>
      </c>
      <c r="N407" s="77">
        <v>25</v>
      </c>
      <c r="O407" s="77">
        <v>180</v>
      </c>
      <c r="P407" s="78"/>
      <c r="Q407" s="81">
        <v>11</v>
      </c>
      <c r="R407" s="82"/>
      <c r="S407" s="82">
        <v>3.3403722049095311E-5</v>
      </c>
      <c r="T407" s="82">
        <v>630000000</v>
      </c>
      <c r="U407" s="78">
        <v>3083</v>
      </c>
      <c r="V407" s="82">
        <v>1.7919999999999998E-2</v>
      </c>
      <c r="W407" s="82">
        <v>2.3040000000000001E-2</v>
      </c>
      <c r="X407" s="82">
        <v>0.14899999999999999</v>
      </c>
      <c r="Y407" s="78">
        <v>29.6</v>
      </c>
      <c r="Z407" s="78">
        <v>1075</v>
      </c>
      <c r="AA407" s="78">
        <f t="shared" si="150"/>
        <v>280</v>
      </c>
      <c r="AB407" s="81">
        <f t="shared" si="151"/>
        <v>0.82189116447904176</v>
      </c>
      <c r="AC407" s="81">
        <f t="shared" si="136"/>
        <v>147</v>
      </c>
      <c r="AD407" s="81">
        <v>700</v>
      </c>
      <c r="AE407" s="81">
        <f t="shared" si="137"/>
        <v>651.1627906976745</v>
      </c>
      <c r="AF407" s="81">
        <f t="shared" si="138"/>
        <v>553</v>
      </c>
      <c r="AG407" s="83">
        <v>1</v>
      </c>
      <c r="AH407" s="83">
        <f t="shared" si="152"/>
        <v>3.7619047619047619</v>
      </c>
      <c r="AI407" s="83">
        <f t="shared" si="139"/>
        <v>0.79</v>
      </c>
      <c r="AJ407" s="81">
        <f t="shared" si="140"/>
        <v>651.06299999999987</v>
      </c>
      <c r="AK407" s="81">
        <f t="shared" si="147"/>
        <v>504.69999999999993</v>
      </c>
      <c r="AL407" s="81">
        <f t="shared" si="142"/>
        <v>504.06299999999987</v>
      </c>
      <c r="AM407" s="83">
        <f t="shared" si="153"/>
        <v>6.1233152923697326E-2</v>
      </c>
      <c r="AN407" s="83">
        <f t="shared" si="143"/>
        <v>5.7699999999999987E-2</v>
      </c>
      <c r="AO407" s="83">
        <f t="shared" si="154"/>
        <v>0.91004206882425231</v>
      </c>
      <c r="AP407" s="83">
        <v>3.4289999999999998</v>
      </c>
      <c r="AQ407" s="83">
        <f t="shared" si="144"/>
        <v>0.77421539850982157</v>
      </c>
      <c r="AR407" s="77" t="s">
        <v>180</v>
      </c>
    </row>
    <row r="408" spans="1:44" ht="15" customHeight="1" x14ac:dyDescent="0.25">
      <c r="A408" s="76">
        <v>407</v>
      </c>
      <c r="B408" s="76">
        <v>2010</v>
      </c>
      <c r="C408" s="77" t="s">
        <v>166</v>
      </c>
      <c r="D408" s="76">
        <v>4</v>
      </c>
      <c r="E408" s="78">
        <v>38</v>
      </c>
      <c r="F408" s="74">
        <v>0.5</v>
      </c>
      <c r="G408" s="75">
        <v>40</v>
      </c>
      <c r="H408" s="75">
        <v>25</v>
      </c>
      <c r="I408" s="78">
        <v>9</v>
      </c>
      <c r="J408" s="81">
        <v>5.9999999999999995E-4</v>
      </c>
      <c r="K408" s="77" t="s">
        <v>299</v>
      </c>
      <c r="L408" s="77" t="s">
        <v>36</v>
      </c>
      <c r="M408" s="77" t="s">
        <v>289</v>
      </c>
      <c r="N408" s="77">
        <v>25</v>
      </c>
      <c r="O408" s="77">
        <v>180</v>
      </c>
      <c r="P408" s="78"/>
      <c r="Q408" s="81">
        <v>8</v>
      </c>
      <c r="R408" s="82"/>
      <c r="S408" s="82">
        <v>3.3403722049095311E-5</v>
      </c>
      <c r="T408" s="82">
        <v>630000000</v>
      </c>
      <c r="U408" s="78">
        <v>3083</v>
      </c>
      <c r="V408" s="82">
        <v>1.7919999999999998E-2</v>
      </c>
      <c r="W408" s="82">
        <v>2.3040000000000001E-2</v>
      </c>
      <c r="X408" s="82">
        <v>0.14899999999999999</v>
      </c>
      <c r="Y408" s="78">
        <v>29.6</v>
      </c>
      <c r="Z408" s="78">
        <v>1075</v>
      </c>
      <c r="AA408" s="78">
        <f t="shared" si="150"/>
        <v>280</v>
      </c>
      <c r="AB408" s="81">
        <f t="shared" si="151"/>
        <v>0.82189116447904176</v>
      </c>
      <c r="AC408" s="81">
        <f t="shared" si="136"/>
        <v>147</v>
      </c>
      <c r="AD408" s="81">
        <v>700</v>
      </c>
      <c r="AE408" s="81">
        <f t="shared" si="137"/>
        <v>651.1627906976745</v>
      </c>
      <c r="AF408" s="81">
        <f t="shared" si="138"/>
        <v>553</v>
      </c>
      <c r="AG408" s="83">
        <v>1</v>
      </c>
      <c r="AH408" s="83">
        <f t="shared" si="152"/>
        <v>3.7619047619047619</v>
      </c>
      <c r="AI408" s="83">
        <f t="shared" si="139"/>
        <v>0.79</v>
      </c>
      <c r="AJ408" s="81">
        <f t="shared" si="140"/>
        <v>662.79948000000002</v>
      </c>
      <c r="AK408" s="81">
        <f t="shared" si="147"/>
        <v>513.79804651162794</v>
      </c>
      <c r="AL408" s="81">
        <f t="shared" si="142"/>
        <v>515.79948000000002</v>
      </c>
      <c r="AM408" s="83">
        <f t="shared" si="153"/>
        <v>6.1233152923697326E-2</v>
      </c>
      <c r="AN408" s="83">
        <f t="shared" si="143"/>
        <v>5.7699999999999987E-2</v>
      </c>
      <c r="AO408" s="83">
        <f t="shared" si="154"/>
        <v>0.93161653109381404</v>
      </c>
      <c r="AP408" s="83">
        <v>3.5088400000000002</v>
      </c>
      <c r="AQ408" s="83">
        <f t="shared" si="144"/>
        <v>0.77821346510410661</v>
      </c>
      <c r="AR408" s="77" t="s">
        <v>180</v>
      </c>
    </row>
    <row r="409" spans="1:44" ht="15" customHeight="1" x14ac:dyDescent="0.25">
      <c r="A409" s="76">
        <v>408</v>
      </c>
      <c r="B409" s="76">
        <v>2010</v>
      </c>
      <c r="C409" s="77" t="s">
        <v>166</v>
      </c>
      <c r="D409" s="76">
        <v>5</v>
      </c>
      <c r="E409" s="78">
        <v>45</v>
      </c>
      <c r="F409" s="74">
        <v>1.25</v>
      </c>
      <c r="G409" s="75">
        <v>50</v>
      </c>
      <c r="H409" s="75">
        <v>15</v>
      </c>
      <c r="I409" s="78">
        <v>8</v>
      </c>
      <c r="J409" s="81">
        <v>4.7999999999999996E-3</v>
      </c>
      <c r="K409" s="77" t="s">
        <v>299</v>
      </c>
      <c r="L409" s="77" t="s">
        <v>36</v>
      </c>
      <c r="M409" s="77" t="s">
        <v>289</v>
      </c>
      <c r="N409" s="77">
        <v>25</v>
      </c>
      <c r="O409" s="77">
        <v>180</v>
      </c>
      <c r="P409" s="78"/>
      <c r="Q409" s="81">
        <v>6</v>
      </c>
      <c r="R409" s="82"/>
      <c r="S409" s="82">
        <v>4.5300099830758769E-5</v>
      </c>
      <c r="T409" s="82">
        <v>630000000</v>
      </c>
      <c r="U409" s="78">
        <v>3083</v>
      </c>
      <c r="V409" s="82">
        <v>1.7919999999999998E-2</v>
      </c>
      <c r="W409" s="82">
        <v>2.3040000000000001E-2</v>
      </c>
      <c r="X409" s="82">
        <v>0.14899999999999999</v>
      </c>
      <c r="Y409" s="78">
        <v>29.6</v>
      </c>
      <c r="Z409" s="78">
        <v>1075</v>
      </c>
      <c r="AA409" s="78">
        <f t="shared" si="150"/>
        <v>280</v>
      </c>
      <c r="AB409" s="81">
        <f t="shared" si="151"/>
        <v>0.82189116447904176</v>
      </c>
      <c r="AC409" s="81">
        <f t="shared" si="136"/>
        <v>147</v>
      </c>
      <c r="AD409" s="81">
        <v>700</v>
      </c>
      <c r="AE409" s="81">
        <f t="shared" si="137"/>
        <v>651.1627906976745</v>
      </c>
      <c r="AF409" s="81">
        <f t="shared" si="138"/>
        <v>553</v>
      </c>
      <c r="AG409" s="83">
        <v>1</v>
      </c>
      <c r="AH409" s="83">
        <f t="shared" si="152"/>
        <v>3.7619047619047619</v>
      </c>
      <c r="AI409" s="83">
        <f t="shared" si="139"/>
        <v>0.79</v>
      </c>
      <c r="AJ409" s="81">
        <f t="shared" si="140"/>
        <v>614.38503000000037</v>
      </c>
      <c r="AK409" s="81">
        <f t="shared" si="147"/>
        <v>476.26746511627937</v>
      </c>
      <c r="AL409" s="81">
        <f t="shared" si="142"/>
        <v>467.38503000000037</v>
      </c>
      <c r="AM409" s="83">
        <f t="shared" si="153"/>
        <v>6.1233152923697326E-2</v>
      </c>
      <c r="AN409" s="83">
        <f t="shared" si="143"/>
        <v>5.7699999999999987E-2</v>
      </c>
      <c r="AO409" s="83">
        <f t="shared" si="154"/>
        <v>0.84261917201966408</v>
      </c>
      <c r="AP409" s="83">
        <v>3.1794899999999999</v>
      </c>
      <c r="AQ409" s="83">
        <f t="shared" si="144"/>
        <v>0.76073635778528015</v>
      </c>
      <c r="AR409" s="77" t="s">
        <v>180</v>
      </c>
    </row>
    <row r="410" spans="1:44" ht="15" customHeight="1" x14ac:dyDescent="0.25">
      <c r="A410" s="76">
        <v>409</v>
      </c>
      <c r="B410" s="76">
        <v>2010</v>
      </c>
      <c r="C410" s="77" t="s">
        <v>166</v>
      </c>
      <c r="D410" s="76">
        <v>6</v>
      </c>
      <c r="E410" s="78">
        <v>39</v>
      </c>
      <c r="F410" s="74">
        <v>1</v>
      </c>
      <c r="G410" s="75">
        <v>50</v>
      </c>
      <c r="H410" s="75">
        <v>15</v>
      </c>
      <c r="I410" s="78">
        <v>7</v>
      </c>
      <c r="J410" s="81">
        <v>1.8E-3</v>
      </c>
      <c r="K410" s="77" t="s">
        <v>299</v>
      </c>
      <c r="L410" s="77" t="s">
        <v>36</v>
      </c>
      <c r="M410" s="77" t="s">
        <v>289</v>
      </c>
      <c r="N410" s="77">
        <v>25</v>
      </c>
      <c r="O410" s="77">
        <v>180</v>
      </c>
      <c r="P410" s="78"/>
      <c r="Q410" s="81">
        <v>9</v>
      </c>
      <c r="R410" s="82"/>
      <c r="S410" s="82">
        <v>4.5300099830758769E-5</v>
      </c>
      <c r="T410" s="82">
        <v>630000000</v>
      </c>
      <c r="U410" s="78">
        <v>3083</v>
      </c>
      <c r="V410" s="82">
        <v>1.7919999999999998E-2</v>
      </c>
      <c r="W410" s="82">
        <v>2.3040000000000001E-2</v>
      </c>
      <c r="X410" s="82">
        <v>0.14899999999999999</v>
      </c>
      <c r="Y410" s="78">
        <v>29.6</v>
      </c>
      <c r="Z410" s="78">
        <v>1075</v>
      </c>
      <c r="AA410" s="78">
        <f t="shared" si="150"/>
        <v>280</v>
      </c>
      <c r="AB410" s="81">
        <f t="shared" si="151"/>
        <v>0.82189116447904176</v>
      </c>
      <c r="AC410" s="81">
        <f t="shared" si="136"/>
        <v>147</v>
      </c>
      <c r="AD410" s="81">
        <v>700</v>
      </c>
      <c r="AE410" s="81">
        <f t="shared" si="137"/>
        <v>651.1627906976745</v>
      </c>
      <c r="AF410" s="81">
        <f t="shared" si="138"/>
        <v>553</v>
      </c>
      <c r="AG410" s="83">
        <v>1</v>
      </c>
      <c r="AH410" s="83">
        <f t="shared" si="152"/>
        <v>3.7619047619047619</v>
      </c>
      <c r="AI410" s="83">
        <f t="shared" si="139"/>
        <v>0.79</v>
      </c>
      <c r="AJ410" s="81">
        <f t="shared" si="140"/>
        <v>622.29950999999971</v>
      </c>
      <c r="AK410" s="81">
        <f t="shared" si="147"/>
        <v>482.40272093023236</v>
      </c>
      <c r="AL410" s="81">
        <f t="shared" si="142"/>
        <v>475.29950999999971</v>
      </c>
      <c r="AM410" s="83">
        <f t="shared" si="153"/>
        <v>6.1233152923697326E-2</v>
      </c>
      <c r="AN410" s="83">
        <f t="shared" si="143"/>
        <v>5.7699999999999987E-2</v>
      </c>
      <c r="AO410" s="83">
        <f t="shared" si="154"/>
        <v>0.85716788254813603</v>
      </c>
      <c r="AP410" s="83">
        <v>3.23333</v>
      </c>
      <c r="AQ410" s="83">
        <f t="shared" si="144"/>
        <v>0.76377934155853655</v>
      </c>
      <c r="AR410" s="77" t="s">
        <v>180</v>
      </c>
    </row>
    <row r="411" spans="1:44" ht="15" customHeight="1" x14ac:dyDescent="0.25">
      <c r="A411" s="76">
        <v>410</v>
      </c>
      <c r="B411" s="76">
        <v>2010</v>
      </c>
      <c r="C411" s="77" t="s">
        <v>166</v>
      </c>
      <c r="D411" s="76">
        <v>7</v>
      </c>
      <c r="E411" s="78">
        <v>37</v>
      </c>
      <c r="F411" s="74">
        <v>0.75</v>
      </c>
      <c r="G411" s="75">
        <v>50</v>
      </c>
      <c r="H411" s="75">
        <v>15</v>
      </c>
      <c r="I411" s="78">
        <v>9</v>
      </c>
      <c r="J411" s="81">
        <v>1.4999999999999999E-2</v>
      </c>
      <c r="K411" s="77" t="s">
        <v>299</v>
      </c>
      <c r="L411" s="77" t="s">
        <v>36</v>
      </c>
      <c r="M411" s="77" t="s">
        <v>289</v>
      </c>
      <c r="N411" s="77">
        <v>25</v>
      </c>
      <c r="O411" s="77">
        <v>180</v>
      </c>
      <c r="P411" s="78"/>
      <c r="Q411" s="81">
        <v>11</v>
      </c>
      <c r="R411" s="82"/>
      <c r="S411" s="82">
        <v>4.5300099830758769E-5</v>
      </c>
      <c r="T411" s="82">
        <v>630000000</v>
      </c>
      <c r="U411" s="78">
        <v>3083</v>
      </c>
      <c r="V411" s="82">
        <v>1.7919999999999998E-2</v>
      </c>
      <c r="W411" s="82">
        <v>2.3040000000000001E-2</v>
      </c>
      <c r="X411" s="82">
        <v>0.14899999999999999</v>
      </c>
      <c r="Y411" s="78">
        <v>29.6</v>
      </c>
      <c r="Z411" s="78">
        <v>1075</v>
      </c>
      <c r="AA411" s="78">
        <f t="shared" si="150"/>
        <v>280</v>
      </c>
      <c r="AB411" s="81">
        <f t="shared" si="151"/>
        <v>0.82189116447904176</v>
      </c>
      <c r="AC411" s="81">
        <f t="shared" si="136"/>
        <v>147</v>
      </c>
      <c r="AD411" s="81">
        <v>700</v>
      </c>
      <c r="AE411" s="81">
        <f t="shared" si="137"/>
        <v>651.1627906976745</v>
      </c>
      <c r="AF411" s="81">
        <f t="shared" si="138"/>
        <v>553</v>
      </c>
      <c r="AG411" s="83">
        <v>1</v>
      </c>
      <c r="AH411" s="83">
        <f t="shared" si="152"/>
        <v>3.7619047619047619</v>
      </c>
      <c r="AI411" s="83">
        <f t="shared" si="139"/>
        <v>0.79</v>
      </c>
      <c r="AJ411" s="81">
        <f t="shared" si="140"/>
        <v>620.41496999999993</v>
      </c>
      <c r="AK411" s="81">
        <f t="shared" si="147"/>
        <v>480.94183720930226</v>
      </c>
      <c r="AL411" s="81">
        <f t="shared" si="142"/>
        <v>473.41496999999993</v>
      </c>
      <c r="AM411" s="83">
        <f t="shared" si="153"/>
        <v>6.1233152923697326E-2</v>
      </c>
      <c r="AN411" s="83">
        <f t="shared" si="143"/>
        <v>5.7699999999999987E-2</v>
      </c>
      <c r="AO411" s="83">
        <f t="shared" si="154"/>
        <v>0.85370364649733721</v>
      </c>
      <c r="AP411" s="83">
        <v>3.22051</v>
      </c>
      <c r="AQ411" s="83">
        <f t="shared" si="144"/>
        <v>0.76306181006560814</v>
      </c>
      <c r="AR411" s="77" t="s">
        <v>180</v>
      </c>
    </row>
    <row r="412" spans="1:44" ht="15" customHeight="1" x14ac:dyDescent="0.25">
      <c r="A412" s="76">
        <v>411</v>
      </c>
      <c r="B412" s="76">
        <v>2010</v>
      </c>
      <c r="C412" s="77" t="s">
        <v>166</v>
      </c>
      <c r="D412" s="76">
        <v>8</v>
      </c>
      <c r="E412" s="78">
        <v>32</v>
      </c>
      <c r="F412" s="74">
        <v>0.5</v>
      </c>
      <c r="G412" s="75">
        <v>50</v>
      </c>
      <c r="H412" s="75">
        <v>15</v>
      </c>
      <c r="I412" s="78">
        <v>7</v>
      </c>
      <c r="J412" s="81">
        <v>1.5699999999999999E-2</v>
      </c>
      <c r="K412" s="77" t="s">
        <v>299</v>
      </c>
      <c r="L412" s="77" t="s">
        <v>36</v>
      </c>
      <c r="M412" s="77" t="s">
        <v>289</v>
      </c>
      <c r="N412" s="77">
        <v>25</v>
      </c>
      <c r="O412" s="77">
        <v>180</v>
      </c>
      <c r="P412" s="78"/>
      <c r="Q412" s="81">
        <v>11</v>
      </c>
      <c r="R412" s="82"/>
      <c r="S412" s="82">
        <v>4.5300099830758769E-5</v>
      </c>
      <c r="T412" s="82">
        <v>630000000</v>
      </c>
      <c r="U412" s="78">
        <v>3083</v>
      </c>
      <c r="V412" s="82">
        <v>1.7919999999999998E-2</v>
      </c>
      <c r="W412" s="82">
        <v>2.3040000000000001E-2</v>
      </c>
      <c r="X412" s="82">
        <v>0.14899999999999999</v>
      </c>
      <c r="Y412" s="78">
        <v>29.6</v>
      </c>
      <c r="Z412" s="78">
        <v>1075</v>
      </c>
      <c r="AA412" s="78">
        <f t="shared" si="150"/>
        <v>280</v>
      </c>
      <c r="AB412" s="81">
        <f t="shared" si="151"/>
        <v>0.82189116447904176</v>
      </c>
      <c r="AC412" s="81">
        <f t="shared" si="136"/>
        <v>147</v>
      </c>
      <c r="AD412" s="81">
        <v>700</v>
      </c>
      <c r="AE412" s="81">
        <f t="shared" si="137"/>
        <v>651.1627906976745</v>
      </c>
      <c r="AF412" s="81">
        <f t="shared" si="138"/>
        <v>553</v>
      </c>
      <c r="AG412" s="83">
        <v>1</v>
      </c>
      <c r="AH412" s="83">
        <f t="shared" si="152"/>
        <v>3.7619047619047619</v>
      </c>
      <c r="AI412" s="83">
        <f t="shared" si="139"/>
        <v>0.79</v>
      </c>
      <c r="AJ412" s="81">
        <f t="shared" si="140"/>
        <v>647.93042999999977</v>
      </c>
      <c r="AK412" s="81">
        <f t="shared" si="147"/>
        <v>502.27165116279048</v>
      </c>
      <c r="AL412" s="81">
        <f t="shared" si="142"/>
        <v>500.93042999999977</v>
      </c>
      <c r="AM412" s="83">
        <f t="shared" si="153"/>
        <v>6.1233152923697326E-2</v>
      </c>
      <c r="AN412" s="83">
        <f t="shared" si="143"/>
        <v>5.7699999999999987E-2</v>
      </c>
      <c r="AO412" s="83">
        <f t="shared" si="154"/>
        <v>0.90428365460876692</v>
      </c>
      <c r="AP412" s="83">
        <v>3.4076900000000001</v>
      </c>
      <c r="AQ412" s="83">
        <f t="shared" si="144"/>
        <v>0.77312379046620783</v>
      </c>
      <c r="AR412" s="77" t="s">
        <v>180</v>
      </c>
    </row>
    <row r="413" spans="1:44" ht="15" customHeight="1" x14ac:dyDescent="0.25">
      <c r="A413" s="76">
        <v>412</v>
      </c>
      <c r="B413" s="76">
        <v>2010</v>
      </c>
      <c r="C413" s="77" t="s">
        <v>166</v>
      </c>
      <c r="D413" s="76">
        <v>9</v>
      </c>
      <c r="E413" s="78">
        <v>27</v>
      </c>
      <c r="F413" s="74">
        <v>1.25</v>
      </c>
      <c r="G413" s="75">
        <v>60</v>
      </c>
      <c r="H413" s="75">
        <v>10</v>
      </c>
      <c r="I413" s="78">
        <v>8</v>
      </c>
      <c r="J413" s="81">
        <v>2.5000000000000001E-3</v>
      </c>
      <c r="K413" s="77" t="s">
        <v>299</v>
      </c>
      <c r="L413" s="77" t="s">
        <v>36</v>
      </c>
      <c r="M413" s="77" t="s">
        <v>289</v>
      </c>
      <c r="N413" s="77">
        <v>25</v>
      </c>
      <c r="O413" s="77">
        <v>180</v>
      </c>
      <c r="P413" s="78"/>
      <c r="Q413" s="81">
        <v>9</v>
      </c>
      <c r="R413" s="82"/>
      <c r="S413" s="82">
        <v>6.031996335182636E-5</v>
      </c>
      <c r="T413" s="82">
        <v>630000000</v>
      </c>
      <c r="U413" s="78">
        <v>3083</v>
      </c>
      <c r="V413" s="82">
        <v>1.7919999999999998E-2</v>
      </c>
      <c r="W413" s="82">
        <v>2.3040000000000001E-2</v>
      </c>
      <c r="X413" s="82">
        <v>0.14899999999999999</v>
      </c>
      <c r="Y413" s="78">
        <v>29.6</v>
      </c>
      <c r="Z413" s="78">
        <v>1075</v>
      </c>
      <c r="AA413" s="78">
        <f t="shared" si="150"/>
        <v>280</v>
      </c>
      <c r="AB413" s="81">
        <f t="shared" si="151"/>
        <v>0.82189116447904176</v>
      </c>
      <c r="AC413" s="81">
        <f t="shared" si="136"/>
        <v>147</v>
      </c>
      <c r="AD413" s="81">
        <v>700</v>
      </c>
      <c r="AE413" s="81">
        <f t="shared" si="137"/>
        <v>651.1627906976745</v>
      </c>
      <c r="AF413" s="81">
        <f t="shared" si="138"/>
        <v>553</v>
      </c>
      <c r="AG413" s="83">
        <v>1</v>
      </c>
      <c r="AH413" s="83">
        <f t="shared" si="152"/>
        <v>3.7619047619047619</v>
      </c>
      <c r="AI413" s="83">
        <f t="shared" si="139"/>
        <v>0.79</v>
      </c>
      <c r="AJ413" s="81">
        <f t="shared" si="140"/>
        <v>565.99556999999993</v>
      </c>
      <c r="AK413" s="81">
        <f t="shared" si="147"/>
        <v>438.75625581395343</v>
      </c>
      <c r="AL413" s="81">
        <f t="shared" si="142"/>
        <v>418.99556999999993</v>
      </c>
      <c r="AM413" s="83">
        <f t="shared" si="153"/>
        <v>6.1233152923697326E-2</v>
      </c>
      <c r="AN413" s="83">
        <f t="shared" si="143"/>
        <v>5.7699999999999987E-2</v>
      </c>
      <c r="AO413" s="83">
        <f t="shared" si="154"/>
        <v>0.75366775055305202</v>
      </c>
      <c r="AP413" s="83">
        <v>2.8503099999999999</v>
      </c>
      <c r="AQ413" s="83">
        <f t="shared" si="144"/>
        <v>0.74028065272666355</v>
      </c>
      <c r="AR413" s="77" t="s">
        <v>180</v>
      </c>
    </row>
    <row r="414" spans="1:44" ht="15" customHeight="1" x14ac:dyDescent="0.25">
      <c r="A414" s="76">
        <v>413</v>
      </c>
      <c r="B414" s="76">
        <v>2010</v>
      </c>
      <c r="C414" s="77" t="s">
        <v>166</v>
      </c>
      <c r="D414" s="76">
        <v>10</v>
      </c>
      <c r="E414" s="78">
        <v>32</v>
      </c>
      <c r="F414" s="74">
        <v>1</v>
      </c>
      <c r="G414" s="75">
        <v>60</v>
      </c>
      <c r="H414" s="75">
        <v>10</v>
      </c>
      <c r="I414" s="78">
        <v>10</v>
      </c>
      <c r="J414" s="81">
        <v>1.1999999999999999E-3</v>
      </c>
      <c r="K414" s="77" t="s">
        <v>299</v>
      </c>
      <c r="L414" s="77" t="s">
        <v>36</v>
      </c>
      <c r="M414" s="77" t="s">
        <v>289</v>
      </c>
      <c r="N414" s="77">
        <v>25</v>
      </c>
      <c r="O414" s="77">
        <v>180</v>
      </c>
      <c r="P414" s="78"/>
      <c r="Q414" s="81">
        <v>8</v>
      </c>
      <c r="R414" s="82"/>
      <c r="S414" s="82">
        <v>6.031996335182636E-5</v>
      </c>
      <c r="T414" s="82">
        <v>630000000</v>
      </c>
      <c r="U414" s="78">
        <v>3083</v>
      </c>
      <c r="V414" s="82">
        <v>1.7919999999999998E-2</v>
      </c>
      <c r="W414" s="82">
        <v>2.3040000000000001E-2</v>
      </c>
      <c r="X414" s="82">
        <v>0.14899999999999999</v>
      </c>
      <c r="Y414" s="78">
        <v>29.6</v>
      </c>
      <c r="Z414" s="78">
        <v>1075</v>
      </c>
      <c r="AA414" s="78">
        <f t="shared" si="150"/>
        <v>280</v>
      </c>
      <c r="AB414" s="81">
        <f t="shared" si="151"/>
        <v>0.82189116447904176</v>
      </c>
      <c r="AC414" s="81">
        <f t="shared" si="136"/>
        <v>147</v>
      </c>
      <c r="AD414" s="81">
        <v>700</v>
      </c>
      <c r="AE414" s="81">
        <f t="shared" si="137"/>
        <v>651.1627906976745</v>
      </c>
      <c r="AF414" s="81">
        <f t="shared" si="138"/>
        <v>553</v>
      </c>
      <c r="AG414" s="83">
        <v>1</v>
      </c>
      <c r="AH414" s="83">
        <f t="shared" si="152"/>
        <v>3.7619047619047619</v>
      </c>
      <c r="AI414" s="83">
        <f t="shared" si="139"/>
        <v>0.79</v>
      </c>
      <c r="AJ414" s="81">
        <f t="shared" si="140"/>
        <v>557.87822999999992</v>
      </c>
      <c r="AK414" s="81">
        <f t="shared" si="147"/>
        <v>432.46374418604643</v>
      </c>
      <c r="AL414" s="81">
        <f t="shared" si="142"/>
        <v>410.87822999999992</v>
      </c>
      <c r="AM414" s="83">
        <f t="shared" si="153"/>
        <v>6.1233152923697326E-2</v>
      </c>
      <c r="AN414" s="83">
        <f t="shared" si="143"/>
        <v>5.7699999999999987E-2</v>
      </c>
      <c r="AO414" s="83">
        <f t="shared" si="154"/>
        <v>0.73874613473986073</v>
      </c>
      <c r="AP414" s="83">
        <v>2.7950900000000001</v>
      </c>
      <c r="AQ414" s="83">
        <f t="shared" si="144"/>
        <v>0.73650163764232202</v>
      </c>
      <c r="AR414" s="77" t="s">
        <v>180</v>
      </c>
    </row>
    <row r="415" spans="1:44" ht="15" customHeight="1" x14ac:dyDescent="0.25">
      <c r="A415" s="76">
        <v>414</v>
      </c>
      <c r="B415" s="76">
        <v>2010</v>
      </c>
      <c r="C415" s="77" t="s">
        <v>166</v>
      </c>
      <c r="D415" s="76">
        <v>11</v>
      </c>
      <c r="E415" s="78">
        <v>20</v>
      </c>
      <c r="F415" s="74">
        <v>0.75</v>
      </c>
      <c r="G415" s="75">
        <v>60</v>
      </c>
      <c r="H415" s="75">
        <v>10</v>
      </c>
      <c r="I415" s="78">
        <v>6</v>
      </c>
      <c r="J415" s="81">
        <v>1.8E-3</v>
      </c>
      <c r="K415" s="77" t="s">
        <v>299</v>
      </c>
      <c r="L415" s="77" t="s">
        <v>36</v>
      </c>
      <c r="M415" s="77" t="s">
        <v>289</v>
      </c>
      <c r="N415" s="77">
        <v>25</v>
      </c>
      <c r="O415" s="77">
        <v>180</v>
      </c>
      <c r="P415" s="78"/>
      <c r="Q415" s="81">
        <v>8</v>
      </c>
      <c r="R415" s="82"/>
      <c r="S415" s="82">
        <v>6.031996335182636E-5</v>
      </c>
      <c r="T415" s="82">
        <v>630000000</v>
      </c>
      <c r="U415" s="78">
        <v>3083</v>
      </c>
      <c r="V415" s="82">
        <v>1.7919999999999998E-2</v>
      </c>
      <c r="W415" s="82">
        <v>2.3040000000000001E-2</v>
      </c>
      <c r="X415" s="82">
        <v>0.14899999999999999</v>
      </c>
      <c r="Y415" s="78">
        <v>29.6</v>
      </c>
      <c r="Z415" s="78">
        <v>1075</v>
      </c>
      <c r="AA415" s="78">
        <f t="shared" si="150"/>
        <v>280</v>
      </c>
      <c r="AB415" s="81">
        <f t="shared" si="151"/>
        <v>0.82189116447904176</v>
      </c>
      <c r="AC415" s="81">
        <f t="shared" si="136"/>
        <v>147</v>
      </c>
      <c r="AD415" s="81">
        <v>700</v>
      </c>
      <c r="AE415" s="81">
        <f t="shared" si="137"/>
        <v>651.1627906976745</v>
      </c>
      <c r="AF415" s="81">
        <f t="shared" si="138"/>
        <v>553</v>
      </c>
      <c r="AG415" s="83">
        <v>1</v>
      </c>
      <c r="AH415" s="83">
        <f t="shared" si="152"/>
        <v>3.7619047619047619</v>
      </c>
      <c r="AI415" s="83">
        <f t="shared" si="139"/>
        <v>0.79</v>
      </c>
      <c r="AJ415" s="81">
        <f t="shared" si="140"/>
        <v>606.03689999999995</v>
      </c>
      <c r="AK415" s="81">
        <f t="shared" si="147"/>
        <v>469.79604651162788</v>
      </c>
      <c r="AL415" s="81">
        <f t="shared" si="142"/>
        <v>459.03689999999995</v>
      </c>
      <c r="AM415" s="83">
        <f t="shared" si="153"/>
        <v>6.1233152923697326E-2</v>
      </c>
      <c r="AN415" s="83">
        <f t="shared" si="143"/>
        <v>5.7699999999999987E-2</v>
      </c>
      <c r="AO415" s="83">
        <f t="shared" si="154"/>
        <v>0.82727330888979933</v>
      </c>
      <c r="AP415" s="83">
        <v>3.1227</v>
      </c>
      <c r="AQ415" s="83">
        <f t="shared" si="144"/>
        <v>0.75744051228563802</v>
      </c>
      <c r="AR415" s="77" t="s">
        <v>180</v>
      </c>
    </row>
    <row r="416" spans="1:44" ht="15" customHeight="1" x14ac:dyDescent="0.25">
      <c r="A416" s="76">
        <v>415</v>
      </c>
      <c r="B416" s="76">
        <v>2010</v>
      </c>
      <c r="C416" s="77" t="s">
        <v>166</v>
      </c>
      <c r="D416" s="76">
        <v>12</v>
      </c>
      <c r="E416" s="78">
        <v>23</v>
      </c>
      <c r="F416" s="74">
        <v>0.5</v>
      </c>
      <c r="G416" s="75">
        <v>60</v>
      </c>
      <c r="H416" s="75">
        <v>10</v>
      </c>
      <c r="I416" s="78">
        <v>7</v>
      </c>
      <c r="J416" s="81">
        <v>1.2200000000000001E-2</v>
      </c>
      <c r="K416" s="77" t="s">
        <v>299</v>
      </c>
      <c r="L416" s="77" t="s">
        <v>36</v>
      </c>
      <c r="M416" s="77" t="s">
        <v>289</v>
      </c>
      <c r="N416" s="77">
        <v>25</v>
      </c>
      <c r="O416" s="77">
        <v>180</v>
      </c>
      <c r="P416" s="78"/>
      <c r="Q416" s="81">
        <v>8</v>
      </c>
      <c r="R416" s="82"/>
      <c r="S416" s="82">
        <v>6.031996335182636E-5</v>
      </c>
      <c r="T416" s="82">
        <v>630000000</v>
      </c>
      <c r="U416" s="78">
        <v>3083</v>
      </c>
      <c r="V416" s="82">
        <v>1.7919999999999998E-2</v>
      </c>
      <c r="W416" s="82">
        <v>2.3040000000000001E-2</v>
      </c>
      <c r="X416" s="82">
        <v>0.14899999999999999</v>
      </c>
      <c r="Y416" s="78">
        <v>29.6</v>
      </c>
      <c r="Z416" s="78">
        <v>1075</v>
      </c>
      <c r="AA416" s="78">
        <f t="shared" si="150"/>
        <v>280</v>
      </c>
      <c r="AB416" s="81">
        <f t="shared" si="151"/>
        <v>0.82189116447904176</v>
      </c>
      <c r="AC416" s="81">
        <f t="shared" si="136"/>
        <v>147</v>
      </c>
      <c r="AD416" s="81">
        <v>700</v>
      </c>
      <c r="AE416" s="81">
        <f t="shared" si="137"/>
        <v>651.1627906976745</v>
      </c>
      <c r="AF416" s="81">
        <f t="shared" si="138"/>
        <v>553</v>
      </c>
      <c r="AG416" s="83">
        <v>1</v>
      </c>
      <c r="AH416" s="83">
        <f t="shared" si="152"/>
        <v>3.7619047619047619</v>
      </c>
      <c r="AI416" s="83">
        <f t="shared" si="139"/>
        <v>0.79</v>
      </c>
      <c r="AJ416" s="81">
        <f t="shared" si="140"/>
        <v>616.85904000000005</v>
      </c>
      <c r="AK416" s="81">
        <f t="shared" si="147"/>
        <v>478.1853023255814</v>
      </c>
      <c r="AL416" s="81">
        <f t="shared" si="142"/>
        <v>469.85904000000005</v>
      </c>
      <c r="AM416" s="83">
        <f t="shared" si="153"/>
        <v>6.1233152923697326E-2</v>
      </c>
      <c r="AN416" s="83">
        <f t="shared" si="143"/>
        <v>5.7699999999999987E-2</v>
      </c>
      <c r="AO416" s="83">
        <f t="shared" si="154"/>
        <v>0.84716699516591565</v>
      </c>
      <c r="AP416" s="83">
        <v>3.1963200000000001</v>
      </c>
      <c r="AQ416" s="83">
        <f t="shared" si="144"/>
        <v>0.76169596217638313</v>
      </c>
      <c r="AR416" s="77" t="s">
        <v>180</v>
      </c>
    </row>
    <row r="417" spans="1:44" ht="15" customHeight="1" x14ac:dyDescent="0.25">
      <c r="A417" s="76">
        <v>416</v>
      </c>
      <c r="B417" s="76">
        <v>2010</v>
      </c>
      <c r="C417" s="77" t="s">
        <v>166</v>
      </c>
      <c r="D417" s="76">
        <v>13</v>
      </c>
      <c r="E417" s="78">
        <v>23</v>
      </c>
      <c r="F417" s="74">
        <v>1.25</v>
      </c>
      <c r="G417" s="75">
        <v>70</v>
      </c>
      <c r="H417" s="75">
        <v>6</v>
      </c>
      <c r="I417" s="78">
        <v>8</v>
      </c>
      <c r="J417" s="81">
        <v>1.3100000000000001E-2</v>
      </c>
      <c r="K417" s="77" t="s">
        <v>299</v>
      </c>
      <c r="L417" s="77" t="s">
        <v>36</v>
      </c>
      <c r="M417" s="77" t="s">
        <v>289</v>
      </c>
      <c r="N417" s="77">
        <v>25</v>
      </c>
      <c r="O417" s="77">
        <v>180</v>
      </c>
      <c r="P417" s="78"/>
      <c r="Q417" s="81">
        <v>16</v>
      </c>
      <c r="R417" s="82"/>
      <c r="S417" s="82">
        <v>7.8990513410758176E-5</v>
      </c>
      <c r="T417" s="82">
        <v>630000000</v>
      </c>
      <c r="U417" s="78">
        <v>3083</v>
      </c>
      <c r="V417" s="82">
        <v>1.7919999999999998E-2</v>
      </c>
      <c r="W417" s="82">
        <v>2.3040000000000001E-2</v>
      </c>
      <c r="X417" s="82">
        <v>0.14899999999999999</v>
      </c>
      <c r="Y417" s="78">
        <v>29.6</v>
      </c>
      <c r="Z417" s="78">
        <v>1075</v>
      </c>
      <c r="AA417" s="78">
        <f t="shared" si="150"/>
        <v>280</v>
      </c>
      <c r="AB417" s="81">
        <f t="shared" si="151"/>
        <v>0.82189116447904176</v>
      </c>
      <c r="AC417" s="81">
        <f t="shared" si="136"/>
        <v>147</v>
      </c>
      <c r="AD417" s="81">
        <v>700</v>
      </c>
      <c r="AE417" s="81">
        <f t="shared" si="137"/>
        <v>651.1627906976745</v>
      </c>
      <c r="AF417" s="81">
        <f t="shared" si="138"/>
        <v>553</v>
      </c>
      <c r="AG417" s="83">
        <v>1</v>
      </c>
      <c r="AH417" s="83">
        <f t="shared" si="152"/>
        <v>3.7619047619047619</v>
      </c>
      <c r="AI417" s="83">
        <f t="shared" si="139"/>
        <v>0.79</v>
      </c>
      <c r="AJ417" s="81">
        <f t="shared" si="140"/>
        <v>370.49879999999996</v>
      </c>
      <c r="AK417" s="81">
        <f t="shared" si="147"/>
        <v>287.20837209302323</v>
      </c>
      <c r="AL417" s="81">
        <f t="shared" si="142"/>
        <v>223.49879999999996</v>
      </c>
      <c r="AM417" s="83">
        <f t="shared" si="153"/>
        <v>6.1233152923697326E-2</v>
      </c>
      <c r="AN417" s="83">
        <f t="shared" si="143"/>
        <v>5.7699999999999987E-2</v>
      </c>
      <c r="AO417" s="83">
        <f t="shared" si="154"/>
        <v>0.39429784678410484</v>
      </c>
      <c r="AP417" s="83">
        <v>1.5204</v>
      </c>
      <c r="AQ417" s="83">
        <f t="shared" si="144"/>
        <v>0.60323758133629579</v>
      </c>
      <c r="AR417" s="77" t="s">
        <v>180</v>
      </c>
    </row>
    <row r="418" spans="1:44" ht="15" customHeight="1" x14ac:dyDescent="0.25">
      <c r="A418" s="76">
        <v>417</v>
      </c>
      <c r="B418" s="76">
        <v>2010</v>
      </c>
      <c r="C418" s="77" t="s">
        <v>166</v>
      </c>
      <c r="D418" s="76">
        <v>14</v>
      </c>
      <c r="E418" s="78">
        <v>23</v>
      </c>
      <c r="F418" s="74">
        <v>1</v>
      </c>
      <c r="G418" s="75">
        <v>70</v>
      </c>
      <c r="H418" s="75">
        <v>6</v>
      </c>
      <c r="I418" s="78">
        <v>8</v>
      </c>
      <c r="J418" s="81">
        <v>3.8E-3</v>
      </c>
      <c r="K418" s="77" t="s">
        <v>299</v>
      </c>
      <c r="L418" s="77" t="s">
        <v>36</v>
      </c>
      <c r="M418" s="77" t="s">
        <v>289</v>
      </c>
      <c r="N418" s="77">
        <v>25</v>
      </c>
      <c r="O418" s="77">
        <v>180</v>
      </c>
      <c r="P418" s="78"/>
      <c r="Q418" s="81">
        <v>10</v>
      </c>
      <c r="R418" s="82"/>
      <c r="S418" s="82">
        <v>7.8990513410758176E-5</v>
      </c>
      <c r="T418" s="82">
        <v>630000000</v>
      </c>
      <c r="U418" s="78">
        <v>3083</v>
      </c>
      <c r="V418" s="82">
        <v>1.7919999999999998E-2</v>
      </c>
      <c r="W418" s="82">
        <v>2.3040000000000001E-2</v>
      </c>
      <c r="X418" s="82">
        <v>0.14899999999999999</v>
      </c>
      <c r="Y418" s="78">
        <v>29.6</v>
      </c>
      <c r="Z418" s="78">
        <v>1075</v>
      </c>
      <c r="AA418" s="78">
        <f t="shared" si="150"/>
        <v>280</v>
      </c>
      <c r="AB418" s="81">
        <f t="shared" si="151"/>
        <v>0.82189116447904176</v>
      </c>
      <c r="AC418" s="81">
        <f t="shared" si="136"/>
        <v>147</v>
      </c>
      <c r="AD418" s="81">
        <v>700</v>
      </c>
      <c r="AE418" s="81">
        <f t="shared" si="137"/>
        <v>651.1627906976745</v>
      </c>
      <c r="AF418" s="81">
        <f t="shared" si="138"/>
        <v>553</v>
      </c>
      <c r="AG418" s="83">
        <v>1</v>
      </c>
      <c r="AH418" s="83">
        <f t="shared" si="152"/>
        <v>3.7619047619047619</v>
      </c>
      <c r="AI418" s="83">
        <f t="shared" si="139"/>
        <v>0.79</v>
      </c>
      <c r="AJ418" s="81">
        <f t="shared" si="140"/>
        <v>476.11830000000003</v>
      </c>
      <c r="AK418" s="81">
        <f t="shared" si="147"/>
        <v>369.08395348837212</v>
      </c>
      <c r="AL418" s="81">
        <f t="shared" si="142"/>
        <v>329.11830000000003</v>
      </c>
      <c r="AM418" s="83">
        <f t="shared" si="153"/>
        <v>6.1233152923697326E-2</v>
      </c>
      <c r="AN418" s="83">
        <f t="shared" si="143"/>
        <v>5.7699999999999987E-2</v>
      </c>
      <c r="AO418" s="83">
        <f t="shared" si="154"/>
        <v>0.58845179393691116</v>
      </c>
      <c r="AP418" s="83">
        <v>2.2389000000000001</v>
      </c>
      <c r="AQ418" s="83">
        <f t="shared" si="144"/>
        <v>0.69125320324801631</v>
      </c>
      <c r="AR418" s="77" t="s">
        <v>180</v>
      </c>
    </row>
    <row r="419" spans="1:44" ht="15" customHeight="1" x14ac:dyDescent="0.25">
      <c r="A419" s="76">
        <v>418</v>
      </c>
      <c r="B419" s="76">
        <v>2010</v>
      </c>
      <c r="C419" s="77" t="s">
        <v>166</v>
      </c>
      <c r="D419" s="76">
        <v>15</v>
      </c>
      <c r="E419" s="78">
        <v>22</v>
      </c>
      <c r="F419" s="74">
        <v>0.75</v>
      </c>
      <c r="G419" s="75">
        <v>70</v>
      </c>
      <c r="H419" s="75">
        <v>6</v>
      </c>
      <c r="I419" s="78">
        <v>7</v>
      </c>
      <c r="J419" s="81">
        <v>3.9399999999999998E-2</v>
      </c>
      <c r="K419" s="77" t="s">
        <v>299</v>
      </c>
      <c r="L419" s="77" t="s">
        <v>36</v>
      </c>
      <c r="M419" s="77" t="s">
        <v>289</v>
      </c>
      <c r="N419" s="77">
        <v>25</v>
      </c>
      <c r="O419" s="77">
        <v>180</v>
      </c>
      <c r="P419" s="78"/>
      <c r="Q419" s="81">
        <v>13</v>
      </c>
      <c r="R419" s="82"/>
      <c r="S419" s="82">
        <v>7.8990513410758176E-5</v>
      </c>
      <c r="T419" s="82">
        <v>630000000</v>
      </c>
      <c r="U419" s="78">
        <v>3083</v>
      </c>
      <c r="V419" s="82">
        <v>1.7919999999999998E-2</v>
      </c>
      <c r="W419" s="82">
        <v>2.3040000000000001E-2</v>
      </c>
      <c r="X419" s="82">
        <v>0.14899999999999999</v>
      </c>
      <c r="Y419" s="78">
        <v>29.6</v>
      </c>
      <c r="Z419" s="78">
        <v>1075</v>
      </c>
      <c r="AA419" s="78">
        <f t="shared" si="150"/>
        <v>280</v>
      </c>
      <c r="AB419" s="81">
        <f t="shared" si="151"/>
        <v>0.82189116447904176</v>
      </c>
      <c r="AC419" s="81">
        <f t="shared" si="136"/>
        <v>147</v>
      </c>
      <c r="AD419" s="81">
        <v>700</v>
      </c>
      <c r="AE419" s="81">
        <f t="shared" si="137"/>
        <v>651.1627906976745</v>
      </c>
      <c r="AF419" s="81">
        <f t="shared" si="138"/>
        <v>553</v>
      </c>
      <c r="AG419" s="83">
        <v>1</v>
      </c>
      <c r="AH419" s="83">
        <f t="shared" si="152"/>
        <v>3.7619047619047619</v>
      </c>
      <c r="AI419" s="83">
        <f t="shared" si="139"/>
        <v>0.79</v>
      </c>
      <c r="AJ419" s="81">
        <f t="shared" si="140"/>
        <v>490.70070000000004</v>
      </c>
      <c r="AK419" s="81">
        <f t="shared" si="147"/>
        <v>380.38813953488375</v>
      </c>
      <c r="AL419" s="81">
        <f t="shared" si="142"/>
        <v>343.70070000000004</v>
      </c>
      <c r="AM419" s="83">
        <f t="shared" si="153"/>
        <v>6.1233152923697326E-2</v>
      </c>
      <c r="AN419" s="83">
        <f t="shared" si="143"/>
        <v>5.7699999999999987E-2</v>
      </c>
      <c r="AO419" s="83">
        <f t="shared" si="154"/>
        <v>0.61525773904137648</v>
      </c>
      <c r="AP419" s="83">
        <v>2.3380999999999998</v>
      </c>
      <c r="AQ419" s="83">
        <f t="shared" si="144"/>
        <v>0.70042838740600943</v>
      </c>
      <c r="AR419" s="77" t="s">
        <v>180</v>
      </c>
    </row>
    <row r="420" spans="1:44" ht="15" customHeight="1" x14ac:dyDescent="0.25">
      <c r="A420" s="76">
        <v>419</v>
      </c>
      <c r="B420" s="76">
        <v>2010</v>
      </c>
      <c r="C420" s="77" t="s">
        <v>166</v>
      </c>
      <c r="D420" s="76">
        <v>16</v>
      </c>
      <c r="E420" s="78">
        <v>21</v>
      </c>
      <c r="F420" s="74">
        <v>0.5</v>
      </c>
      <c r="G420" s="75">
        <v>70</v>
      </c>
      <c r="H420" s="75">
        <v>6</v>
      </c>
      <c r="I420" s="78">
        <v>7</v>
      </c>
      <c r="J420" s="81">
        <v>2.0999999999999999E-3</v>
      </c>
      <c r="K420" s="77" t="s">
        <v>299</v>
      </c>
      <c r="L420" s="77" t="s">
        <v>36</v>
      </c>
      <c r="M420" s="77" t="s">
        <v>289</v>
      </c>
      <c r="N420" s="77">
        <v>25</v>
      </c>
      <c r="O420" s="77">
        <v>180</v>
      </c>
      <c r="P420" s="78"/>
      <c r="Q420" s="81">
        <v>6</v>
      </c>
      <c r="R420" s="82"/>
      <c r="S420" s="82">
        <v>7.8990513410758176E-5</v>
      </c>
      <c r="T420" s="82">
        <v>630000000</v>
      </c>
      <c r="U420" s="78">
        <v>3083</v>
      </c>
      <c r="V420" s="82">
        <v>1.7919999999999998E-2</v>
      </c>
      <c r="W420" s="82">
        <v>2.3040000000000001E-2</v>
      </c>
      <c r="X420" s="82">
        <v>0.14899999999999999</v>
      </c>
      <c r="Y420" s="78">
        <v>29.6</v>
      </c>
      <c r="Z420" s="78">
        <v>1075</v>
      </c>
      <c r="AA420" s="78">
        <f t="shared" si="150"/>
        <v>280</v>
      </c>
      <c r="AB420" s="81">
        <f t="shared" si="151"/>
        <v>0.82189116447904176</v>
      </c>
      <c r="AC420" s="81">
        <f t="shared" si="136"/>
        <v>147</v>
      </c>
      <c r="AD420" s="81">
        <v>700</v>
      </c>
      <c r="AE420" s="81">
        <f t="shared" si="137"/>
        <v>651.1627906976745</v>
      </c>
      <c r="AF420" s="81">
        <f t="shared" si="138"/>
        <v>553</v>
      </c>
      <c r="AG420" s="83">
        <v>1</v>
      </c>
      <c r="AH420" s="83">
        <f t="shared" si="152"/>
        <v>3.7619047619047619</v>
      </c>
      <c r="AI420" s="83">
        <f t="shared" si="139"/>
        <v>0.79</v>
      </c>
      <c r="AJ420" s="81">
        <f t="shared" si="140"/>
        <v>569.61029999999982</v>
      </c>
      <c r="AK420" s="81">
        <f t="shared" si="147"/>
        <v>441.55837209302314</v>
      </c>
      <c r="AL420" s="81">
        <f t="shared" si="142"/>
        <v>422.61029999999982</v>
      </c>
      <c r="AM420" s="83">
        <f t="shared" si="153"/>
        <v>6.1233152923697326E-2</v>
      </c>
      <c r="AN420" s="83">
        <f t="shared" si="143"/>
        <v>5.7699999999999987E-2</v>
      </c>
      <c r="AO420" s="83">
        <f t="shared" si="154"/>
        <v>0.76031249037279802</v>
      </c>
      <c r="AP420" s="83">
        <v>2.8748999999999998</v>
      </c>
      <c r="AQ420" s="83">
        <f t="shared" si="144"/>
        <v>0.74192882396965076</v>
      </c>
      <c r="AR420" s="77" t="s">
        <v>180</v>
      </c>
    </row>
    <row r="421" spans="1:44" s="12" customFormat="1" ht="15" hidden="1" customHeight="1" x14ac:dyDescent="0.25">
      <c r="A421" s="3">
        <v>420</v>
      </c>
      <c r="B421" s="3">
        <v>2010</v>
      </c>
      <c r="C421" s="27" t="s">
        <v>219</v>
      </c>
      <c r="D421" s="3">
        <v>1</v>
      </c>
      <c r="E421" s="11">
        <v>27</v>
      </c>
      <c r="F421" s="34">
        <v>5</v>
      </c>
      <c r="G421" s="54">
        <v>50</v>
      </c>
      <c r="H421" s="54">
        <v>32</v>
      </c>
      <c r="I421" s="11">
        <v>51</v>
      </c>
      <c r="J421" s="47">
        <v>6.4000000000000001E-2</v>
      </c>
      <c r="K421" s="27" t="s">
        <v>220</v>
      </c>
      <c r="L421" s="27" t="s">
        <v>36</v>
      </c>
      <c r="M421" s="27" t="s">
        <v>34</v>
      </c>
      <c r="N421" s="27" t="s">
        <v>34</v>
      </c>
      <c r="O421" s="27" t="s">
        <v>34</v>
      </c>
      <c r="P421" s="11"/>
      <c r="Q421" s="47">
        <v>21</v>
      </c>
      <c r="R421" s="4"/>
      <c r="S421" s="4">
        <v>1.4405031202212857E-4</v>
      </c>
      <c r="T421" s="4">
        <v>770000000</v>
      </c>
      <c r="U421" s="11">
        <v>2774</v>
      </c>
      <c r="V421" s="4">
        <v>1.7919999999999998E-2</v>
      </c>
      <c r="W421" s="4">
        <v>2.3040000000000001E-2</v>
      </c>
      <c r="X421" s="4">
        <v>0.14899999999999999</v>
      </c>
      <c r="Y421" s="11">
        <v>29.6</v>
      </c>
      <c r="Z421" s="11">
        <v>1075</v>
      </c>
      <c r="AA421" s="11">
        <f t="shared" ref="AA421:AA427" si="155">INT(AD421/2.5)</f>
        <v>173</v>
      </c>
      <c r="AB421" s="47">
        <f t="shared" si="151"/>
        <v>0.82284023133201112</v>
      </c>
      <c r="AC421" s="47">
        <f t="shared" si="136"/>
        <v>82.824427480916029</v>
      </c>
      <c r="AD421" s="47">
        <v>434</v>
      </c>
      <c r="AE421" s="47">
        <f t="shared" si="137"/>
        <v>403.72093023255809</v>
      </c>
      <c r="AF421" s="47">
        <f t="shared" si="138"/>
        <v>351.17557251908397</v>
      </c>
      <c r="AG421" s="53">
        <v>1</v>
      </c>
      <c r="AH421" s="53">
        <v>4.24</v>
      </c>
      <c r="AI421" s="53">
        <f t="shared" si="139"/>
        <v>0.80916030534351147</v>
      </c>
      <c r="AJ421" s="47">
        <f t="shared" si="140"/>
        <v>103.42438656488549</v>
      </c>
      <c r="AK421" s="47">
        <f t="shared" si="147"/>
        <v>80.173943073554639</v>
      </c>
      <c r="AL421" s="47">
        <f t="shared" si="142"/>
        <v>20.599959083969466</v>
      </c>
      <c r="AM421" s="53">
        <v>0</v>
      </c>
      <c r="AN421" s="53">
        <f t="shared" si="143"/>
        <v>0</v>
      </c>
      <c r="AO421" s="53">
        <v>5.8659999999999997E-2</v>
      </c>
      <c r="AP421" s="53">
        <f t="shared" ref="AP421:AP427" si="156">AO421*AH421</f>
        <v>0.24871840000000001</v>
      </c>
      <c r="AQ421" s="53">
        <f t="shared" si="144"/>
        <v>0.19917893417763366</v>
      </c>
      <c r="AR421" s="27" t="s">
        <v>34</v>
      </c>
    </row>
    <row r="422" spans="1:44" ht="15" hidden="1" customHeight="1" x14ac:dyDescent="0.25">
      <c r="A422" s="76">
        <v>421</v>
      </c>
      <c r="B422" s="76">
        <v>2010</v>
      </c>
      <c r="C422" s="77" t="s">
        <v>219</v>
      </c>
      <c r="D422" s="76">
        <v>2</v>
      </c>
      <c r="E422" s="78">
        <v>24</v>
      </c>
      <c r="F422" s="74">
        <v>5</v>
      </c>
      <c r="G422" s="56">
        <v>55</v>
      </c>
      <c r="H422" s="56">
        <v>25</v>
      </c>
      <c r="I422" s="78">
        <v>45</v>
      </c>
      <c r="J422" s="81">
        <v>8.9499999999999996E-2</v>
      </c>
      <c r="K422" s="77" t="s">
        <v>220</v>
      </c>
      <c r="L422" s="77" t="s">
        <v>36</v>
      </c>
      <c r="M422" s="77" t="s">
        <v>34</v>
      </c>
      <c r="N422" s="77" t="s">
        <v>34</v>
      </c>
      <c r="O422" s="77" t="s">
        <v>34</v>
      </c>
      <c r="P422" s="78"/>
      <c r="Q422" s="81">
        <v>21</v>
      </c>
      <c r="R422" s="82"/>
      <c r="S422" s="82">
        <v>1.6417816822024967E-4</v>
      </c>
      <c r="T422" s="82">
        <v>770000000</v>
      </c>
      <c r="U422" s="78">
        <v>2774</v>
      </c>
      <c r="V422" s="82">
        <v>1.7919999999999998E-2</v>
      </c>
      <c r="W422" s="82">
        <v>2.3040000000000001E-2</v>
      </c>
      <c r="X422" s="82">
        <v>0.14899999999999999</v>
      </c>
      <c r="Y422" s="78">
        <v>29.6</v>
      </c>
      <c r="Z422" s="78">
        <v>1075</v>
      </c>
      <c r="AA422" s="78">
        <f t="shared" si="155"/>
        <v>173</v>
      </c>
      <c r="AB422" s="81">
        <f t="shared" si="151"/>
        <v>0.82284023133201112</v>
      </c>
      <c r="AC422" s="81">
        <f t="shared" ref="AC422:AC485" si="157">AD422-AF422</f>
        <v>82.824427480916029</v>
      </c>
      <c r="AD422" s="81">
        <v>434</v>
      </c>
      <c r="AE422" s="81">
        <f t="shared" ref="AE422:AE485" si="158">AD422/Z422*1000</f>
        <v>403.72093023255809</v>
      </c>
      <c r="AF422" s="81">
        <f t="shared" ref="AF422:AF485" si="159">AD422*AI422</f>
        <v>351.17557251908397</v>
      </c>
      <c r="AG422" s="83">
        <v>1</v>
      </c>
      <c r="AH422" s="83">
        <v>4.24</v>
      </c>
      <c r="AI422" s="83">
        <f t="shared" ref="AI422:AI485" si="160">AH422/(AH422+1)</f>
        <v>0.80916030534351147</v>
      </c>
      <c r="AJ422" s="81">
        <f t="shared" ref="AJ422:AJ485" si="161">AC422/(1-AQ422)</f>
        <v>97.047038167938922</v>
      </c>
      <c r="AK422" s="81">
        <f t="shared" ref="AK422:AK453" si="162">AJ422/1290*1000</f>
        <v>75.230262145689096</v>
      </c>
      <c r="AL422" s="81">
        <f t="shared" ref="AL422:AL485" si="163">AJ422*AQ422</f>
        <v>14.2226106870229</v>
      </c>
      <c r="AM422" s="83">
        <v>0</v>
      </c>
      <c r="AN422" s="83">
        <f t="shared" ref="AN422:AN485" si="164">AM422/(AM422+1)</f>
        <v>0</v>
      </c>
      <c r="AO422" s="83">
        <v>4.0500000000000001E-2</v>
      </c>
      <c r="AP422" s="83">
        <f t="shared" si="156"/>
        <v>0.17172000000000001</v>
      </c>
      <c r="AQ422" s="83">
        <f t="shared" ref="AQ422:AQ485" si="165">AP422/(AP422+1)</f>
        <v>0.14655378418052095</v>
      </c>
      <c r="AR422" s="77" t="s">
        <v>34</v>
      </c>
    </row>
    <row r="423" spans="1:44" ht="15" hidden="1" customHeight="1" x14ac:dyDescent="0.25">
      <c r="A423" s="76">
        <v>422</v>
      </c>
      <c r="B423" s="76">
        <v>2010</v>
      </c>
      <c r="C423" s="77" t="s">
        <v>219</v>
      </c>
      <c r="D423" s="76">
        <v>3</v>
      </c>
      <c r="E423" s="78">
        <v>19</v>
      </c>
      <c r="F423" s="74">
        <v>5</v>
      </c>
      <c r="G423" s="56">
        <v>60</v>
      </c>
      <c r="H423" s="56">
        <v>20</v>
      </c>
      <c r="I423" s="78">
        <v>36</v>
      </c>
      <c r="J423" s="81">
        <v>1.52E-2</v>
      </c>
      <c r="K423" s="77" t="s">
        <v>220</v>
      </c>
      <c r="L423" s="77" t="s">
        <v>36</v>
      </c>
      <c r="M423" s="77" t="s">
        <v>34</v>
      </c>
      <c r="N423" s="77" t="s">
        <v>34</v>
      </c>
      <c r="O423" s="77" t="s">
        <v>34</v>
      </c>
      <c r="P423" s="78"/>
      <c r="Q423" s="81">
        <v>18</v>
      </c>
      <c r="R423" s="82"/>
      <c r="S423" s="82">
        <v>1.8638531228457996E-4</v>
      </c>
      <c r="T423" s="82">
        <v>770000000</v>
      </c>
      <c r="U423" s="78">
        <v>2774</v>
      </c>
      <c r="V423" s="82">
        <v>1.7919999999999998E-2</v>
      </c>
      <c r="W423" s="82">
        <v>2.3040000000000001E-2</v>
      </c>
      <c r="X423" s="82">
        <v>0.14899999999999999</v>
      </c>
      <c r="Y423" s="78">
        <v>29.6</v>
      </c>
      <c r="Z423" s="78">
        <v>1075</v>
      </c>
      <c r="AA423" s="78">
        <f t="shared" si="155"/>
        <v>173</v>
      </c>
      <c r="AB423" s="81">
        <f t="shared" si="151"/>
        <v>0.82284023133201112</v>
      </c>
      <c r="AC423" s="81">
        <f t="shared" si="157"/>
        <v>82.824427480916029</v>
      </c>
      <c r="AD423" s="81">
        <v>434</v>
      </c>
      <c r="AE423" s="81">
        <f t="shared" si="158"/>
        <v>403.72093023255809</v>
      </c>
      <c r="AF423" s="81">
        <f t="shared" si="159"/>
        <v>351.17557251908397</v>
      </c>
      <c r="AG423" s="83">
        <v>1</v>
      </c>
      <c r="AH423" s="83">
        <v>4.24</v>
      </c>
      <c r="AI423" s="83">
        <f t="shared" si="160"/>
        <v>0.80916030534351147</v>
      </c>
      <c r="AJ423" s="81">
        <f t="shared" si="161"/>
        <v>98.518463816793883</v>
      </c>
      <c r="AK423" s="81">
        <f t="shared" si="162"/>
        <v>76.370902183561142</v>
      </c>
      <c r="AL423" s="81">
        <f t="shared" si="163"/>
        <v>15.694036335877861</v>
      </c>
      <c r="AM423" s="83">
        <v>0</v>
      </c>
      <c r="AN423" s="83">
        <f t="shared" si="164"/>
        <v>0</v>
      </c>
      <c r="AO423" s="83">
        <v>4.4690000000000001E-2</v>
      </c>
      <c r="AP423" s="83">
        <f t="shared" si="156"/>
        <v>0.1894856</v>
      </c>
      <c r="AQ423" s="83">
        <f t="shared" si="165"/>
        <v>0.15930045727329528</v>
      </c>
      <c r="AR423" s="77" t="s">
        <v>34</v>
      </c>
    </row>
    <row r="424" spans="1:44" ht="15" hidden="1" customHeight="1" x14ac:dyDescent="0.25">
      <c r="A424" s="76">
        <v>423</v>
      </c>
      <c r="B424" s="76">
        <v>2010</v>
      </c>
      <c r="C424" s="77" t="s">
        <v>219</v>
      </c>
      <c r="D424" s="76">
        <v>4</v>
      </c>
      <c r="E424" s="78">
        <v>12</v>
      </c>
      <c r="F424" s="74">
        <v>5</v>
      </c>
      <c r="G424" s="56">
        <v>65</v>
      </c>
      <c r="H424" s="56">
        <v>16</v>
      </c>
      <c r="I424" s="78">
        <v>21</v>
      </c>
      <c r="J424" s="81">
        <v>6.8900000000000003E-2</v>
      </c>
      <c r="K424" s="77" t="s">
        <v>220</v>
      </c>
      <c r="L424" s="77" t="s">
        <v>36</v>
      </c>
      <c r="M424" s="77" t="s">
        <v>34</v>
      </c>
      <c r="N424" s="77" t="s">
        <v>34</v>
      </c>
      <c r="O424" s="77" t="s">
        <v>34</v>
      </c>
      <c r="P424" s="78"/>
      <c r="Q424" s="81">
        <v>18</v>
      </c>
      <c r="R424" s="82"/>
      <c r="S424" s="82">
        <v>2.10803913598749E-4</v>
      </c>
      <c r="T424" s="82">
        <v>770000000</v>
      </c>
      <c r="U424" s="78">
        <v>2774</v>
      </c>
      <c r="V424" s="82">
        <v>1.7919999999999998E-2</v>
      </c>
      <c r="W424" s="82">
        <v>2.3040000000000001E-2</v>
      </c>
      <c r="X424" s="82">
        <v>0.14899999999999999</v>
      </c>
      <c r="Y424" s="78">
        <v>29.6</v>
      </c>
      <c r="Z424" s="78">
        <v>1075</v>
      </c>
      <c r="AA424" s="78">
        <f t="shared" si="155"/>
        <v>173</v>
      </c>
      <c r="AB424" s="81">
        <f t="shared" si="151"/>
        <v>0.82284023133201112</v>
      </c>
      <c r="AC424" s="81">
        <f t="shared" si="157"/>
        <v>82.824427480916029</v>
      </c>
      <c r="AD424" s="81">
        <v>434</v>
      </c>
      <c r="AE424" s="81">
        <f t="shared" si="158"/>
        <v>403.72093023255809</v>
      </c>
      <c r="AF424" s="81">
        <f t="shared" si="159"/>
        <v>351.17557251908397</v>
      </c>
      <c r="AG424" s="83">
        <v>1</v>
      </c>
      <c r="AH424" s="83">
        <v>4.24</v>
      </c>
      <c r="AI424" s="83">
        <f t="shared" si="160"/>
        <v>0.80916030534351147</v>
      </c>
      <c r="AJ424" s="81">
        <f t="shared" si="161"/>
        <v>102.44460671755726</v>
      </c>
      <c r="AK424" s="81">
        <f t="shared" si="162"/>
        <v>79.414423812059894</v>
      </c>
      <c r="AL424" s="81">
        <f t="shared" si="163"/>
        <v>19.620179236641228</v>
      </c>
      <c r="AM424" s="83">
        <v>0</v>
      </c>
      <c r="AN424" s="83">
        <f t="shared" si="164"/>
        <v>0</v>
      </c>
      <c r="AO424" s="83">
        <v>5.5870000000000003E-2</v>
      </c>
      <c r="AP424" s="83">
        <f t="shared" si="156"/>
        <v>0.23688880000000004</v>
      </c>
      <c r="AQ424" s="83">
        <f t="shared" si="165"/>
        <v>0.19151988440674703</v>
      </c>
      <c r="AR424" s="77" t="s">
        <v>34</v>
      </c>
    </row>
    <row r="425" spans="1:44" ht="15" hidden="1" customHeight="1" x14ac:dyDescent="0.25">
      <c r="A425" s="76">
        <v>424</v>
      </c>
      <c r="B425" s="76">
        <v>2010</v>
      </c>
      <c r="C425" s="77" t="s">
        <v>219</v>
      </c>
      <c r="D425" s="76">
        <v>5</v>
      </c>
      <c r="E425" s="78">
        <v>21</v>
      </c>
      <c r="F425" s="74">
        <v>3</v>
      </c>
      <c r="G425" s="56">
        <v>60</v>
      </c>
      <c r="H425" s="56">
        <v>20</v>
      </c>
      <c r="I425" s="78">
        <v>39</v>
      </c>
      <c r="J425" s="81">
        <v>5.3100000000000001E-2</v>
      </c>
      <c r="K425" s="77" t="s">
        <v>220</v>
      </c>
      <c r="L425" s="77" t="s">
        <v>36</v>
      </c>
      <c r="M425" s="77" t="s">
        <v>34</v>
      </c>
      <c r="N425" s="77" t="s">
        <v>34</v>
      </c>
      <c r="O425" s="77" t="s">
        <v>34</v>
      </c>
      <c r="P425" s="78"/>
      <c r="Q425" s="81">
        <v>16</v>
      </c>
      <c r="R425" s="82"/>
      <c r="S425" s="82">
        <v>1.8638531228457996E-4</v>
      </c>
      <c r="T425" s="82">
        <v>770000000</v>
      </c>
      <c r="U425" s="78">
        <v>2774</v>
      </c>
      <c r="V425" s="82">
        <v>1.7919999999999998E-2</v>
      </c>
      <c r="W425" s="82">
        <v>2.3040000000000001E-2</v>
      </c>
      <c r="X425" s="82">
        <v>0.14899999999999999</v>
      </c>
      <c r="Y425" s="78">
        <v>29.6</v>
      </c>
      <c r="Z425" s="78">
        <v>1075</v>
      </c>
      <c r="AA425" s="78">
        <f t="shared" si="155"/>
        <v>173</v>
      </c>
      <c r="AB425" s="81">
        <f t="shared" si="151"/>
        <v>0.82284023133201112</v>
      </c>
      <c r="AC425" s="81">
        <f t="shared" si="157"/>
        <v>82.824427480916029</v>
      </c>
      <c r="AD425" s="81">
        <v>434</v>
      </c>
      <c r="AE425" s="81">
        <f t="shared" si="158"/>
        <v>403.72093023255809</v>
      </c>
      <c r="AF425" s="81">
        <f t="shared" si="159"/>
        <v>351.17557251908397</v>
      </c>
      <c r="AG425" s="83">
        <v>1</v>
      </c>
      <c r="AH425" s="83">
        <v>4.24</v>
      </c>
      <c r="AI425" s="83">
        <f t="shared" si="160"/>
        <v>0.80916030534351147</v>
      </c>
      <c r="AJ425" s="81">
        <f t="shared" si="161"/>
        <v>96.004046717557245</v>
      </c>
      <c r="AK425" s="81">
        <f t="shared" si="162"/>
        <v>74.421741641517244</v>
      </c>
      <c r="AL425" s="81">
        <f t="shared" si="163"/>
        <v>13.179619236641225</v>
      </c>
      <c r="AM425" s="83">
        <v>0</v>
      </c>
      <c r="AN425" s="83">
        <f t="shared" si="164"/>
        <v>0</v>
      </c>
      <c r="AO425" s="83">
        <v>3.7530000000000001E-2</v>
      </c>
      <c r="AP425" s="83">
        <f t="shared" si="156"/>
        <v>0.15912720000000002</v>
      </c>
      <c r="AQ425" s="83">
        <f t="shared" si="165"/>
        <v>0.13728191349491242</v>
      </c>
      <c r="AR425" s="77" t="s">
        <v>34</v>
      </c>
    </row>
    <row r="426" spans="1:44" ht="15" hidden="1" customHeight="1" x14ac:dyDescent="0.25">
      <c r="A426" s="76">
        <v>425</v>
      </c>
      <c r="B426" s="76">
        <v>2010</v>
      </c>
      <c r="C426" s="77" t="s">
        <v>219</v>
      </c>
      <c r="D426" s="76">
        <v>6</v>
      </c>
      <c r="E426" s="78">
        <v>18</v>
      </c>
      <c r="F426" s="74">
        <v>7</v>
      </c>
      <c r="G426" s="56">
        <v>60</v>
      </c>
      <c r="H426" s="56">
        <v>20</v>
      </c>
      <c r="I426" s="78">
        <v>34</v>
      </c>
      <c r="J426" s="81">
        <v>3.5400000000000001E-2</v>
      </c>
      <c r="K426" s="77" t="s">
        <v>220</v>
      </c>
      <c r="L426" s="77" t="s">
        <v>36</v>
      </c>
      <c r="M426" s="77" t="s">
        <v>34</v>
      </c>
      <c r="N426" s="77" t="s">
        <v>34</v>
      </c>
      <c r="O426" s="77" t="s">
        <v>34</v>
      </c>
      <c r="P426" s="78"/>
      <c r="Q426" s="81">
        <v>19</v>
      </c>
      <c r="R426" s="82"/>
      <c r="S426" s="82">
        <v>1.8638531228457996E-4</v>
      </c>
      <c r="T426" s="82">
        <v>770000000</v>
      </c>
      <c r="U426" s="78">
        <v>2774</v>
      </c>
      <c r="V426" s="82">
        <v>1.7919999999999998E-2</v>
      </c>
      <c r="W426" s="82">
        <v>2.3040000000000001E-2</v>
      </c>
      <c r="X426" s="82">
        <v>0.14899999999999999</v>
      </c>
      <c r="Y426" s="78">
        <v>29.6</v>
      </c>
      <c r="Z426" s="78">
        <v>1075</v>
      </c>
      <c r="AA426" s="78">
        <f t="shared" si="155"/>
        <v>173</v>
      </c>
      <c r="AB426" s="81">
        <f t="shared" si="151"/>
        <v>0.82284023133201112</v>
      </c>
      <c r="AC426" s="81">
        <f t="shared" si="157"/>
        <v>82.824427480916029</v>
      </c>
      <c r="AD426" s="81">
        <v>434</v>
      </c>
      <c r="AE426" s="81">
        <f t="shared" si="158"/>
        <v>403.72093023255809</v>
      </c>
      <c r="AF426" s="81">
        <f t="shared" si="159"/>
        <v>351.17557251908397</v>
      </c>
      <c r="AG426" s="83">
        <v>1</v>
      </c>
      <c r="AH426" s="83">
        <v>4.24</v>
      </c>
      <c r="AI426" s="83">
        <f t="shared" si="160"/>
        <v>0.80916030534351147</v>
      </c>
      <c r="AJ426" s="81">
        <f t="shared" si="161"/>
        <v>97.552730992366406</v>
      </c>
      <c r="AK426" s="81">
        <f t="shared" si="162"/>
        <v>75.622272087105742</v>
      </c>
      <c r="AL426" s="81">
        <f t="shared" si="163"/>
        <v>14.728303511450381</v>
      </c>
      <c r="AM426" s="83">
        <v>0</v>
      </c>
      <c r="AN426" s="83">
        <f t="shared" si="164"/>
        <v>0</v>
      </c>
      <c r="AO426" s="83">
        <v>4.1939999999999998E-2</v>
      </c>
      <c r="AP426" s="83">
        <f t="shared" si="156"/>
        <v>0.1778256</v>
      </c>
      <c r="AQ426" s="83">
        <f t="shared" si="165"/>
        <v>0.1509778697287612</v>
      </c>
      <c r="AR426" s="77" t="s">
        <v>34</v>
      </c>
    </row>
    <row r="427" spans="1:44" s="10" customFormat="1" ht="15" hidden="1" customHeight="1" x14ac:dyDescent="0.25">
      <c r="A427" s="1">
        <v>426</v>
      </c>
      <c r="B427" s="1">
        <v>2010</v>
      </c>
      <c r="C427" s="28" t="s">
        <v>219</v>
      </c>
      <c r="D427" s="1">
        <v>7</v>
      </c>
      <c r="E427" s="8">
        <v>17</v>
      </c>
      <c r="F427" s="35">
        <v>9</v>
      </c>
      <c r="G427" s="57">
        <v>60</v>
      </c>
      <c r="H427" s="57">
        <v>20</v>
      </c>
      <c r="I427" s="8">
        <v>31</v>
      </c>
      <c r="J427" s="51">
        <v>6.93E-2</v>
      </c>
      <c r="K427" s="28" t="s">
        <v>221</v>
      </c>
      <c r="L427" s="28" t="s">
        <v>36</v>
      </c>
      <c r="M427" s="28" t="s">
        <v>34</v>
      </c>
      <c r="N427" s="28" t="s">
        <v>34</v>
      </c>
      <c r="O427" s="28" t="s">
        <v>34</v>
      </c>
      <c r="P427" s="8"/>
      <c r="Q427" s="51">
        <v>21</v>
      </c>
      <c r="R427" s="9"/>
      <c r="S427" s="9">
        <v>1.8638531228457996E-4</v>
      </c>
      <c r="T427" s="9">
        <v>770000000</v>
      </c>
      <c r="U427" s="8">
        <v>2774</v>
      </c>
      <c r="V427" s="9">
        <v>1.7919999999999998E-2</v>
      </c>
      <c r="W427" s="9">
        <v>2.3040000000000001E-2</v>
      </c>
      <c r="X427" s="9">
        <v>0.14899999999999999</v>
      </c>
      <c r="Y427" s="8">
        <v>29.6</v>
      </c>
      <c r="Z427" s="8">
        <v>1075</v>
      </c>
      <c r="AA427" s="8">
        <f t="shared" si="155"/>
        <v>173</v>
      </c>
      <c r="AB427" s="51">
        <f t="shared" si="151"/>
        <v>0.82284023133201112</v>
      </c>
      <c r="AC427" s="51">
        <f t="shared" si="157"/>
        <v>82.824427480916029</v>
      </c>
      <c r="AD427" s="51">
        <v>434</v>
      </c>
      <c r="AE427" s="51">
        <f t="shared" si="158"/>
        <v>403.72093023255809</v>
      </c>
      <c r="AF427" s="51">
        <f t="shared" si="159"/>
        <v>351.17557251908397</v>
      </c>
      <c r="AG427" s="52">
        <v>1</v>
      </c>
      <c r="AH427" s="52">
        <v>4.24</v>
      </c>
      <c r="AI427" s="52">
        <f t="shared" si="160"/>
        <v>0.80916030534351147</v>
      </c>
      <c r="AJ427" s="51">
        <f t="shared" si="161"/>
        <v>97.166437862595416</v>
      </c>
      <c r="AK427" s="51">
        <f t="shared" si="162"/>
        <v>75.322820048523567</v>
      </c>
      <c r="AL427" s="51">
        <f t="shared" si="163"/>
        <v>14.34201038167939</v>
      </c>
      <c r="AM427" s="52">
        <v>0</v>
      </c>
      <c r="AN427" s="52">
        <f t="shared" si="164"/>
        <v>0</v>
      </c>
      <c r="AO427" s="52">
        <v>4.0840000000000001E-2</v>
      </c>
      <c r="AP427" s="52">
        <f t="shared" si="156"/>
        <v>0.17316160000000003</v>
      </c>
      <c r="AQ427" s="52">
        <f t="shared" si="165"/>
        <v>0.1476025127314089</v>
      </c>
      <c r="AR427" s="28" t="s">
        <v>34</v>
      </c>
    </row>
    <row r="428" spans="1:44" s="15" customFormat="1" ht="15" customHeight="1" x14ac:dyDescent="0.25">
      <c r="A428" s="13">
        <v>427</v>
      </c>
      <c r="B428" s="13">
        <v>2011</v>
      </c>
      <c r="C428" s="38" t="s">
        <v>208</v>
      </c>
      <c r="D428" s="13">
        <v>1</v>
      </c>
      <c r="E428" s="14">
        <v>45</v>
      </c>
      <c r="F428" s="41">
        <v>0.5</v>
      </c>
      <c r="G428" s="67">
        <v>36</v>
      </c>
      <c r="H428" s="67">
        <v>28</v>
      </c>
      <c r="I428" s="14">
        <v>200</v>
      </c>
      <c r="J428" s="81">
        <v>0.76</v>
      </c>
      <c r="K428" s="38" t="s">
        <v>298</v>
      </c>
      <c r="L428" s="38" t="s">
        <v>36</v>
      </c>
      <c r="M428" s="38" t="s">
        <v>289</v>
      </c>
      <c r="N428" s="38">
        <v>25</v>
      </c>
      <c r="O428" s="38">
        <v>180</v>
      </c>
      <c r="P428" s="88"/>
      <c r="Q428" s="90">
        <v>20</v>
      </c>
      <c r="R428" s="82"/>
      <c r="S428" s="82">
        <v>2.0943638712643806E-5</v>
      </c>
      <c r="T428" s="82">
        <v>620000000</v>
      </c>
      <c r="U428" s="78">
        <v>3183</v>
      </c>
      <c r="V428" s="82">
        <v>1.7919999999999998E-2</v>
      </c>
      <c r="W428" s="82">
        <v>8.3040000000000003E-2</v>
      </c>
      <c r="X428" s="82">
        <v>0.14899999999999999</v>
      </c>
      <c r="Y428" s="14" t="s">
        <v>222</v>
      </c>
      <c r="Z428" s="14">
        <v>1075</v>
      </c>
      <c r="AA428" s="14">
        <f t="shared" ref="AA428:AA459" si="166">AD428/2.5</f>
        <v>400</v>
      </c>
      <c r="AB428" s="46">
        <f t="shared" si="151"/>
        <v>0.82189116447904176</v>
      </c>
      <c r="AC428" s="46">
        <f t="shared" si="157"/>
        <v>250</v>
      </c>
      <c r="AD428" s="46">
        <v>1000</v>
      </c>
      <c r="AE428" s="46">
        <f t="shared" si="158"/>
        <v>930.23255813953483</v>
      </c>
      <c r="AF428" s="46">
        <f t="shared" si="159"/>
        <v>750</v>
      </c>
      <c r="AG428" s="68">
        <v>1</v>
      </c>
      <c r="AH428" s="68">
        <v>3</v>
      </c>
      <c r="AI428" s="68">
        <f t="shared" si="160"/>
        <v>0.75</v>
      </c>
      <c r="AJ428" s="46">
        <f t="shared" si="161"/>
        <v>272.5</v>
      </c>
      <c r="AK428" s="46">
        <f t="shared" si="162"/>
        <v>211.24031007751935</v>
      </c>
      <c r="AL428" s="46">
        <f t="shared" si="163"/>
        <v>22.499999999999996</v>
      </c>
      <c r="AM428" s="68">
        <v>0.09</v>
      </c>
      <c r="AN428" s="68">
        <f t="shared" si="164"/>
        <v>8.2568807339449532E-2</v>
      </c>
      <c r="AO428" s="68">
        <v>0</v>
      </c>
      <c r="AP428" s="68">
        <v>0.09</v>
      </c>
      <c r="AQ428" s="68">
        <f t="shared" si="165"/>
        <v>8.2568807339449532E-2</v>
      </c>
      <c r="AR428" s="38" t="s">
        <v>209</v>
      </c>
    </row>
    <row r="429" spans="1:44" s="22" customFormat="1" ht="15" customHeight="1" x14ac:dyDescent="0.25">
      <c r="A429" s="21">
        <v>428</v>
      </c>
      <c r="B429" s="21">
        <v>2011</v>
      </c>
      <c r="C429" s="37" t="s">
        <v>208</v>
      </c>
      <c r="D429" s="21">
        <v>2</v>
      </c>
      <c r="E429" s="16">
        <v>35</v>
      </c>
      <c r="F429" s="42">
        <v>0.5</v>
      </c>
      <c r="G429" s="65">
        <v>60</v>
      </c>
      <c r="H429" s="65">
        <v>10</v>
      </c>
      <c r="I429" s="16">
        <v>172</v>
      </c>
      <c r="J429" s="81">
        <v>0.1827</v>
      </c>
      <c r="K429" s="37" t="s">
        <v>298</v>
      </c>
      <c r="L429" s="37" t="s">
        <v>36</v>
      </c>
      <c r="M429" s="37" t="s">
        <v>289</v>
      </c>
      <c r="N429" s="37">
        <v>25</v>
      </c>
      <c r="O429" s="37">
        <v>180</v>
      </c>
      <c r="P429" s="88"/>
      <c r="Q429" s="90">
        <v>24</v>
      </c>
      <c r="R429" s="82"/>
      <c r="S429" s="82">
        <v>4.3969960885870395E-5</v>
      </c>
      <c r="T429" s="82">
        <v>620000000</v>
      </c>
      <c r="U429" s="78">
        <v>3183</v>
      </c>
      <c r="V429" s="82">
        <v>1.7919999999999998E-2</v>
      </c>
      <c r="W429" s="82">
        <v>8.3040000000000003E-2</v>
      </c>
      <c r="X429" s="82">
        <v>0.14899999999999999</v>
      </c>
      <c r="Y429" s="16" t="s">
        <v>222</v>
      </c>
      <c r="Z429" s="16">
        <v>1075</v>
      </c>
      <c r="AA429" s="16">
        <f t="shared" si="166"/>
        <v>400</v>
      </c>
      <c r="AB429" s="48">
        <f t="shared" si="151"/>
        <v>0.82189116447904176</v>
      </c>
      <c r="AC429" s="48">
        <f t="shared" si="157"/>
        <v>250</v>
      </c>
      <c r="AD429" s="48">
        <v>1000</v>
      </c>
      <c r="AE429" s="48">
        <f t="shared" si="158"/>
        <v>930.23255813953483</v>
      </c>
      <c r="AF429" s="48">
        <f t="shared" si="159"/>
        <v>750</v>
      </c>
      <c r="AG429" s="66">
        <v>1</v>
      </c>
      <c r="AH429" s="66">
        <v>3</v>
      </c>
      <c r="AI429" s="66">
        <f t="shared" si="160"/>
        <v>0.75</v>
      </c>
      <c r="AJ429" s="48">
        <f t="shared" si="161"/>
        <v>259.64999999999998</v>
      </c>
      <c r="AK429" s="48">
        <f t="shared" si="162"/>
        <v>201.27906976744183</v>
      </c>
      <c r="AL429" s="48">
        <f t="shared" si="163"/>
        <v>9.65</v>
      </c>
      <c r="AM429" s="66">
        <v>3.8600000000000002E-2</v>
      </c>
      <c r="AN429" s="66">
        <f t="shared" si="164"/>
        <v>3.7165414981706148E-2</v>
      </c>
      <c r="AO429" s="66">
        <v>0</v>
      </c>
      <c r="AP429" s="66">
        <v>3.8600000000000002E-2</v>
      </c>
      <c r="AQ429" s="66">
        <f t="shared" si="165"/>
        <v>3.7165414981706148E-2</v>
      </c>
      <c r="AR429" s="37" t="s">
        <v>209</v>
      </c>
    </row>
    <row r="430" spans="1:44" s="22" customFormat="1" ht="15" customHeight="1" x14ac:dyDescent="0.25">
      <c r="A430" s="21">
        <v>429</v>
      </c>
      <c r="B430" s="21">
        <v>2011</v>
      </c>
      <c r="C430" s="37" t="s">
        <v>208</v>
      </c>
      <c r="D430" s="21">
        <v>3</v>
      </c>
      <c r="E430" s="16">
        <v>32</v>
      </c>
      <c r="F430" s="42">
        <v>0.5</v>
      </c>
      <c r="G430" s="65">
        <v>60</v>
      </c>
      <c r="H430" s="65">
        <v>10</v>
      </c>
      <c r="I430" s="16">
        <v>152</v>
      </c>
      <c r="J430" s="81">
        <v>0.84809999999999997</v>
      </c>
      <c r="K430" s="37" t="s">
        <v>298</v>
      </c>
      <c r="L430" s="37" t="s">
        <v>36</v>
      </c>
      <c r="M430" s="37" t="s">
        <v>289</v>
      </c>
      <c r="N430" s="37">
        <v>25</v>
      </c>
      <c r="O430" s="37">
        <v>180</v>
      </c>
      <c r="P430" s="88"/>
      <c r="Q430" s="90">
        <v>35</v>
      </c>
      <c r="R430" s="82"/>
      <c r="S430" s="82">
        <v>4.3969960885870395E-5</v>
      </c>
      <c r="T430" s="82">
        <v>620000000</v>
      </c>
      <c r="U430" s="78">
        <v>3183</v>
      </c>
      <c r="V430" s="82">
        <v>1.7919999999999998E-2</v>
      </c>
      <c r="W430" s="82">
        <v>8.3040000000000003E-2</v>
      </c>
      <c r="X430" s="82">
        <v>0.14899999999999999</v>
      </c>
      <c r="Y430" s="16" t="s">
        <v>222</v>
      </c>
      <c r="Z430" s="16">
        <v>1075</v>
      </c>
      <c r="AA430" s="16">
        <f t="shared" si="166"/>
        <v>400</v>
      </c>
      <c r="AB430" s="48">
        <f t="shared" si="151"/>
        <v>0.82189116447904176</v>
      </c>
      <c r="AC430" s="48">
        <f t="shared" si="157"/>
        <v>250</v>
      </c>
      <c r="AD430" s="48">
        <v>1000</v>
      </c>
      <c r="AE430" s="48">
        <f t="shared" si="158"/>
        <v>930.23255813953483</v>
      </c>
      <c r="AF430" s="48">
        <f t="shared" si="159"/>
        <v>750</v>
      </c>
      <c r="AG430" s="66">
        <v>1</v>
      </c>
      <c r="AH430" s="66">
        <v>3</v>
      </c>
      <c r="AI430" s="66">
        <f t="shared" si="160"/>
        <v>0.75</v>
      </c>
      <c r="AJ430" s="48">
        <f t="shared" si="161"/>
        <v>258.53499999999997</v>
      </c>
      <c r="AK430" s="48">
        <f t="shared" si="162"/>
        <v>200.41472868217053</v>
      </c>
      <c r="AL430" s="48">
        <f t="shared" si="163"/>
        <v>8.5349999999999966</v>
      </c>
      <c r="AM430" s="66">
        <v>3.4139999999999997E-2</v>
      </c>
      <c r="AN430" s="66">
        <f t="shared" si="164"/>
        <v>3.3012938286885715E-2</v>
      </c>
      <c r="AO430" s="66">
        <v>0</v>
      </c>
      <c r="AP430" s="66">
        <v>3.4139999999999997E-2</v>
      </c>
      <c r="AQ430" s="66">
        <f t="shared" si="165"/>
        <v>3.3012938286885715E-2</v>
      </c>
      <c r="AR430" s="37" t="s">
        <v>209</v>
      </c>
    </row>
    <row r="431" spans="1:44" s="22" customFormat="1" ht="15" customHeight="1" x14ac:dyDescent="0.25">
      <c r="A431" s="21">
        <v>430</v>
      </c>
      <c r="B431" s="21">
        <v>2011</v>
      </c>
      <c r="C431" s="37" t="s">
        <v>208</v>
      </c>
      <c r="D431" s="21">
        <v>4</v>
      </c>
      <c r="E431" s="16">
        <v>25</v>
      </c>
      <c r="F431" s="42">
        <v>1</v>
      </c>
      <c r="G431" s="65">
        <v>57.5</v>
      </c>
      <c r="H431" s="65">
        <v>9</v>
      </c>
      <c r="I431" s="16">
        <v>124</v>
      </c>
      <c r="J431" s="81">
        <v>0.45129999999999998</v>
      </c>
      <c r="K431" s="37" t="s">
        <v>298</v>
      </c>
      <c r="L431" s="37" t="s">
        <v>36</v>
      </c>
      <c r="M431" s="37" t="s">
        <v>289</v>
      </c>
      <c r="N431" s="37">
        <v>25</v>
      </c>
      <c r="O431" s="37">
        <v>180</v>
      </c>
      <c r="P431" s="88"/>
      <c r="Q431" s="90">
        <v>31</v>
      </c>
      <c r="R431" s="82"/>
      <c r="S431" s="82">
        <v>4.0905830825123355E-5</v>
      </c>
      <c r="T431" s="82">
        <v>620000000</v>
      </c>
      <c r="U431" s="78">
        <v>3183</v>
      </c>
      <c r="V431" s="82">
        <v>1.7919999999999998E-2</v>
      </c>
      <c r="W431" s="82">
        <v>8.3040000000000003E-2</v>
      </c>
      <c r="X431" s="82">
        <v>0.14899999999999999</v>
      </c>
      <c r="Y431" s="16" t="s">
        <v>222</v>
      </c>
      <c r="Z431" s="16">
        <v>1075</v>
      </c>
      <c r="AA431" s="16">
        <f t="shared" si="166"/>
        <v>400</v>
      </c>
      <c r="AB431" s="48">
        <f t="shared" ref="AB431:AB462" si="167">POWER(3/(4*PI())*AE431/AA431,1/3)</f>
        <v>0.82189116447904176</v>
      </c>
      <c r="AC431" s="48">
        <f t="shared" si="157"/>
        <v>250</v>
      </c>
      <c r="AD431" s="48">
        <v>1000</v>
      </c>
      <c r="AE431" s="48">
        <f t="shared" si="158"/>
        <v>930.23255813953483</v>
      </c>
      <c r="AF431" s="48">
        <f t="shared" si="159"/>
        <v>750</v>
      </c>
      <c r="AG431" s="66">
        <v>1</v>
      </c>
      <c r="AH431" s="66">
        <v>3</v>
      </c>
      <c r="AI431" s="66">
        <f t="shared" si="160"/>
        <v>0.75</v>
      </c>
      <c r="AJ431" s="48">
        <f t="shared" si="161"/>
        <v>260.8075</v>
      </c>
      <c r="AK431" s="48">
        <f t="shared" si="162"/>
        <v>202.17635658914728</v>
      </c>
      <c r="AL431" s="48">
        <f t="shared" si="163"/>
        <v>10.807499999999999</v>
      </c>
      <c r="AM431" s="66">
        <v>4.3229999999999998E-2</v>
      </c>
      <c r="AN431" s="66">
        <f t="shared" si="164"/>
        <v>4.1438608935709283E-2</v>
      </c>
      <c r="AO431" s="66">
        <v>0</v>
      </c>
      <c r="AP431" s="66">
        <v>4.3229999999999998E-2</v>
      </c>
      <c r="AQ431" s="66">
        <f t="shared" si="165"/>
        <v>4.1438608935709283E-2</v>
      </c>
      <c r="AR431" s="37" t="s">
        <v>209</v>
      </c>
    </row>
    <row r="432" spans="1:44" s="22" customFormat="1" ht="15" customHeight="1" x14ac:dyDescent="0.25">
      <c r="A432" s="21">
        <v>431</v>
      </c>
      <c r="B432" s="21">
        <v>2011</v>
      </c>
      <c r="C432" s="37" t="s">
        <v>208</v>
      </c>
      <c r="D432" s="21">
        <v>5</v>
      </c>
      <c r="E432" s="16">
        <v>22</v>
      </c>
      <c r="F432" s="42">
        <v>1</v>
      </c>
      <c r="G432" s="65">
        <v>57.5</v>
      </c>
      <c r="H432" s="65">
        <v>9</v>
      </c>
      <c r="I432" s="16">
        <v>104</v>
      </c>
      <c r="J432" s="81">
        <v>0.1671</v>
      </c>
      <c r="K432" s="37" t="s">
        <v>298</v>
      </c>
      <c r="L432" s="37" t="s">
        <v>36</v>
      </c>
      <c r="M432" s="37" t="s">
        <v>289</v>
      </c>
      <c r="N432" s="37">
        <v>25</v>
      </c>
      <c r="O432" s="37">
        <v>180</v>
      </c>
      <c r="P432" s="88"/>
      <c r="Q432" s="90">
        <v>22</v>
      </c>
      <c r="R432" s="82"/>
      <c r="S432" s="82">
        <v>4.0905830825123355E-5</v>
      </c>
      <c r="T432" s="82">
        <v>620000000</v>
      </c>
      <c r="U432" s="78">
        <v>3183</v>
      </c>
      <c r="V432" s="82">
        <v>1.7919999999999998E-2</v>
      </c>
      <c r="W432" s="82">
        <v>8.3040000000000003E-2</v>
      </c>
      <c r="X432" s="82">
        <v>0.14899999999999999</v>
      </c>
      <c r="Y432" s="16" t="s">
        <v>222</v>
      </c>
      <c r="Z432" s="16">
        <v>1075</v>
      </c>
      <c r="AA432" s="16">
        <f t="shared" si="166"/>
        <v>400</v>
      </c>
      <c r="AB432" s="48">
        <f t="shared" si="167"/>
        <v>0.82189116447904176</v>
      </c>
      <c r="AC432" s="48">
        <f t="shared" si="157"/>
        <v>250</v>
      </c>
      <c r="AD432" s="48">
        <v>1000</v>
      </c>
      <c r="AE432" s="48">
        <f t="shared" si="158"/>
        <v>930.23255813953483</v>
      </c>
      <c r="AF432" s="48">
        <f t="shared" si="159"/>
        <v>750</v>
      </c>
      <c r="AG432" s="66">
        <v>1</v>
      </c>
      <c r="AH432" s="66">
        <v>3</v>
      </c>
      <c r="AI432" s="66">
        <f t="shared" si="160"/>
        <v>0.75</v>
      </c>
      <c r="AJ432" s="48">
        <f t="shared" si="161"/>
        <v>262.48750000000001</v>
      </c>
      <c r="AK432" s="48">
        <f t="shared" si="162"/>
        <v>203.47868217054267</v>
      </c>
      <c r="AL432" s="48">
        <f t="shared" si="163"/>
        <v>12.487500000000001</v>
      </c>
      <c r="AM432" s="66">
        <v>4.9950000000000001E-2</v>
      </c>
      <c r="AN432" s="66">
        <f t="shared" si="164"/>
        <v>4.7573693985427878E-2</v>
      </c>
      <c r="AO432" s="66">
        <v>0</v>
      </c>
      <c r="AP432" s="66">
        <v>4.9950000000000001E-2</v>
      </c>
      <c r="AQ432" s="66">
        <f t="shared" si="165"/>
        <v>4.7573693985427878E-2</v>
      </c>
      <c r="AR432" s="37" t="s">
        <v>209</v>
      </c>
    </row>
    <row r="433" spans="1:44" s="22" customFormat="1" ht="15" customHeight="1" x14ac:dyDescent="0.25">
      <c r="A433" s="21">
        <v>432</v>
      </c>
      <c r="B433" s="21">
        <v>2011</v>
      </c>
      <c r="C433" s="37" t="s">
        <v>208</v>
      </c>
      <c r="D433" s="21">
        <v>6</v>
      </c>
      <c r="E433" s="16">
        <v>20</v>
      </c>
      <c r="F433" s="42">
        <v>1.5</v>
      </c>
      <c r="G433" s="65">
        <v>54.5</v>
      </c>
      <c r="H433" s="65">
        <v>9</v>
      </c>
      <c r="I433" s="16">
        <v>98</v>
      </c>
      <c r="J433" s="81">
        <v>0.24049999999999999</v>
      </c>
      <c r="K433" s="37" t="s">
        <v>298</v>
      </c>
      <c r="L433" s="37" t="s">
        <v>36</v>
      </c>
      <c r="M433" s="37" t="s">
        <v>289</v>
      </c>
      <c r="N433" s="37">
        <v>25</v>
      </c>
      <c r="O433" s="37">
        <v>180</v>
      </c>
      <c r="P433" s="88"/>
      <c r="Q433" s="90">
        <v>21</v>
      </c>
      <c r="R433" s="82"/>
      <c r="S433" s="82">
        <v>3.7454869330752171E-5</v>
      </c>
      <c r="T433" s="82">
        <v>620000000</v>
      </c>
      <c r="U433" s="78">
        <v>3183</v>
      </c>
      <c r="V433" s="82">
        <v>1.7919999999999998E-2</v>
      </c>
      <c r="W433" s="82">
        <v>8.3040000000000003E-2</v>
      </c>
      <c r="X433" s="82">
        <v>0.14899999999999999</v>
      </c>
      <c r="Y433" s="16" t="s">
        <v>222</v>
      </c>
      <c r="Z433" s="16">
        <v>1075</v>
      </c>
      <c r="AA433" s="16">
        <f t="shared" si="166"/>
        <v>400</v>
      </c>
      <c r="AB433" s="48">
        <f t="shared" si="167"/>
        <v>0.82189116447904176</v>
      </c>
      <c r="AC433" s="48">
        <f t="shared" si="157"/>
        <v>250</v>
      </c>
      <c r="AD433" s="48">
        <v>1000</v>
      </c>
      <c r="AE433" s="48">
        <f t="shared" si="158"/>
        <v>930.23255813953483</v>
      </c>
      <c r="AF433" s="48">
        <f t="shared" si="159"/>
        <v>750</v>
      </c>
      <c r="AG433" s="66">
        <v>1</v>
      </c>
      <c r="AH433" s="66">
        <v>3</v>
      </c>
      <c r="AI433" s="66">
        <f t="shared" si="160"/>
        <v>0.75</v>
      </c>
      <c r="AJ433" s="48">
        <f t="shared" si="161"/>
        <v>261.58</v>
      </c>
      <c r="AK433" s="48">
        <f t="shared" si="162"/>
        <v>202.77519379844961</v>
      </c>
      <c r="AL433" s="48">
        <f t="shared" si="163"/>
        <v>11.58</v>
      </c>
      <c r="AM433" s="66">
        <v>4.632E-2</v>
      </c>
      <c r="AN433" s="66">
        <f t="shared" si="164"/>
        <v>4.4269439559599361E-2</v>
      </c>
      <c r="AO433" s="66">
        <v>0</v>
      </c>
      <c r="AP433" s="66">
        <v>4.632E-2</v>
      </c>
      <c r="AQ433" s="66">
        <f t="shared" si="165"/>
        <v>4.4269439559599361E-2</v>
      </c>
      <c r="AR433" s="37" t="s">
        <v>209</v>
      </c>
    </row>
    <row r="434" spans="1:44" s="22" customFormat="1" ht="15" customHeight="1" x14ac:dyDescent="0.25">
      <c r="A434" s="21">
        <v>433</v>
      </c>
      <c r="B434" s="21">
        <v>2011</v>
      </c>
      <c r="C434" s="37" t="s">
        <v>208</v>
      </c>
      <c r="D434" s="21">
        <v>7</v>
      </c>
      <c r="E434" s="16">
        <v>20</v>
      </c>
      <c r="F434" s="42">
        <v>1.5</v>
      </c>
      <c r="G434" s="65">
        <v>54.5</v>
      </c>
      <c r="H434" s="65">
        <v>9</v>
      </c>
      <c r="I434" s="16">
        <v>80</v>
      </c>
      <c r="J434" s="81">
        <v>0.1862</v>
      </c>
      <c r="K434" s="37" t="s">
        <v>298</v>
      </c>
      <c r="L434" s="37" t="s">
        <v>36</v>
      </c>
      <c r="M434" s="37" t="s">
        <v>289</v>
      </c>
      <c r="N434" s="37">
        <v>25</v>
      </c>
      <c r="O434" s="37">
        <v>180</v>
      </c>
      <c r="P434" s="88"/>
      <c r="Q434" s="90">
        <v>17</v>
      </c>
      <c r="R434" s="82"/>
      <c r="S434" s="82">
        <v>3.7454869330752171E-5</v>
      </c>
      <c r="T434" s="82">
        <v>620000000</v>
      </c>
      <c r="U434" s="78">
        <v>3183</v>
      </c>
      <c r="V434" s="82">
        <v>1.7919999999999998E-2</v>
      </c>
      <c r="W434" s="82">
        <v>8.3040000000000003E-2</v>
      </c>
      <c r="X434" s="82">
        <v>0.14899999999999999</v>
      </c>
      <c r="Y434" s="16" t="s">
        <v>222</v>
      </c>
      <c r="Z434" s="16">
        <v>1075</v>
      </c>
      <c r="AA434" s="16">
        <f t="shared" si="166"/>
        <v>400</v>
      </c>
      <c r="AB434" s="48">
        <f t="shared" si="167"/>
        <v>0.82189116447904176</v>
      </c>
      <c r="AC434" s="48">
        <f t="shared" si="157"/>
        <v>250</v>
      </c>
      <c r="AD434" s="48">
        <v>1000</v>
      </c>
      <c r="AE434" s="48">
        <f t="shared" si="158"/>
        <v>930.23255813953483</v>
      </c>
      <c r="AF434" s="48">
        <f t="shared" si="159"/>
        <v>750</v>
      </c>
      <c r="AG434" s="66">
        <v>1</v>
      </c>
      <c r="AH434" s="66">
        <v>3</v>
      </c>
      <c r="AI434" s="66">
        <f t="shared" si="160"/>
        <v>0.75</v>
      </c>
      <c r="AJ434" s="48">
        <f t="shared" si="161"/>
        <v>264.3</v>
      </c>
      <c r="AK434" s="48">
        <f t="shared" si="162"/>
        <v>204.88372093023258</v>
      </c>
      <c r="AL434" s="48">
        <f t="shared" si="163"/>
        <v>14.3</v>
      </c>
      <c r="AM434" s="66">
        <v>5.7200000000000001E-2</v>
      </c>
      <c r="AN434" s="66">
        <f t="shared" si="164"/>
        <v>5.4105183503594403E-2</v>
      </c>
      <c r="AO434" s="66">
        <v>0</v>
      </c>
      <c r="AP434" s="66">
        <v>5.7200000000000001E-2</v>
      </c>
      <c r="AQ434" s="66">
        <f t="shared" si="165"/>
        <v>5.4105183503594403E-2</v>
      </c>
      <c r="AR434" s="37" t="s">
        <v>209</v>
      </c>
    </row>
    <row r="435" spans="1:44" s="20" customFormat="1" ht="15" customHeight="1" x14ac:dyDescent="0.25">
      <c r="A435" s="18">
        <v>434</v>
      </c>
      <c r="B435" s="18">
        <v>2011</v>
      </c>
      <c r="C435" s="39" t="s">
        <v>208</v>
      </c>
      <c r="D435" s="18">
        <v>8</v>
      </c>
      <c r="E435" s="19">
        <v>19</v>
      </c>
      <c r="F435" s="43">
        <v>1.5</v>
      </c>
      <c r="G435" s="69">
        <v>54.5</v>
      </c>
      <c r="H435" s="69">
        <v>9</v>
      </c>
      <c r="I435" s="19">
        <v>56</v>
      </c>
      <c r="J435" s="51">
        <v>0.1862</v>
      </c>
      <c r="K435" s="39" t="s">
        <v>298</v>
      </c>
      <c r="L435" s="39" t="s">
        <v>36</v>
      </c>
      <c r="M435" s="39" t="s">
        <v>289</v>
      </c>
      <c r="N435" s="39">
        <v>25</v>
      </c>
      <c r="O435" s="39">
        <v>180</v>
      </c>
      <c r="P435" s="89"/>
      <c r="Q435" s="91">
        <v>17</v>
      </c>
      <c r="R435" s="9"/>
      <c r="S435" s="9">
        <v>3.7454869330752171E-5</v>
      </c>
      <c r="T435" s="9">
        <v>620000000</v>
      </c>
      <c r="U435" s="8">
        <v>3183</v>
      </c>
      <c r="V435" s="9">
        <v>1.7919999999999998E-2</v>
      </c>
      <c r="W435" s="9">
        <v>8.3040000000000003E-2</v>
      </c>
      <c r="X435" s="9">
        <v>0.14899999999999999</v>
      </c>
      <c r="Y435" s="19" t="s">
        <v>222</v>
      </c>
      <c r="Z435" s="19">
        <v>1075</v>
      </c>
      <c r="AA435" s="19">
        <f t="shared" si="166"/>
        <v>400</v>
      </c>
      <c r="AB435" s="50">
        <f t="shared" si="167"/>
        <v>0.82189116447904176</v>
      </c>
      <c r="AC435" s="50">
        <f t="shared" si="157"/>
        <v>250</v>
      </c>
      <c r="AD435" s="50">
        <v>1000</v>
      </c>
      <c r="AE435" s="50">
        <f t="shared" si="158"/>
        <v>930.23255813953483</v>
      </c>
      <c r="AF435" s="50">
        <f t="shared" si="159"/>
        <v>750</v>
      </c>
      <c r="AG435" s="70">
        <v>1</v>
      </c>
      <c r="AH435" s="70">
        <v>3</v>
      </c>
      <c r="AI435" s="70">
        <f t="shared" si="160"/>
        <v>0.75</v>
      </c>
      <c r="AJ435" s="50">
        <f t="shared" si="161"/>
        <v>260.67500000000001</v>
      </c>
      <c r="AK435" s="50">
        <f t="shared" si="162"/>
        <v>202.0736434108527</v>
      </c>
      <c r="AL435" s="50">
        <f t="shared" si="163"/>
        <v>10.675000000000001</v>
      </c>
      <c r="AM435" s="70">
        <v>4.2700000000000002E-2</v>
      </c>
      <c r="AN435" s="70">
        <f t="shared" si="164"/>
        <v>4.0951376234775107E-2</v>
      </c>
      <c r="AO435" s="70">
        <v>0</v>
      </c>
      <c r="AP435" s="70">
        <v>4.2700000000000002E-2</v>
      </c>
      <c r="AQ435" s="70">
        <f t="shared" si="165"/>
        <v>4.0951376234775107E-2</v>
      </c>
      <c r="AR435" s="39" t="s">
        <v>209</v>
      </c>
    </row>
    <row r="436" spans="1:44" ht="15" customHeight="1" x14ac:dyDescent="0.25">
      <c r="A436" s="76">
        <v>435</v>
      </c>
      <c r="B436" s="76">
        <v>2011</v>
      </c>
      <c r="C436" s="77" t="s">
        <v>223</v>
      </c>
      <c r="D436" s="76">
        <v>1</v>
      </c>
      <c r="E436" s="78">
        <v>57</v>
      </c>
      <c r="F436" s="74">
        <v>0.25</v>
      </c>
      <c r="G436" s="75">
        <v>50</v>
      </c>
      <c r="H436" s="75">
        <v>32</v>
      </c>
      <c r="I436" s="78">
        <v>56</v>
      </c>
      <c r="J436" s="81">
        <v>5.1400000000000001E-2</v>
      </c>
      <c r="K436" s="77" t="s">
        <v>306</v>
      </c>
      <c r="L436" s="77" t="s">
        <v>36</v>
      </c>
      <c r="M436" s="77" t="s">
        <v>289</v>
      </c>
      <c r="N436" s="77">
        <v>25</v>
      </c>
      <c r="O436" s="77">
        <v>180</v>
      </c>
      <c r="P436" s="78"/>
      <c r="Q436" s="81">
        <v>34</v>
      </c>
      <c r="R436" s="82"/>
      <c r="S436" s="82">
        <v>1.5282966845293856E-4</v>
      </c>
      <c r="T436" s="82">
        <v>840000000</v>
      </c>
      <c r="U436" s="78">
        <v>2783</v>
      </c>
      <c r="V436" s="82">
        <v>1.7919999999999998E-2</v>
      </c>
      <c r="W436" s="82">
        <v>2.3040000000000001E-2</v>
      </c>
      <c r="X436" s="82">
        <v>0.14899999999999999</v>
      </c>
      <c r="Y436" s="78">
        <v>29.6</v>
      </c>
      <c r="Z436" s="78">
        <v>1075</v>
      </c>
      <c r="AA436" s="78">
        <f t="shared" si="166"/>
        <v>200</v>
      </c>
      <c r="AB436" s="81">
        <f t="shared" si="167"/>
        <v>0.82189116447904176</v>
      </c>
      <c r="AC436" s="81">
        <f t="shared" si="157"/>
        <v>118.05000000000001</v>
      </c>
      <c r="AD436" s="81">
        <v>500</v>
      </c>
      <c r="AE436" s="81">
        <f t="shared" si="158"/>
        <v>465.11627906976742</v>
      </c>
      <c r="AF436" s="81">
        <f t="shared" si="159"/>
        <v>381.95</v>
      </c>
      <c r="AG436" s="83">
        <v>1</v>
      </c>
      <c r="AH436" s="83">
        <f t="shared" ref="AH436:AH447" si="168">0.7639/0.2361</f>
        <v>3.2354934349851758</v>
      </c>
      <c r="AI436" s="83">
        <f t="shared" si="160"/>
        <v>0.76390000000000002</v>
      </c>
      <c r="AJ436" s="81">
        <f t="shared" si="161"/>
        <v>133.0568155</v>
      </c>
      <c r="AK436" s="81">
        <f t="shared" si="162"/>
        <v>103.14481821705427</v>
      </c>
      <c r="AL436" s="81">
        <f t="shared" si="163"/>
        <v>15.0068155</v>
      </c>
      <c r="AM436" s="83">
        <v>0</v>
      </c>
      <c r="AN436" s="83">
        <f t="shared" si="164"/>
        <v>0</v>
      </c>
      <c r="AO436" s="83">
        <v>3.9289999999999999E-2</v>
      </c>
      <c r="AP436" s="83">
        <f t="shared" ref="AP436:AP447" si="169">AO436*AH436</f>
        <v>0.12712253706056756</v>
      </c>
      <c r="AQ436" s="83">
        <f t="shared" si="165"/>
        <v>0.11278501926870481</v>
      </c>
      <c r="AR436" s="77" t="s">
        <v>224</v>
      </c>
    </row>
    <row r="437" spans="1:44" ht="15" customHeight="1" x14ac:dyDescent="0.25">
      <c r="A437" s="76">
        <v>436</v>
      </c>
      <c r="B437" s="76">
        <v>2011</v>
      </c>
      <c r="C437" s="77" t="s">
        <v>223</v>
      </c>
      <c r="D437" s="76">
        <v>2</v>
      </c>
      <c r="E437" s="78">
        <v>34</v>
      </c>
      <c r="F437" s="74">
        <v>0.25</v>
      </c>
      <c r="G437" s="75">
        <v>60</v>
      </c>
      <c r="H437" s="75">
        <v>20</v>
      </c>
      <c r="I437" s="78">
        <v>33</v>
      </c>
      <c r="J437" s="81">
        <v>1.1900000000000001E-2</v>
      </c>
      <c r="K437" s="77" t="s">
        <v>306</v>
      </c>
      <c r="L437" s="77" t="s">
        <v>36</v>
      </c>
      <c r="M437" s="77" t="s">
        <v>289</v>
      </c>
      <c r="N437" s="77">
        <v>25</v>
      </c>
      <c r="O437" s="77">
        <v>180</v>
      </c>
      <c r="P437" s="78"/>
      <c r="Q437" s="81">
        <v>26</v>
      </c>
      <c r="R437" s="82"/>
      <c r="S437" s="82">
        <v>1.97910207839741E-4</v>
      </c>
      <c r="T437" s="82">
        <v>840000000</v>
      </c>
      <c r="U437" s="78">
        <v>2783</v>
      </c>
      <c r="V437" s="82">
        <v>1.7919999999999998E-2</v>
      </c>
      <c r="W437" s="82">
        <v>2.3040000000000001E-2</v>
      </c>
      <c r="X437" s="82">
        <v>0.14899999999999999</v>
      </c>
      <c r="Y437" s="7">
        <v>29.6</v>
      </c>
      <c r="Z437" s="78">
        <v>1075</v>
      </c>
      <c r="AA437" s="78">
        <f t="shared" si="166"/>
        <v>200</v>
      </c>
      <c r="AB437" s="81">
        <f t="shared" si="167"/>
        <v>0.82189116447904176</v>
      </c>
      <c r="AC437" s="81">
        <f t="shared" si="157"/>
        <v>118.05000000000001</v>
      </c>
      <c r="AD437" s="81">
        <v>500</v>
      </c>
      <c r="AE437" s="81">
        <f t="shared" si="158"/>
        <v>465.11627906976742</v>
      </c>
      <c r="AF437" s="81">
        <f t="shared" si="159"/>
        <v>381.95</v>
      </c>
      <c r="AG437" s="83">
        <v>1</v>
      </c>
      <c r="AH437" s="83">
        <f t="shared" si="168"/>
        <v>3.2354934349851758</v>
      </c>
      <c r="AI437" s="83">
        <f t="shared" si="160"/>
        <v>0.76390000000000002</v>
      </c>
      <c r="AJ437" s="81">
        <f t="shared" si="161"/>
        <v>126.20463250000002</v>
      </c>
      <c r="AK437" s="81">
        <f t="shared" si="162"/>
        <v>97.83304844961242</v>
      </c>
      <c r="AL437" s="81">
        <f t="shared" si="163"/>
        <v>8.1546325000000017</v>
      </c>
      <c r="AM437" s="83">
        <v>0</v>
      </c>
      <c r="AN437" s="83">
        <f t="shared" si="164"/>
        <v>0</v>
      </c>
      <c r="AO437" s="83">
        <v>2.1350000000000001E-2</v>
      </c>
      <c r="AP437" s="83">
        <f t="shared" si="169"/>
        <v>6.9077784836933512E-2</v>
      </c>
      <c r="AQ437" s="83">
        <f t="shared" si="165"/>
        <v>6.4614367463888461E-2</v>
      </c>
      <c r="AR437" s="77" t="s">
        <v>224</v>
      </c>
    </row>
    <row r="438" spans="1:44" ht="15" customHeight="1" x14ac:dyDescent="0.25">
      <c r="A438" s="76">
        <v>437</v>
      </c>
      <c r="B438" s="76">
        <v>2011</v>
      </c>
      <c r="C438" s="77" t="s">
        <v>223</v>
      </c>
      <c r="D438" s="76">
        <v>3</v>
      </c>
      <c r="E438" s="78">
        <v>24</v>
      </c>
      <c r="F438" s="74">
        <v>0.25</v>
      </c>
      <c r="G438" s="75">
        <v>70</v>
      </c>
      <c r="H438" s="75">
        <v>10</v>
      </c>
      <c r="I438" s="78">
        <v>23</v>
      </c>
      <c r="J438" s="81">
        <v>7.0000000000000001E-3</v>
      </c>
      <c r="K438" s="77" t="s">
        <v>306</v>
      </c>
      <c r="L438" s="77" t="s">
        <v>36</v>
      </c>
      <c r="M438" s="77" t="s">
        <v>289</v>
      </c>
      <c r="N438" s="77">
        <v>25</v>
      </c>
      <c r="O438" s="77">
        <v>180</v>
      </c>
      <c r="P438" s="78"/>
      <c r="Q438" s="81">
        <v>22</v>
      </c>
      <c r="R438" s="82"/>
      <c r="S438" s="82">
        <v>2.5245615744898904E-4</v>
      </c>
      <c r="T438" s="82">
        <v>840000000</v>
      </c>
      <c r="U438" s="78">
        <v>2783</v>
      </c>
      <c r="V438" s="82">
        <v>1.7919999999999998E-2</v>
      </c>
      <c r="W438" s="82">
        <v>2.3040000000000001E-2</v>
      </c>
      <c r="X438" s="82">
        <v>0.14899999999999999</v>
      </c>
      <c r="Y438" s="7">
        <v>29.6</v>
      </c>
      <c r="Z438" s="78">
        <v>1075</v>
      </c>
      <c r="AA438" s="78">
        <f t="shared" si="166"/>
        <v>200</v>
      </c>
      <c r="AB438" s="81">
        <f t="shared" si="167"/>
        <v>0.82189116447904176</v>
      </c>
      <c r="AC438" s="81">
        <f t="shared" si="157"/>
        <v>118.05000000000001</v>
      </c>
      <c r="AD438" s="81">
        <v>500</v>
      </c>
      <c r="AE438" s="81">
        <f t="shared" si="158"/>
        <v>465.11627906976742</v>
      </c>
      <c r="AF438" s="81">
        <f t="shared" si="159"/>
        <v>381.95</v>
      </c>
      <c r="AG438" s="83">
        <v>1</v>
      </c>
      <c r="AH438" s="83">
        <f t="shared" si="168"/>
        <v>3.2354934349851758</v>
      </c>
      <c r="AI438" s="83">
        <f t="shared" si="160"/>
        <v>0.76390000000000002</v>
      </c>
      <c r="AJ438" s="81">
        <f t="shared" si="161"/>
        <v>123.50806550000001</v>
      </c>
      <c r="AK438" s="81">
        <f t="shared" si="162"/>
        <v>95.742686434108535</v>
      </c>
      <c r="AL438" s="81">
        <f t="shared" si="163"/>
        <v>5.4580655000000009</v>
      </c>
      <c r="AM438" s="83">
        <v>0</v>
      </c>
      <c r="AN438" s="83">
        <f t="shared" si="164"/>
        <v>0</v>
      </c>
      <c r="AO438" s="83">
        <v>1.4290000000000001E-2</v>
      </c>
      <c r="AP438" s="83">
        <f t="shared" si="169"/>
        <v>4.6235201185938164E-2</v>
      </c>
      <c r="AQ438" s="83">
        <f t="shared" si="165"/>
        <v>4.4191976272189286E-2</v>
      </c>
      <c r="AR438" s="77" t="s">
        <v>224</v>
      </c>
    </row>
    <row r="439" spans="1:44" ht="15" customHeight="1" x14ac:dyDescent="0.25">
      <c r="A439" s="76">
        <v>438</v>
      </c>
      <c r="B439" s="76">
        <v>2011</v>
      </c>
      <c r="C439" s="77" t="s">
        <v>223</v>
      </c>
      <c r="D439" s="76">
        <v>4</v>
      </c>
      <c r="E439" s="78">
        <v>47</v>
      </c>
      <c r="F439" s="74">
        <v>0.5</v>
      </c>
      <c r="G439" s="75">
        <v>50</v>
      </c>
      <c r="H439" s="75">
        <v>32</v>
      </c>
      <c r="I439" s="78">
        <v>46</v>
      </c>
      <c r="J439" s="81">
        <v>5.1299999999999998E-2</v>
      </c>
      <c r="K439" s="77" t="s">
        <v>306</v>
      </c>
      <c r="L439" s="77" t="s">
        <v>36</v>
      </c>
      <c r="M439" s="77" t="s">
        <v>289</v>
      </c>
      <c r="N439" s="77">
        <v>25</v>
      </c>
      <c r="O439" s="77">
        <v>180</v>
      </c>
      <c r="P439" s="78"/>
      <c r="Q439" s="81">
        <v>38</v>
      </c>
      <c r="R439" s="82"/>
      <c r="S439" s="82">
        <v>1.5282966845293856E-4</v>
      </c>
      <c r="T439" s="82">
        <v>840000000</v>
      </c>
      <c r="U439" s="78">
        <v>2783</v>
      </c>
      <c r="V439" s="82">
        <v>1.7919999999999998E-2</v>
      </c>
      <c r="W439" s="82">
        <v>2.3040000000000001E-2</v>
      </c>
      <c r="X439" s="82">
        <v>0.14899999999999999</v>
      </c>
      <c r="Y439" s="7">
        <v>29.6</v>
      </c>
      <c r="Z439" s="78">
        <v>1075</v>
      </c>
      <c r="AA439" s="78">
        <f t="shared" si="166"/>
        <v>200</v>
      </c>
      <c r="AB439" s="81">
        <f t="shared" si="167"/>
        <v>0.82189116447904176</v>
      </c>
      <c r="AC439" s="81">
        <f t="shared" si="157"/>
        <v>118.05000000000001</v>
      </c>
      <c r="AD439" s="81">
        <v>500</v>
      </c>
      <c r="AE439" s="81">
        <f t="shared" si="158"/>
        <v>465.11627906976742</v>
      </c>
      <c r="AF439" s="81">
        <f t="shared" si="159"/>
        <v>381.95</v>
      </c>
      <c r="AG439" s="83">
        <v>1</v>
      </c>
      <c r="AH439" s="83">
        <f t="shared" si="168"/>
        <v>3.2354934349851758</v>
      </c>
      <c r="AI439" s="83">
        <f t="shared" si="160"/>
        <v>0.76390000000000002</v>
      </c>
      <c r="AJ439" s="81">
        <f t="shared" si="161"/>
        <v>135.62733900000001</v>
      </c>
      <c r="AK439" s="81">
        <f t="shared" si="162"/>
        <v>105.13747209302326</v>
      </c>
      <c r="AL439" s="81">
        <f t="shared" si="163"/>
        <v>17.577338999999998</v>
      </c>
      <c r="AM439" s="83">
        <v>0</v>
      </c>
      <c r="AN439" s="83">
        <f t="shared" si="164"/>
        <v>0</v>
      </c>
      <c r="AO439" s="83">
        <v>4.6019999999999998E-2</v>
      </c>
      <c r="AP439" s="83">
        <f t="shared" si="169"/>
        <v>0.14889740787801778</v>
      </c>
      <c r="AQ439" s="83">
        <f t="shared" si="165"/>
        <v>0.12960026444225967</v>
      </c>
      <c r="AR439" s="77" t="s">
        <v>224</v>
      </c>
    </row>
    <row r="440" spans="1:44" ht="15" customHeight="1" x14ac:dyDescent="0.25">
      <c r="A440" s="76">
        <v>439</v>
      </c>
      <c r="B440" s="76">
        <v>2011</v>
      </c>
      <c r="C440" s="77" t="s">
        <v>223</v>
      </c>
      <c r="D440" s="76">
        <v>5</v>
      </c>
      <c r="E440" s="78">
        <v>27</v>
      </c>
      <c r="F440" s="74">
        <v>0.5</v>
      </c>
      <c r="G440" s="75">
        <v>60</v>
      </c>
      <c r="H440" s="75">
        <v>20</v>
      </c>
      <c r="I440" s="78">
        <v>26</v>
      </c>
      <c r="J440" s="81">
        <v>1.1599999999999999E-2</v>
      </c>
      <c r="K440" s="77" t="s">
        <v>306</v>
      </c>
      <c r="L440" s="77" t="s">
        <v>36</v>
      </c>
      <c r="M440" s="77" t="s">
        <v>289</v>
      </c>
      <c r="N440" s="77">
        <v>25</v>
      </c>
      <c r="O440" s="77">
        <v>180</v>
      </c>
      <c r="P440" s="78"/>
      <c r="Q440" s="81">
        <v>32</v>
      </c>
      <c r="R440" s="82"/>
      <c r="S440" s="82">
        <v>1.97910207839741E-4</v>
      </c>
      <c r="T440" s="82">
        <v>840000000</v>
      </c>
      <c r="U440" s="78">
        <v>2783</v>
      </c>
      <c r="V440" s="82">
        <v>1.7919999999999998E-2</v>
      </c>
      <c r="W440" s="82">
        <v>2.3040000000000001E-2</v>
      </c>
      <c r="X440" s="82">
        <v>0.14899999999999999</v>
      </c>
      <c r="Y440" s="7">
        <v>29.6</v>
      </c>
      <c r="Z440" s="78">
        <v>1075</v>
      </c>
      <c r="AA440" s="78">
        <f t="shared" si="166"/>
        <v>200</v>
      </c>
      <c r="AB440" s="81">
        <f t="shared" si="167"/>
        <v>0.82189116447904176</v>
      </c>
      <c r="AC440" s="81">
        <f t="shared" si="157"/>
        <v>118.05000000000001</v>
      </c>
      <c r="AD440" s="81">
        <v>500</v>
      </c>
      <c r="AE440" s="81">
        <f t="shared" si="158"/>
        <v>465.11627906976742</v>
      </c>
      <c r="AF440" s="81">
        <f t="shared" si="159"/>
        <v>381.95</v>
      </c>
      <c r="AG440" s="83">
        <v>1</v>
      </c>
      <c r="AH440" s="83">
        <f t="shared" si="168"/>
        <v>3.2354934349851758</v>
      </c>
      <c r="AI440" s="83">
        <f t="shared" si="160"/>
        <v>0.76390000000000002</v>
      </c>
      <c r="AJ440" s="81">
        <f t="shared" si="161"/>
        <v>134.21030450000001</v>
      </c>
      <c r="AK440" s="81">
        <f t="shared" si="162"/>
        <v>104.03899573643412</v>
      </c>
      <c r="AL440" s="81">
        <f t="shared" si="163"/>
        <v>16.160304500000002</v>
      </c>
      <c r="AM440" s="83">
        <v>0</v>
      </c>
      <c r="AN440" s="83">
        <f t="shared" si="164"/>
        <v>0</v>
      </c>
      <c r="AO440" s="83">
        <v>4.231E-2</v>
      </c>
      <c r="AP440" s="83">
        <f t="shared" si="169"/>
        <v>0.1368937272342228</v>
      </c>
      <c r="AQ440" s="83">
        <f t="shared" si="165"/>
        <v>0.12041031096833553</v>
      </c>
      <c r="AR440" s="77" t="s">
        <v>224</v>
      </c>
    </row>
    <row r="441" spans="1:44" ht="15" customHeight="1" x14ac:dyDescent="0.25">
      <c r="A441" s="76">
        <v>440</v>
      </c>
      <c r="B441" s="76">
        <v>2011</v>
      </c>
      <c r="C441" s="77" t="s">
        <v>223</v>
      </c>
      <c r="D441" s="76">
        <v>6</v>
      </c>
      <c r="E441" s="78">
        <v>18</v>
      </c>
      <c r="F441" s="74">
        <v>0.5</v>
      </c>
      <c r="G441" s="75">
        <v>70</v>
      </c>
      <c r="H441" s="75">
        <v>10</v>
      </c>
      <c r="I441" s="78">
        <v>17</v>
      </c>
      <c r="J441" s="81">
        <v>4.0000000000000001E-3</v>
      </c>
      <c r="K441" s="77" t="s">
        <v>306</v>
      </c>
      <c r="L441" s="77" t="s">
        <v>36</v>
      </c>
      <c r="M441" s="77" t="s">
        <v>289</v>
      </c>
      <c r="N441" s="77">
        <v>25</v>
      </c>
      <c r="O441" s="77">
        <v>180</v>
      </c>
      <c r="P441" s="78"/>
      <c r="Q441" s="81">
        <v>23</v>
      </c>
      <c r="R441" s="82"/>
      <c r="S441" s="82">
        <v>2.5245615744898904E-4</v>
      </c>
      <c r="T441" s="82">
        <v>840000000</v>
      </c>
      <c r="U441" s="78">
        <v>2783</v>
      </c>
      <c r="V441" s="82">
        <v>1.7919999999999998E-2</v>
      </c>
      <c r="W441" s="82">
        <v>2.3040000000000001E-2</v>
      </c>
      <c r="X441" s="82">
        <v>0.14899999999999999</v>
      </c>
      <c r="Y441" s="7">
        <v>29.6</v>
      </c>
      <c r="Z441" s="78">
        <v>1075</v>
      </c>
      <c r="AA441" s="78">
        <f t="shared" si="166"/>
        <v>200</v>
      </c>
      <c r="AB441" s="81">
        <f t="shared" si="167"/>
        <v>0.82189116447904176</v>
      </c>
      <c r="AC441" s="81">
        <f t="shared" si="157"/>
        <v>118.05000000000001</v>
      </c>
      <c r="AD441" s="81">
        <v>500</v>
      </c>
      <c r="AE441" s="81">
        <f t="shared" si="158"/>
        <v>465.11627906976742</v>
      </c>
      <c r="AF441" s="81">
        <f t="shared" si="159"/>
        <v>381.95</v>
      </c>
      <c r="AG441" s="83">
        <v>1</v>
      </c>
      <c r="AH441" s="83">
        <f t="shared" si="168"/>
        <v>3.2354934349851758</v>
      </c>
      <c r="AI441" s="83">
        <f t="shared" si="160"/>
        <v>0.76390000000000002</v>
      </c>
      <c r="AJ441" s="81">
        <f t="shared" si="161"/>
        <v>135.36379350000001</v>
      </c>
      <c r="AK441" s="81">
        <f t="shared" si="162"/>
        <v>104.93317325581395</v>
      </c>
      <c r="AL441" s="81">
        <f t="shared" si="163"/>
        <v>17.313793500000003</v>
      </c>
      <c r="AM441" s="83">
        <v>0</v>
      </c>
      <c r="AN441" s="83">
        <f t="shared" si="164"/>
        <v>0</v>
      </c>
      <c r="AO441" s="83">
        <v>4.5330000000000002E-2</v>
      </c>
      <c r="AP441" s="83">
        <f t="shared" si="169"/>
        <v>0.14666491740787801</v>
      </c>
      <c r="AQ441" s="83">
        <f t="shared" si="165"/>
        <v>0.12790564634995991</v>
      </c>
      <c r="AR441" s="77" t="s">
        <v>224</v>
      </c>
    </row>
    <row r="442" spans="1:44" ht="15" customHeight="1" x14ac:dyDescent="0.25">
      <c r="A442" s="76">
        <v>441</v>
      </c>
      <c r="B442" s="76">
        <v>2011</v>
      </c>
      <c r="C442" s="77" t="s">
        <v>223</v>
      </c>
      <c r="D442" s="76">
        <v>7</v>
      </c>
      <c r="E442" s="78">
        <v>43</v>
      </c>
      <c r="F442" s="74">
        <v>0.75</v>
      </c>
      <c r="G442" s="75">
        <v>50</v>
      </c>
      <c r="H442" s="75">
        <v>32</v>
      </c>
      <c r="I442" s="78">
        <v>42</v>
      </c>
      <c r="J442" s="81">
        <v>3.3700000000000001E-2</v>
      </c>
      <c r="K442" s="77" t="s">
        <v>306</v>
      </c>
      <c r="L442" s="77" t="s">
        <v>36</v>
      </c>
      <c r="M442" s="77" t="s">
        <v>289</v>
      </c>
      <c r="N442" s="77">
        <v>25</v>
      </c>
      <c r="O442" s="77">
        <v>180</v>
      </c>
      <c r="P442" s="78"/>
      <c r="Q442" s="81">
        <v>37</v>
      </c>
      <c r="R442" s="82"/>
      <c r="S442" s="82">
        <v>1.5282966845293856E-4</v>
      </c>
      <c r="T442" s="82">
        <v>840000000</v>
      </c>
      <c r="U442" s="78">
        <v>2783</v>
      </c>
      <c r="V442" s="82">
        <v>1.7919999999999998E-2</v>
      </c>
      <c r="W442" s="82">
        <v>2.3040000000000001E-2</v>
      </c>
      <c r="X442" s="82">
        <v>0.14899999999999999</v>
      </c>
      <c r="Y442" s="7">
        <v>29.6</v>
      </c>
      <c r="Z442" s="78">
        <v>1075</v>
      </c>
      <c r="AA442" s="78">
        <f t="shared" si="166"/>
        <v>200</v>
      </c>
      <c r="AB442" s="81">
        <f t="shared" si="167"/>
        <v>0.82189116447904176</v>
      </c>
      <c r="AC442" s="81">
        <f t="shared" si="157"/>
        <v>118.05000000000001</v>
      </c>
      <c r="AD442" s="81">
        <v>500</v>
      </c>
      <c r="AE442" s="81">
        <f t="shared" si="158"/>
        <v>465.11627906976742</v>
      </c>
      <c r="AF442" s="81">
        <f t="shared" si="159"/>
        <v>381.95</v>
      </c>
      <c r="AG442" s="83">
        <v>1</v>
      </c>
      <c r="AH442" s="83">
        <f t="shared" si="168"/>
        <v>3.2354934349851758</v>
      </c>
      <c r="AI442" s="83">
        <f t="shared" si="160"/>
        <v>0.76390000000000002</v>
      </c>
      <c r="AJ442" s="81">
        <f t="shared" si="161"/>
        <v>136.95652500000003</v>
      </c>
      <c r="AK442" s="81">
        <f t="shared" si="162"/>
        <v>106.16784883720932</v>
      </c>
      <c r="AL442" s="81">
        <f t="shared" si="163"/>
        <v>18.906525000000002</v>
      </c>
      <c r="AM442" s="83">
        <v>0</v>
      </c>
      <c r="AN442" s="83">
        <f t="shared" si="164"/>
        <v>0</v>
      </c>
      <c r="AO442" s="83">
        <v>4.9500000000000002E-2</v>
      </c>
      <c r="AP442" s="83">
        <f t="shared" si="169"/>
        <v>0.16015692503176621</v>
      </c>
      <c r="AQ442" s="83">
        <f t="shared" si="165"/>
        <v>0.13804763957029428</v>
      </c>
      <c r="AR442" s="77" t="s">
        <v>224</v>
      </c>
    </row>
    <row r="443" spans="1:44" ht="15" customHeight="1" x14ac:dyDescent="0.25">
      <c r="A443" s="76">
        <v>442</v>
      </c>
      <c r="B443" s="76">
        <v>2011</v>
      </c>
      <c r="C443" s="77" t="s">
        <v>223</v>
      </c>
      <c r="D443" s="76">
        <v>8</v>
      </c>
      <c r="E443" s="78">
        <v>25</v>
      </c>
      <c r="F443" s="74">
        <v>0.75</v>
      </c>
      <c r="G443" s="75">
        <v>60</v>
      </c>
      <c r="H443" s="75">
        <v>20</v>
      </c>
      <c r="I443" s="78">
        <v>24</v>
      </c>
      <c r="J443" s="81">
        <v>1.95E-2</v>
      </c>
      <c r="K443" s="77" t="s">
        <v>306</v>
      </c>
      <c r="L443" s="77" t="s">
        <v>36</v>
      </c>
      <c r="M443" s="77" t="s">
        <v>289</v>
      </c>
      <c r="N443" s="77">
        <v>25</v>
      </c>
      <c r="O443" s="77">
        <v>180</v>
      </c>
      <c r="P443" s="78"/>
      <c r="Q443" s="81">
        <v>29</v>
      </c>
      <c r="R443" s="82"/>
      <c r="S443" s="82">
        <v>1.97910207839741E-4</v>
      </c>
      <c r="T443" s="82">
        <v>840000000</v>
      </c>
      <c r="U443" s="78">
        <v>2783</v>
      </c>
      <c r="V443" s="82">
        <v>1.7919999999999998E-2</v>
      </c>
      <c r="W443" s="82">
        <v>2.3040000000000001E-2</v>
      </c>
      <c r="X443" s="82">
        <v>0.14899999999999999</v>
      </c>
      <c r="Y443" s="7">
        <v>29.6</v>
      </c>
      <c r="Z443" s="78">
        <v>1075</v>
      </c>
      <c r="AA443" s="78">
        <f t="shared" si="166"/>
        <v>200</v>
      </c>
      <c r="AB443" s="81">
        <f t="shared" si="167"/>
        <v>0.82189116447904176</v>
      </c>
      <c r="AC443" s="81">
        <f t="shared" si="157"/>
        <v>118.05000000000001</v>
      </c>
      <c r="AD443" s="81">
        <v>500</v>
      </c>
      <c r="AE443" s="81">
        <f t="shared" si="158"/>
        <v>465.11627906976742</v>
      </c>
      <c r="AF443" s="81">
        <f t="shared" si="159"/>
        <v>381.95</v>
      </c>
      <c r="AG443" s="83">
        <v>1</v>
      </c>
      <c r="AH443" s="83">
        <f t="shared" si="168"/>
        <v>3.2354934349851758</v>
      </c>
      <c r="AI443" s="83">
        <f t="shared" si="160"/>
        <v>0.76390000000000002</v>
      </c>
      <c r="AJ443" s="81">
        <f t="shared" si="161"/>
        <v>136.551658</v>
      </c>
      <c r="AK443" s="81">
        <f t="shared" si="162"/>
        <v>105.8539984496124</v>
      </c>
      <c r="AL443" s="81">
        <f t="shared" si="163"/>
        <v>18.501657999999999</v>
      </c>
      <c r="AM443" s="83">
        <v>0</v>
      </c>
      <c r="AN443" s="83">
        <f t="shared" si="164"/>
        <v>0</v>
      </c>
      <c r="AO443" s="83">
        <v>4.8439999999999997E-2</v>
      </c>
      <c r="AP443" s="83">
        <f t="shared" si="169"/>
        <v>0.15672730199068191</v>
      </c>
      <c r="AQ443" s="83">
        <f t="shared" si="165"/>
        <v>0.13549200552365318</v>
      </c>
      <c r="AR443" s="77" t="s">
        <v>224</v>
      </c>
    </row>
    <row r="444" spans="1:44" ht="15" customHeight="1" x14ac:dyDescent="0.25">
      <c r="A444" s="76">
        <v>443</v>
      </c>
      <c r="B444" s="76">
        <v>2011</v>
      </c>
      <c r="C444" s="77" t="s">
        <v>223</v>
      </c>
      <c r="D444" s="76">
        <v>9</v>
      </c>
      <c r="E444" s="78">
        <v>17</v>
      </c>
      <c r="F444" s="74">
        <v>0.75</v>
      </c>
      <c r="G444" s="75">
        <v>70</v>
      </c>
      <c r="H444" s="75">
        <v>10</v>
      </c>
      <c r="I444" s="78">
        <v>16</v>
      </c>
      <c r="J444" s="81">
        <v>4.7000000000000002E-3</v>
      </c>
      <c r="K444" s="77" t="s">
        <v>306</v>
      </c>
      <c r="L444" s="77" t="s">
        <v>36</v>
      </c>
      <c r="M444" s="77" t="s">
        <v>289</v>
      </c>
      <c r="N444" s="77">
        <v>25</v>
      </c>
      <c r="O444" s="77">
        <v>180</v>
      </c>
      <c r="P444" s="78"/>
      <c r="Q444" s="81">
        <v>24</v>
      </c>
      <c r="R444" s="82"/>
      <c r="S444" s="82">
        <v>2.5245615744898904E-4</v>
      </c>
      <c r="T444" s="82">
        <v>840000000</v>
      </c>
      <c r="U444" s="78">
        <v>2783</v>
      </c>
      <c r="V444" s="82">
        <v>1.7919999999999998E-2</v>
      </c>
      <c r="W444" s="82">
        <v>2.3040000000000001E-2</v>
      </c>
      <c r="X444" s="82">
        <v>0.14899999999999999</v>
      </c>
      <c r="Y444" s="7">
        <v>29.6</v>
      </c>
      <c r="Z444" s="78">
        <v>1075</v>
      </c>
      <c r="AA444" s="78">
        <f t="shared" si="166"/>
        <v>200</v>
      </c>
      <c r="AB444" s="81">
        <f t="shared" si="167"/>
        <v>0.82189116447904176</v>
      </c>
      <c r="AC444" s="81">
        <f t="shared" si="157"/>
        <v>118.05000000000001</v>
      </c>
      <c r="AD444" s="81">
        <v>500</v>
      </c>
      <c r="AE444" s="81">
        <f t="shared" si="158"/>
        <v>465.11627906976742</v>
      </c>
      <c r="AF444" s="81">
        <f t="shared" si="159"/>
        <v>381.95</v>
      </c>
      <c r="AG444" s="83">
        <v>1</v>
      </c>
      <c r="AH444" s="83">
        <f t="shared" si="168"/>
        <v>3.2354934349851758</v>
      </c>
      <c r="AI444" s="83">
        <f t="shared" si="160"/>
        <v>0.76390000000000002</v>
      </c>
      <c r="AJ444" s="81">
        <f t="shared" si="161"/>
        <v>133.97731500000003</v>
      </c>
      <c r="AK444" s="81">
        <f t="shared" si="162"/>
        <v>103.85838372093026</v>
      </c>
      <c r="AL444" s="81">
        <f t="shared" si="163"/>
        <v>15.927315000000004</v>
      </c>
      <c r="AM444" s="83">
        <v>0</v>
      </c>
      <c r="AN444" s="83">
        <f t="shared" si="164"/>
        <v>0</v>
      </c>
      <c r="AO444" s="83">
        <v>4.1700000000000001E-2</v>
      </c>
      <c r="AP444" s="83">
        <f t="shared" si="169"/>
        <v>0.13492007623888183</v>
      </c>
      <c r="AQ444" s="83">
        <f t="shared" si="165"/>
        <v>0.11888068513688306</v>
      </c>
      <c r="AR444" s="77" t="s">
        <v>224</v>
      </c>
    </row>
    <row r="445" spans="1:44" ht="15" customHeight="1" x14ac:dyDescent="0.25">
      <c r="A445" s="76">
        <v>444</v>
      </c>
      <c r="B445" s="76">
        <v>2011</v>
      </c>
      <c r="C445" s="77" t="s">
        <v>223</v>
      </c>
      <c r="D445" s="76">
        <v>10</v>
      </c>
      <c r="E445" s="78">
        <v>41</v>
      </c>
      <c r="F445" s="74">
        <v>1</v>
      </c>
      <c r="G445" s="75">
        <v>50</v>
      </c>
      <c r="H445" s="75">
        <v>32</v>
      </c>
      <c r="I445" s="78">
        <v>40</v>
      </c>
      <c r="J445" s="81">
        <v>3.7999999999999999E-2</v>
      </c>
      <c r="K445" s="77" t="s">
        <v>306</v>
      </c>
      <c r="L445" s="77" t="s">
        <v>36</v>
      </c>
      <c r="M445" s="77" t="s">
        <v>289</v>
      </c>
      <c r="N445" s="77">
        <v>25</v>
      </c>
      <c r="O445" s="77">
        <v>180</v>
      </c>
      <c r="P445" s="78"/>
      <c r="Q445" s="81">
        <v>39</v>
      </c>
      <c r="R445" s="82"/>
      <c r="S445" s="82">
        <v>1.5282966845293856E-4</v>
      </c>
      <c r="T445" s="82">
        <v>840000000</v>
      </c>
      <c r="U445" s="78">
        <v>2783</v>
      </c>
      <c r="V445" s="82">
        <v>1.7919999999999998E-2</v>
      </c>
      <c r="W445" s="82">
        <v>2.3040000000000001E-2</v>
      </c>
      <c r="X445" s="82">
        <v>0.14899999999999999</v>
      </c>
      <c r="Y445" s="7">
        <v>29.6</v>
      </c>
      <c r="Z445" s="78">
        <v>1075</v>
      </c>
      <c r="AA445" s="78">
        <f t="shared" si="166"/>
        <v>200</v>
      </c>
      <c r="AB445" s="81">
        <f t="shared" si="167"/>
        <v>0.82189116447904176</v>
      </c>
      <c r="AC445" s="81">
        <f t="shared" si="157"/>
        <v>118.05000000000001</v>
      </c>
      <c r="AD445" s="81">
        <v>500</v>
      </c>
      <c r="AE445" s="81">
        <f t="shared" si="158"/>
        <v>465.11627906976742</v>
      </c>
      <c r="AF445" s="81">
        <f t="shared" si="159"/>
        <v>381.95</v>
      </c>
      <c r="AG445" s="83">
        <v>1</v>
      </c>
      <c r="AH445" s="83">
        <f t="shared" si="168"/>
        <v>3.2354934349851758</v>
      </c>
      <c r="AI445" s="83">
        <f t="shared" si="160"/>
        <v>0.76390000000000002</v>
      </c>
      <c r="AJ445" s="81">
        <f t="shared" si="161"/>
        <v>134.24468000000002</v>
      </c>
      <c r="AK445" s="81">
        <f t="shared" si="162"/>
        <v>104.06564341085273</v>
      </c>
      <c r="AL445" s="81">
        <f t="shared" si="163"/>
        <v>16.194680000000002</v>
      </c>
      <c r="AM445" s="83">
        <v>0</v>
      </c>
      <c r="AN445" s="83">
        <f t="shared" si="164"/>
        <v>0</v>
      </c>
      <c r="AO445" s="83">
        <v>4.24E-2</v>
      </c>
      <c r="AP445" s="83">
        <f t="shared" si="169"/>
        <v>0.13718492164337145</v>
      </c>
      <c r="AQ445" s="83">
        <f t="shared" si="165"/>
        <v>0.12063554399325173</v>
      </c>
      <c r="AR445" s="77" t="s">
        <v>224</v>
      </c>
    </row>
    <row r="446" spans="1:44" ht="15" customHeight="1" x14ac:dyDescent="0.25">
      <c r="A446" s="76">
        <v>445</v>
      </c>
      <c r="B446" s="76">
        <v>2011</v>
      </c>
      <c r="C446" s="77" t="s">
        <v>223</v>
      </c>
      <c r="D446" s="76">
        <v>11</v>
      </c>
      <c r="E446" s="78">
        <v>22</v>
      </c>
      <c r="F446" s="74">
        <v>1</v>
      </c>
      <c r="G446" s="75">
        <v>60</v>
      </c>
      <c r="H446" s="75">
        <v>20</v>
      </c>
      <c r="I446" s="78">
        <v>21</v>
      </c>
      <c r="J446" s="81">
        <v>2.29E-2</v>
      </c>
      <c r="K446" s="77" t="s">
        <v>306</v>
      </c>
      <c r="L446" s="77" t="s">
        <v>36</v>
      </c>
      <c r="M446" s="77" t="s">
        <v>289</v>
      </c>
      <c r="N446" s="77">
        <v>25</v>
      </c>
      <c r="O446" s="77">
        <v>180</v>
      </c>
      <c r="P446" s="78"/>
      <c r="Q446" s="81">
        <v>30</v>
      </c>
      <c r="R446" s="82"/>
      <c r="S446" s="82">
        <v>1.97910207839741E-4</v>
      </c>
      <c r="T446" s="82">
        <v>840000000</v>
      </c>
      <c r="U446" s="78">
        <v>2783</v>
      </c>
      <c r="V446" s="82">
        <v>1.7919999999999998E-2</v>
      </c>
      <c r="W446" s="82">
        <v>2.3040000000000001E-2</v>
      </c>
      <c r="X446" s="82">
        <v>0.14899999999999999</v>
      </c>
      <c r="Y446" s="7">
        <v>29.6</v>
      </c>
      <c r="Z446" s="78">
        <v>1075</v>
      </c>
      <c r="AA446" s="78">
        <f t="shared" si="166"/>
        <v>200</v>
      </c>
      <c r="AB446" s="81">
        <f t="shared" si="167"/>
        <v>0.82189116447904176</v>
      </c>
      <c r="AC446" s="81">
        <f t="shared" si="157"/>
        <v>118.05000000000001</v>
      </c>
      <c r="AD446" s="81">
        <v>500</v>
      </c>
      <c r="AE446" s="81">
        <f t="shared" si="158"/>
        <v>465.11627906976742</v>
      </c>
      <c r="AF446" s="81">
        <f t="shared" si="159"/>
        <v>381.95</v>
      </c>
      <c r="AG446" s="83">
        <v>1</v>
      </c>
      <c r="AH446" s="83">
        <f t="shared" si="168"/>
        <v>3.2354934349851758</v>
      </c>
      <c r="AI446" s="83">
        <f t="shared" si="160"/>
        <v>0.76390000000000002</v>
      </c>
      <c r="AJ446" s="81">
        <f t="shared" si="161"/>
        <v>139.28642000000002</v>
      </c>
      <c r="AK446" s="81">
        <f t="shared" si="162"/>
        <v>107.97396899224807</v>
      </c>
      <c r="AL446" s="81">
        <f t="shared" si="163"/>
        <v>21.236420000000003</v>
      </c>
      <c r="AM446" s="83">
        <v>0</v>
      </c>
      <c r="AN446" s="83">
        <f t="shared" si="164"/>
        <v>0</v>
      </c>
      <c r="AO446" s="83">
        <v>5.5599999999999997E-2</v>
      </c>
      <c r="AP446" s="83">
        <f t="shared" si="169"/>
        <v>0.17989343498517577</v>
      </c>
      <c r="AQ446" s="83">
        <f t="shared" si="165"/>
        <v>0.1524658326346531</v>
      </c>
      <c r="AR446" s="77" t="s">
        <v>224</v>
      </c>
    </row>
    <row r="447" spans="1:44" ht="15" customHeight="1" x14ac:dyDescent="0.25">
      <c r="A447" s="76">
        <v>446</v>
      </c>
      <c r="B447" s="76">
        <v>2011</v>
      </c>
      <c r="C447" s="77" t="s">
        <v>223</v>
      </c>
      <c r="D447" s="76">
        <v>12</v>
      </c>
      <c r="E447" s="78">
        <v>16</v>
      </c>
      <c r="F447" s="74">
        <v>1</v>
      </c>
      <c r="G447" s="75">
        <v>70</v>
      </c>
      <c r="H447" s="75">
        <v>10</v>
      </c>
      <c r="I447" s="78">
        <v>15</v>
      </c>
      <c r="J447" s="81">
        <v>4.1000000000000003E-3</v>
      </c>
      <c r="K447" s="77" t="s">
        <v>306</v>
      </c>
      <c r="L447" s="77" t="s">
        <v>36</v>
      </c>
      <c r="M447" s="77" t="s">
        <v>289</v>
      </c>
      <c r="N447" s="77">
        <v>25</v>
      </c>
      <c r="O447" s="77">
        <v>180</v>
      </c>
      <c r="P447" s="78"/>
      <c r="Q447" s="81">
        <v>28</v>
      </c>
      <c r="R447" s="82"/>
      <c r="S447" s="82">
        <v>2.5245615744898904E-4</v>
      </c>
      <c r="T447" s="82">
        <v>840000000</v>
      </c>
      <c r="U447" s="78">
        <v>2783</v>
      </c>
      <c r="V447" s="82">
        <v>1.7919999999999998E-2</v>
      </c>
      <c r="W447" s="82">
        <v>2.3040000000000001E-2</v>
      </c>
      <c r="X447" s="82">
        <v>0.14899999999999999</v>
      </c>
      <c r="Y447" s="78">
        <v>29.6</v>
      </c>
      <c r="Z447" s="78">
        <v>1075</v>
      </c>
      <c r="AA447" s="78">
        <f t="shared" si="166"/>
        <v>200</v>
      </c>
      <c r="AB447" s="81">
        <f t="shared" si="167"/>
        <v>0.82189116447904176</v>
      </c>
      <c r="AC447" s="81">
        <f t="shared" si="157"/>
        <v>118.05000000000001</v>
      </c>
      <c r="AD447" s="81">
        <v>500</v>
      </c>
      <c r="AE447" s="81">
        <f t="shared" si="158"/>
        <v>465.11627906976742</v>
      </c>
      <c r="AF447" s="81">
        <f t="shared" si="159"/>
        <v>381.95</v>
      </c>
      <c r="AG447" s="83">
        <v>1</v>
      </c>
      <c r="AH447" s="83">
        <f t="shared" si="168"/>
        <v>3.2354934349851758</v>
      </c>
      <c r="AI447" s="83">
        <f t="shared" si="160"/>
        <v>0.76390000000000002</v>
      </c>
      <c r="AJ447" s="81">
        <f t="shared" si="161"/>
        <v>132.64049</v>
      </c>
      <c r="AK447" s="81">
        <f t="shared" si="162"/>
        <v>102.82208527131782</v>
      </c>
      <c r="AL447" s="81">
        <f t="shared" si="163"/>
        <v>14.590489999999999</v>
      </c>
      <c r="AM447" s="83">
        <v>0</v>
      </c>
      <c r="AN447" s="83">
        <f t="shared" si="164"/>
        <v>0</v>
      </c>
      <c r="AO447" s="83">
        <v>3.8199999999999998E-2</v>
      </c>
      <c r="AP447" s="83">
        <f t="shared" si="169"/>
        <v>0.12359584921643371</v>
      </c>
      <c r="AQ447" s="83">
        <f t="shared" si="165"/>
        <v>0.11000027216425391</v>
      </c>
      <c r="AR447" s="77" t="s">
        <v>224</v>
      </c>
    </row>
    <row r="448" spans="1:44" s="12" customFormat="1" ht="15" customHeight="1" x14ac:dyDescent="0.25">
      <c r="A448" s="3">
        <v>447</v>
      </c>
      <c r="B448" s="3">
        <v>2012</v>
      </c>
      <c r="C448" s="27" t="s">
        <v>225</v>
      </c>
      <c r="D448" s="3">
        <v>1</v>
      </c>
      <c r="E448" s="11">
        <v>54</v>
      </c>
      <c r="F448" s="30">
        <v>2</v>
      </c>
      <c r="G448" s="58">
        <v>55</v>
      </c>
      <c r="H448" s="58">
        <v>25</v>
      </c>
      <c r="I448" s="11">
        <v>33</v>
      </c>
      <c r="J448" s="47">
        <v>7.6E-3</v>
      </c>
      <c r="K448" s="27" t="s">
        <v>306</v>
      </c>
      <c r="L448" s="27" t="s">
        <v>36</v>
      </c>
      <c r="M448" s="27" t="s">
        <v>289</v>
      </c>
      <c r="N448" s="27">
        <v>20</v>
      </c>
      <c r="O448" s="27">
        <v>60</v>
      </c>
      <c r="P448" s="11"/>
      <c r="Q448" s="47">
        <v>384</v>
      </c>
      <c r="R448" s="4"/>
      <c r="S448" s="4">
        <v>1.1361883403131737E-3</v>
      </c>
      <c r="T448" s="4">
        <v>880000000</v>
      </c>
      <c r="U448" s="11">
        <v>2183</v>
      </c>
      <c r="V448" s="4">
        <v>1.7919999999999998E-2</v>
      </c>
      <c r="W448" s="4">
        <v>2.3040000000000001E-2</v>
      </c>
      <c r="X448" s="4">
        <v>0.14899999999999999</v>
      </c>
      <c r="Y448" s="11">
        <v>29.6</v>
      </c>
      <c r="Z448" s="11">
        <v>1075</v>
      </c>
      <c r="AA448" s="11">
        <f t="shared" si="166"/>
        <v>60</v>
      </c>
      <c r="AB448" s="47">
        <f t="shared" si="167"/>
        <v>0.82189116447904176</v>
      </c>
      <c r="AC448" s="47">
        <f t="shared" si="157"/>
        <v>33</v>
      </c>
      <c r="AD448" s="47">
        <v>150</v>
      </c>
      <c r="AE448" s="47">
        <f t="shared" si="158"/>
        <v>139.53488372093022</v>
      </c>
      <c r="AF448" s="47">
        <f t="shared" si="159"/>
        <v>117</v>
      </c>
      <c r="AG448" s="53">
        <v>1</v>
      </c>
      <c r="AH448" s="53">
        <f t="shared" ref="AH448:AH453" si="170">39/11</f>
        <v>3.5454545454545454</v>
      </c>
      <c r="AI448" s="53">
        <f t="shared" si="160"/>
        <v>0.78</v>
      </c>
      <c r="AJ448" s="47">
        <f t="shared" si="161"/>
        <v>41.25</v>
      </c>
      <c r="AK448" s="47">
        <f t="shared" si="162"/>
        <v>31.976744186046513</v>
      </c>
      <c r="AL448" s="47">
        <f t="shared" si="163"/>
        <v>8.25</v>
      </c>
      <c r="AM448" s="53">
        <v>0</v>
      </c>
      <c r="AN448" s="53">
        <f t="shared" si="164"/>
        <v>0</v>
      </c>
      <c r="AO448" s="53">
        <f t="shared" ref="AO448:AO453" si="171">AP448/AH448</f>
        <v>7.0512820512820512E-2</v>
      </c>
      <c r="AP448" s="53">
        <v>0.25</v>
      </c>
      <c r="AQ448" s="53">
        <f t="shared" si="165"/>
        <v>0.2</v>
      </c>
      <c r="AR448" s="27" t="s">
        <v>226</v>
      </c>
    </row>
    <row r="449" spans="1:44" ht="15" hidden="1" customHeight="1" x14ac:dyDescent="0.25">
      <c r="A449" s="76">
        <v>448</v>
      </c>
      <c r="B449" s="76">
        <v>2012</v>
      </c>
      <c r="C449" s="77" t="s">
        <v>225</v>
      </c>
      <c r="D449" s="76">
        <v>2</v>
      </c>
      <c r="E449" s="78">
        <v>81</v>
      </c>
      <c r="F449" s="79">
        <v>2</v>
      </c>
      <c r="G449" s="75">
        <v>55</v>
      </c>
      <c r="H449" s="75">
        <v>25</v>
      </c>
      <c r="I449" s="78">
        <v>55</v>
      </c>
      <c r="J449" s="81">
        <v>4.5499999999999999E-2</v>
      </c>
      <c r="K449" s="77" t="s">
        <v>306</v>
      </c>
      <c r="L449" s="77" t="s">
        <v>36</v>
      </c>
      <c r="M449" s="77" t="s">
        <v>34</v>
      </c>
      <c r="N449" s="77" t="s">
        <v>34</v>
      </c>
      <c r="O449" s="77" t="s">
        <v>34</v>
      </c>
      <c r="P449" s="78"/>
      <c r="Q449" s="81">
        <v>11</v>
      </c>
      <c r="R449" s="82"/>
      <c r="S449" s="82">
        <v>1.1361883403131737E-3</v>
      </c>
      <c r="T449" s="82">
        <v>880000000</v>
      </c>
      <c r="U449" s="78">
        <v>2183</v>
      </c>
      <c r="V449" s="82">
        <v>1.7919999999999998E-2</v>
      </c>
      <c r="W449" s="82">
        <v>2.3040000000000001E-2</v>
      </c>
      <c r="X449" s="82">
        <v>0.14899999999999999</v>
      </c>
      <c r="Y449" s="78">
        <v>29.6</v>
      </c>
      <c r="Z449" s="78">
        <v>1075</v>
      </c>
      <c r="AA449" s="78">
        <f t="shared" si="166"/>
        <v>60</v>
      </c>
      <c r="AB449" s="81">
        <f t="shared" si="167"/>
        <v>0.82189116447904176</v>
      </c>
      <c r="AC449" s="81">
        <f t="shared" si="157"/>
        <v>33</v>
      </c>
      <c r="AD449" s="81">
        <v>150</v>
      </c>
      <c r="AE449" s="81">
        <f t="shared" si="158"/>
        <v>139.53488372093022</v>
      </c>
      <c r="AF449" s="81">
        <f t="shared" si="159"/>
        <v>117</v>
      </c>
      <c r="AG449" s="83">
        <v>1</v>
      </c>
      <c r="AH449" s="83">
        <f t="shared" si="170"/>
        <v>3.5454545454545454</v>
      </c>
      <c r="AI449" s="83">
        <f t="shared" si="160"/>
        <v>0.78</v>
      </c>
      <c r="AJ449" s="81">
        <f t="shared" si="161"/>
        <v>41.141100000000002</v>
      </c>
      <c r="AK449" s="81">
        <f t="shared" si="162"/>
        <v>31.892325581395347</v>
      </c>
      <c r="AL449" s="81">
        <f t="shared" si="163"/>
        <v>8.1411000000000016</v>
      </c>
      <c r="AM449" s="83">
        <v>0</v>
      </c>
      <c r="AN449" s="83">
        <f t="shared" si="164"/>
        <v>0</v>
      </c>
      <c r="AO449" s="83">
        <f t="shared" si="171"/>
        <v>6.9582051282051277E-2</v>
      </c>
      <c r="AP449" s="83">
        <v>0.2467</v>
      </c>
      <c r="AQ449" s="83">
        <f t="shared" si="165"/>
        <v>0.1978824095612417</v>
      </c>
      <c r="AR449" s="77" t="s">
        <v>34</v>
      </c>
    </row>
    <row r="450" spans="1:44" ht="15" customHeight="1" x14ac:dyDescent="0.25">
      <c r="A450" s="76">
        <v>449</v>
      </c>
      <c r="B450" s="76">
        <v>2012</v>
      </c>
      <c r="C450" s="77" t="s">
        <v>225</v>
      </c>
      <c r="D450" s="76">
        <v>3</v>
      </c>
      <c r="E450" s="78">
        <v>33</v>
      </c>
      <c r="F450" s="79">
        <v>2</v>
      </c>
      <c r="G450" s="75">
        <v>65</v>
      </c>
      <c r="H450" s="75">
        <v>16</v>
      </c>
      <c r="I450" s="78">
        <v>18</v>
      </c>
      <c r="J450" s="81">
        <v>2.24E-2</v>
      </c>
      <c r="K450" s="77" t="s">
        <v>306</v>
      </c>
      <c r="L450" s="77" t="s">
        <v>36</v>
      </c>
      <c r="M450" s="77" t="s">
        <v>289</v>
      </c>
      <c r="N450" s="77">
        <v>20</v>
      </c>
      <c r="O450" s="77">
        <v>60</v>
      </c>
      <c r="P450" s="78"/>
      <c r="Q450" s="81">
        <v>22</v>
      </c>
      <c r="R450" s="82"/>
      <c r="S450" s="82">
        <v>1.3831975652705971E-3</v>
      </c>
      <c r="T450" s="82">
        <v>880000000</v>
      </c>
      <c r="U450" s="78">
        <v>2183</v>
      </c>
      <c r="V450" s="82">
        <v>1.7919999999999998E-2</v>
      </c>
      <c r="W450" s="82">
        <v>2.3040000000000001E-2</v>
      </c>
      <c r="X450" s="82">
        <v>0.14899999999999999</v>
      </c>
      <c r="Y450" s="78">
        <v>29.6</v>
      </c>
      <c r="Z450" s="78">
        <v>1075</v>
      </c>
      <c r="AA450" s="78">
        <f t="shared" si="166"/>
        <v>60</v>
      </c>
      <c r="AB450" s="81">
        <f t="shared" si="167"/>
        <v>0.82189116447904176</v>
      </c>
      <c r="AC450" s="81">
        <f t="shared" si="157"/>
        <v>33</v>
      </c>
      <c r="AD450" s="81">
        <v>150</v>
      </c>
      <c r="AE450" s="81">
        <f t="shared" si="158"/>
        <v>139.53488372093022</v>
      </c>
      <c r="AF450" s="81">
        <f t="shared" si="159"/>
        <v>117</v>
      </c>
      <c r="AG450" s="83">
        <v>1</v>
      </c>
      <c r="AH450" s="83">
        <f t="shared" si="170"/>
        <v>3.5454545454545454</v>
      </c>
      <c r="AI450" s="83">
        <f t="shared" si="160"/>
        <v>0.78</v>
      </c>
      <c r="AJ450" s="81">
        <f t="shared" si="161"/>
        <v>41.141100000000002</v>
      </c>
      <c r="AK450" s="81">
        <f t="shared" si="162"/>
        <v>31.892325581395347</v>
      </c>
      <c r="AL450" s="81">
        <f t="shared" si="163"/>
        <v>8.1411000000000016</v>
      </c>
      <c r="AM450" s="83">
        <v>0</v>
      </c>
      <c r="AN450" s="83">
        <f t="shared" si="164"/>
        <v>0</v>
      </c>
      <c r="AO450" s="83">
        <f t="shared" si="171"/>
        <v>6.9582051282051277E-2</v>
      </c>
      <c r="AP450" s="83">
        <v>0.2467</v>
      </c>
      <c r="AQ450" s="83">
        <f t="shared" si="165"/>
        <v>0.1978824095612417</v>
      </c>
      <c r="AR450" s="77" t="s">
        <v>226</v>
      </c>
    </row>
    <row r="451" spans="1:44" ht="15" hidden="1" customHeight="1" x14ac:dyDescent="0.25">
      <c r="A451" s="76">
        <v>450</v>
      </c>
      <c r="B451" s="76">
        <v>2012</v>
      </c>
      <c r="C451" s="77" t="s">
        <v>225</v>
      </c>
      <c r="D451" s="76">
        <v>4</v>
      </c>
      <c r="E451" s="78">
        <v>47</v>
      </c>
      <c r="F451" s="79">
        <v>2</v>
      </c>
      <c r="G451" s="75">
        <v>65</v>
      </c>
      <c r="H451" s="75">
        <v>16</v>
      </c>
      <c r="I451" s="78">
        <v>33</v>
      </c>
      <c r="J451" s="81">
        <v>1.46E-2</v>
      </c>
      <c r="K451" s="77" t="s">
        <v>306</v>
      </c>
      <c r="L451" s="77" t="s">
        <v>36</v>
      </c>
      <c r="M451" s="77" t="s">
        <v>34</v>
      </c>
      <c r="N451" s="77" t="s">
        <v>34</v>
      </c>
      <c r="O451" s="77" t="s">
        <v>34</v>
      </c>
      <c r="P451" s="78"/>
      <c r="Q451" s="81">
        <v>13</v>
      </c>
      <c r="R451" s="82"/>
      <c r="S451" s="82">
        <v>1.3831975652705971E-3</v>
      </c>
      <c r="T451" s="82">
        <v>880000000</v>
      </c>
      <c r="U451" s="78">
        <v>2183</v>
      </c>
      <c r="V451" s="82">
        <v>1.7919999999999998E-2</v>
      </c>
      <c r="W451" s="82">
        <v>2.3040000000000001E-2</v>
      </c>
      <c r="X451" s="82">
        <v>0.14899999999999999</v>
      </c>
      <c r="Y451" s="78">
        <v>29.6</v>
      </c>
      <c r="Z451" s="78">
        <v>1075</v>
      </c>
      <c r="AA451" s="78">
        <f t="shared" si="166"/>
        <v>60</v>
      </c>
      <c r="AB451" s="81">
        <f t="shared" si="167"/>
        <v>0.82189116447904176</v>
      </c>
      <c r="AC451" s="81">
        <f t="shared" si="157"/>
        <v>33</v>
      </c>
      <c r="AD451" s="81">
        <v>150</v>
      </c>
      <c r="AE451" s="81">
        <f t="shared" si="158"/>
        <v>139.53488372093022</v>
      </c>
      <c r="AF451" s="81">
        <f t="shared" si="159"/>
        <v>117</v>
      </c>
      <c r="AG451" s="83">
        <v>1</v>
      </c>
      <c r="AH451" s="83">
        <f t="shared" si="170"/>
        <v>3.5454545454545454</v>
      </c>
      <c r="AI451" s="83">
        <f t="shared" si="160"/>
        <v>0.78</v>
      </c>
      <c r="AJ451" s="81">
        <f t="shared" si="161"/>
        <v>41.141100000000002</v>
      </c>
      <c r="AK451" s="81">
        <f t="shared" si="162"/>
        <v>31.892325581395347</v>
      </c>
      <c r="AL451" s="81">
        <f t="shared" si="163"/>
        <v>8.1411000000000016</v>
      </c>
      <c r="AM451" s="83">
        <v>0</v>
      </c>
      <c r="AN451" s="83">
        <f t="shared" si="164"/>
        <v>0</v>
      </c>
      <c r="AO451" s="83">
        <f t="shared" si="171"/>
        <v>6.9582051282051277E-2</v>
      </c>
      <c r="AP451" s="83">
        <v>0.2467</v>
      </c>
      <c r="AQ451" s="83">
        <f t="shared" si="165"/>
        <v>0.1978824095612417</v>
      </c>
      <c r="AR451" s="77" t="s">
        <v>34</v>
      </c>
    </row>
    <row r="452" spans="1:44" ht="15" customHeight="1" x14ac:dyDescent="0.25">
      <c r="A452" s="76">
        <v>451</v>
      </c>
      <c r="B452" s="76">
        <v>2012</v>
      </c>
      <c r="C452" s="77" t="s">
        <v>225</v>
      </c>
      <c r="D452" s="76">
        <v>5</v>
      </c>
      <c r="E452" s="78">
        <v>20</v>
      </c>
      <c r="F452" s="79">
        <v>2</v>
      </c>
      <c r="G452" s="75">
        <v>75</v>
      </c>
      <c r="H452" s="75">
        <v>10</v>
      </c>
      <c r="I452" s="78">
        <v>10</v>
      </c>
      <c r="J452" s="81">
        <v>8.8200000000000001E-2</v>
      </c>
      <c r="K452" s="77" t="s">
        <v>306</v>
      </c>
      <c r="L452" s="77" t="s">
        <v>36</v>
      </c>
      <c r="M452" s="77" t="s">
        <v>289</v>
      </c>
      <c r="N452" s="77">
        <v>20</v>
      </c>
      <c r="O452" s="77">
        <v>60</v>
      </c>
      <c r="P452" s="78"/>
      <c r="Q452" s="81">
        <v>32</v>
      </c>
      <c r="R452" s="82"/>
      <c r="S452" s="82">
        <v>1.6649851574410291E-3</v>
      </c>
      <c r="T452" s="82">
        <v>880000000</v>
      </c>
      <c r="U452" s="78">
        <v>2183</v>
      </c>
      <c r="V452" s="82">
        <v>1.7919999999999998E-2</v>
      </c>
      <c r="W452" s="82">
        <v>2.3040000000000001E-2</v>
      </c>
      <c r="X452" s="82">
        <v>0.14899999999999999</v>
      </c>
      <c r="Y452" s="78">
        <v>29.6</v>
      </c>
      <c r="Z452" s="78">
        <v>1075</v>
      </c>
      <c r="AA452" s="78">
        <f t="shared" si="166"/>
        <v>60</v>
      </c>
      <c r="AB452" s="81">
        <f t="shared" si="167"/>
        <v>0.82189116447904176</v>
      </c>
      <c r="AC452" s="81">
        <f t="shared" si="157"/>
        <v>33</v>
      </c>
      <c r="AD452" s="81">
        <v>150</v>
      </c>
      <c r="AE452" s="81">
        <f t="shared" si="158"/>
        <v>139.53488372093022</v>
      </c>
      <c r="AF452" s="81">
        <f t="shared" si="159"/>
        <v>117</v>
      </c>
      <c r="AG452" s="83">
        <v>1</v>
      </c>
      <c r="AH452" s="83">
        <f t="shared" si="170"/>
        <v>3.5454545454545454</v>
      </c>
      <c r="AI452" s="83">
        <f t="shared" si="160"/>
        <v>0.78</v>
      </c>
      <c r="AJ452" s="81">
        <f t="shared" si="161"/>
        <v>41.368140000000004</v>
      </c>
      <c r="AK452" s="81">
        <f t="shared" si="162"/>
        <v>32.068325581395349</v>
      </c>
      <c r="AL452" s="81">
        <f t="shared" si="163"/>
        <v>8.3681400000000021</v>
      </c>
      <c r="AM452" s="83">
        <v>0</v>
      </c>
      <c r="AN452" s="83">
        <f t="shared" si="164"/>
        <v>0</v>
      </c>
      <c r="AO452" s="83">
        <f t="shared" si="171"/>
        <v>7.1522564102564107E-2</v>
      </c>
      <c r="AP452" s="83">
        <v>0.25358000000000003</v>
      </c>
      <c r="AQ452" s="83">
        <f t="shared" si="165"/>
        <v>0.20228465674308782</v>
      </c>
      <c r="AR452" s="77" t="s">
        <v>226</v>
      </c>
    </row>
    <row r="453" spans="1:44" s="10" customFormat="1" ht="15" hidden="1" customHeight="1" x14ac:dyDescent="0.25">
      <c r="A453" s="1">
        <v>452</v>
      </c>
      <c r="B453" s="1">
        <v>2012</v>
      </c>
      <c r="C453" s="28" t="s">
        <v>225</v>
      </c>
      <c r="D453" s="1">
        <v>6</v>
      </c>
      <c r="E453" s="8">
        <v>41</v>
      </c>
      <c r="F453" s="31">
        <v>2</v>
      </c>
      <c r="G453" s="59">
        <v>75</v>
      </c>
      <c r="H453" s="59">
        <v>10</v>
      </c>
      <c r="I453" s="8">
        <v>22</v>
      </c>
      <c r="J453" s="51">
        <v>1.9199999999999998E-2</v>
      </c>
      <c r="K453" s="28" t="s">
        <v>306</v>
      </c>
      <c r="L453" s="28" t="s">
        <v>36</v>
      </c>
      <c r="M453" s="28" t="s">
        <v>34</v>
      </c>
      <c r="N453" s="28" t="s">
        <v>34</v>
      </c>
      <c r="O453" s="28" t="s">
        <v>34</v>
      </c>
      <c r="P453" s="8"/>
      <c r="Q453" s="51">
        <v>10</v>
      </c>
      <c r="R453" s="9"/>
      <c r="S453" s="9">
        <v>1.6649851574410291E-3</v>
      </c>
      <c r="T453" s="9">
        <v>880000000</v>
      </c>
      <c r="U453" s="8">
        <v>2183</v>
      </c>
      <c r="V453" s="9">
        <v>1.7919999999999998E-2</v>
      </c>
      <c r="W453" s="9">
        <v>2.3040000000000001E-2</v>
      </c>
      <c r="X453" s="9">
        <v>0.14899999999999999</v>
      </c>
      <c r="Y453" s="8">
        <v>29.6</v>
      </c>
      <c r="Z453" s="8">
        <v>1075</v>
      </c>
      <c r="AA453" s="8">
        <f t="shared" si="166"/>
        <v>60</v>
      </c>
      <c r="AB453" s="51">
        <f t="shared" si="167"/>
        <v>0.82189116447904176</v>
      </c>
      <c r="AC453" s="51">
        <f t="shared" si="157"/>
        <v>33</v>
      </c>
      <c r="AD453" s="51">
        <v>150</v>
      </c>
      <c r="AE453" s="51">
        <f t="shared" si="158"/>
        <v>139.53488372093022</v>
      </c>
      <c r="AF453" s="51">
        <f t="shared" si="159"/>
        <v>117</v>
      </c>
      <c r="AG453" s="52">
        <v>1</v>
      </c>
      <c r="AH453" s="52">
        <f t="shared" si="170"/>
        <v>3.5454545454545454</v>
      </c>
      <c r="AI453" s="52">
        <f t="shared" si="160"/>
        <v>0.78</v>
      </c>
      <c r="AJ453" s="51">
        <f t="shared" si="161"/>
        <v>41.25</v>
      </c>
      <c r="AK453" s="51">
        <f t="shared" si="162"/>
        <v>31.976744186046513</v>
      </c>
      <c r="AL453" s="51">
        <f t="shared" si="163"/>
        <v>8.25</v>
      </c>
      <c r="AM453" s="52">
        <v>0</v>
      </c>
      <c r="AN453" s="52">
        <f t="shared" si="164"/>
        <v>0</v>
      </c>
      <c r="AO453" s="52">
        <f t="shared" si="171"/>
        <v>7.0512820512820512E-2</v>
      </c>
      <c r="AP453" s="52">
        <v>0.25</v>
      </c>
      <c r="AQ453" s="52">
        <f t="shared" si="165"/>
        <v>0.2</v>
      </c>
      <c r="AR453" s="28" t="s">
        <v>34</v>
      </c>
    </row>
    <row r="454" spans="1:44" ht="15" customHeight="1" x14ac:dyDescent="0.25">
      <c r="A454" s="76">
        <v>453</v>
      </c>
      <c r="B454" s="76">
        <v>2012</v>
      </c>
      <c r="C454" s="77" t="s">
        <v>227</v>
      </c>
      <c r="D454" s="76">
        <v>1</v>
      </c>
      <c r="E454" s="78">
        <v>21</v>
      </c>
      <c r="F454" s="79">
        <v>0.6</v>
      </c>
      <c r="G454" s="80">
        <v>60</v>
      </c>
      <c r="H454" s="80">
        <v>20</v>
      </c>
      <c r="I454" s="78">
        <v>36</v>
      </c>
      <c r="J454" s="81">
        <v>3.7400000000000003E-2</v>
      </c>
      <c r="K454" s="77" t="s">
        <v>306</v>
      </c>
      <c r="L454" s="77" t="s">
        <v>36</v>
      </c>
      <c r="M454" s="77" t="s">
        <v>289</v>
      </c>
      <c r="N454" s="77">
        <v>30</v>
      </c>
      <c r="O454" s="77">
        <v>60</v>
      </c>
      <c r="P454" s="78"/>
      <c r="Q454" s="81">
        <v>16</v>
      </c>
      <c r="R454" s="82"/>
      <c r="S454" s="82">
        <v>5.6647377964987413E-4</v>
      </c>
      <c r="T454" s="82">
        <v>980000000</v>
      </c>
      <c r="U454" s="78">
        <v>2484</v>
      </c>
      <c r="V454" s="82">
        <v>1.7919999999999998E-2</v>
      </c>
      <c r="W454" s="82">
        <v>2.3040000000000001E-2</v>
      </c>
      <c r="X454" s="82">
        <v>0.249</v>
      </c>
      <c r="Y454" s="78">
        <v>29.6</v>
      </c>
      <c r="Z454" s="78">
        <v>1075</v>
      </c>
      <c r="AA454" s="78">
        <f t="shared" si="166"/>
        <v>20</v>
      </c>
      <c r="AB454" s="81">
        <f t="shared" si="167"/>
        <v>0.82189116447904176</v>
      </c>
      <c r="AC454" s="81">
        <f t="shared" si="157"/>
        <v>9</v>
      </c>
      <c r="AD454" s="81">
        <v>50</v>
      </c>
      <c r="AE454" s="81">
        <f t="shared" si="158"/>
        <v>46.511627906976742</v>
      </c>
      <c r="AF454" s="81">
        <f t="shared" si="159"/>
        <v>41</v>
      </c>
      <c r="AG454" s="83">
        <v>1</v>
      </c>
      <c r="AH454" s="83">
        <f t="shared" ref="AH454:AH466" si="172">41/9</f>
        <v>4.5555555555555554</v>
      </c>
      <c r="AI454" s="83">
        <f t="shared" si="160"/>
        <v>0.82</v>
      </c>
      <c r="AJ454" s="81">
        <f t="shared" si="161"/>
        <v>12.466290400000002</v>
      </c>
      <c r="AK454" s="81">
        <f t="shared" ref="AK454:AK466" si="173">AJ454/1290*1000</f>
        <v>9.6637910077519393</v>
      </c>
      <c r="AL454" s="81">
        <f t="shared" si="163"/>
        <v>3.466290400000001</v>
      </c>
      <c r="AM454" s="83">
        <v>0.08</v>
      </c>
      <c r="AN454" s="83">
        <f t="shared" si="164"/>
        <v>7.407407407407407E-2</v>
      </c>
      <c r="AO454" s="83">
        <v>6.8180000000000004E-2</v>
      </c>
      <c r="AP454" s="83">
        <f t="shared" ref="AP454:AP466" si="174">AO454*(AH454-AM454)+AM454</f>
        <v>0.3851433777777778</v>
      </c>
      <c r="AQ454" s="83">
        <f t="shared" si="165"/>
        <v>0.27805307663938267</v>
      </c>
      <c r="AR454" s="77" t="s">
        <v>228</v>
      </c>
    </row>
    <row r="455" spans="1:44" ht="15" customHeight="1" x14ac:dyDescent="0.25">
      <c r="A455" s="76">
        <v>454</v>
      </c>
      <c r="B455" s="76">
        <v>2012</v>
      </c>
      <c r="C455" s="77" t="s">
        <v>227</v>
      </c>
      <c r="D455" s="76">
        <v>2</v>
      </c>
      <c r="E455" s="78">
        <v>22</v>
      </c>
      <c r="F455" s="79">
        <v>0.6</v>
      </c>
      <c r="G455" s="80">
        <v>60</v>
      </c>
      <c r="H455" s="80">
        <v>20</v>
      </c>
      <c r="I455" s="78">
        <v>36</v>
      </c>
      <c r="J455" s="81">
        <v>6.4000000000000003E-3</v>
      </c>
      <c r="K455" s="77" t="s">
        <v>306</v>
      </c>
      <c r="L455" s="77" t="s">
        <v>36</v>
      </c>
      <c r="M455" s="77" t="s">
        <v>289</v>
      </c>
      <c r="N455" s="77">
        <v>30</v>
      </c>
      <c r="O455" s="77">
        <v>120</v>
      </c>
      <c r="P455" s="78"/>
      <c r="Q455" s="81">
        <v>17</v>
      </c>
      <c r="R455" s="82"/>
      <c r="S455" s="82">
        <v>5.6647377964987413E-4</v>
      </c>
      <c r="T455" s="82">
        <v>980000000</v>
      </c>
      <c r="U455" s="78">
        <v>2484</v>
      </c>
      <c r="V455" s="82">
        <v>1.7919999999999998E-2</v>
      </c>
      <c r="W455" s="82">
        <v>2.3040000000000001E-2</v>
      </c>
      <c r="X455" s="82">
        <v>0.249</v>
      </c>
      <c r="Y455" s="78">
        <v>29.6</v>
      </c>
      <c r="Z455" s="78">
        <v>1075</v>
      </c>
      <c r="AA455" s="78">
        <f t="shared" si="166"/>
        <v>20</v>
      </c>
      <c r="AB455" s="81">
        <f t="shared" si="167"/>
        <v>0.82189116447904176</v>
      </c>
      <c r="AC455" s="81">
        <f t="shared" si="157"/>
        <v>9</v>
      </c>
      <c r="AD455" s="81">
        <v>50</v>
      </c>
      <c r="AE455" s="81">
        <f t="shared" si="158"/>
        <v>46.511627906976742</v>
      </c>
      <c r="AF455" s="81">
        <f t="shared" si="159"/>
        <v>41</v>
      </c>
      <c r="AG455" s="83">
        <v>1</v>
      </c>
      <c r="AH455" s="83">
        <f t="shared" si="172"/>
        <v>4.5555555555555554</v>
      </c>
      <c r="AI455" s="83">
        <f t="shared" si="160"/>
        <v>0.82</v>
      </c>
      <c r="AJ455" s="81">
        <f t="shared" si="161"/>
        <v>13.598963999999999</v>
      </c>
      <c r="AK455" s="81">
        <f t="shared" si="173"/>
        <v>10.541832558139534</v>
      </c>
      <c r="AL455" s="81">
        <f t="shared" si="163"/>
        <v>4.5989639999999978</v>
      </c>
      <c r="AM455" s="83">
        <v>0.08</v>
      </c>
      <c r="AN455" s="83">
        <f t="shared" si="164"/>
        <v>7.407407407407407E-2</v>
      </c>
      <c r="AO455" s="83">
        <v>9.6299999999999997E-2</v>
      </c>
      <c r="AP455" s="83">
        <f t="shared" si="174"/>
        <v>0.51099599999999989</v>
      </c>
      <c r="AQ455" s="83">
        <f t="shared" si="165"/>
        <v>0.33818487937757602</v>
      </c>
      <c r="AR455" s="77" t="s">
        <v>229</v>
      </c>
    </row>
    <row r="456" spans="1:44" ht="15" customHeight="1" x14ac:dyDescent="0.25">
      <c r="A456" s="76">
        <v>455</v>
      </c>
      <c r="B456" s="76">
        <v>2012</v>
      </c>
      <c r="C456" s="77" t="s">
        <v>227</v>
      </c>
      <c r="D456" s="76">
        <v>3</v>
      </c>
      <c r="E456" s="78">
        <v>23</v>
      </c>
      <c r="F456" s="79">
        <v>0.6</v>
      </c>
      <c r="G456" s="80">
        <v>60</v>
      </c>
      <c r="H456" s="80">
        <v>20</v>
      </c>
      <c r="I456" s="78">
        <v>33</v>
      </c>
      <c r="J456" s="81">
        <v>3.5799999999999998E-2</v>
      </c>
      <c r="K456" s="77" t="s">
        <v>306</v>
      </c>
      <c r="L456" s="77" t="s">
        <v>36</v>
      </c>
      <c r="M456" s="77" t="s">
        <v>289</v>
      </c>
      <c r="N456" s="77">
        <v>30</v>
      </c>
      <c r="O456" s="77">
        <v>180</v>
      </c>
      <c r="P456" s="78"/>
      <c r="Q456" s="81">
        <v>20</v>
      </c>
      <c r="R456" s="82"/>
      <c r="S456" s="82">
        <v>5.6647377964987413E-4</v>
      </c>
      <c r="T456" s="82">
        <v>980000000</v>
      </c>
      <c r="U456" s="78">
        <v>2484</v>
      </c>
      <c r="V456" s="82">
        <v>1.7919999999999998E-2</v>
      </c>
      <c r="W456" s="82">
        <v>2.3040000000000001E-2</v>
      </c>
      <c r="X456" s="82">
        <v>0.249</v>
      </c>
      <c r="Y456" s="78">
        <v>29.6</v>
      </c>
      <c r="Z456" s="78">
        <v>1075</v>
      </c>
      <c r="AA456" s="78">
        <f t="shared" si="166"/>
        <v>20</v>
      </c>
      <c r="AB456" s="81">
        <f t="shared" si="167"/>
        <v>0.82189116447904176</v>
      </c>
      <c r="AC456" s="81">
        <f t="shared" si="157"/>
        <v>9</v>
      </c>
      <c r="AD456" s="81">
        <v>50</v>
      </c>
      <c r="AE456" s="81">
        <f t="shared" si="158"/>
        <v>46.511627906976742</v>
      </c>
      <c r="AF456" s="81">
        <f t="shared" si="159"/>
        <v>41</v>
      </c>
      <c r="AG456" s="83">
        <v>1</v>
      </c>
      <c r="AH456" s="83">
        <f t="shared" si="172"/>
        <v>4.5555555555555554</v>
      </c>
      <c r="AI456" s="83">
        <f t="shared" si="160"/>
        <v>0.82</v>
      </c>
      <c r="AJ456" s="81">
        <f t="shared" si="161"/>
        <v>10.579172399999999</v>
      </c>
      <c r="AK456" s="81">
        <f t="shared" si="173"/>
        <v>8.2009088372093011</v>
      </c>
      <c r="AL456" s="81">
        <f t="shared" si="163"/>
        <v>1.5791723999999998</v>
      </c>
      <c r="AM456" s="83">
        <v>0.08</v>
      </c>
      <c r="AN456" s="83">
        <f t="shared" si="164"/>
        <v>7.407407407407407E-2</v>
      </c>
      <c r="AO456" s="83">
        <v>2.1329999999999998E-2</v>
      </c>
      <c r="AP456" s="83">
        <f t="shared" si="174"/>
        <v>0.1754636</v>
      </c>
      <c r="AQ456" s="83">
        <f t="shared" si="165"/>
        <v>0.1492718277282257</v>
      </c>
      <c r="AR456" s="77" t="s">
        <v>230</v>
      </c>
    </row>
    <row r="457" spans="1:44" ht="15" customHeight="1" x14ac:dyDescent="0.25">
      <c r="A457" s="76">
        <v>456</v>
      </c>
      <c r="B457" s="76">
        <v>2012</v>
      </c>
      <c r="C457" s="77" t="s">
        <v>227</v>
      </c>
      <c r="D457" s="76">
        <v>4</v>
      </c>
      <c r="E457" s="78">
        <v>22</v>
      </c>
      <c r="F457" s="79">
        <v>0.6</v>
      </c>
      <c r="G457" s="80">
        <v>60</v>
      </c>
      <c r="H457" s="80">
        <v>20</v>
      </c>
      <c r="I457" s="78">
        <v>33</v>
      </c>
      <c r="J457" s="81">
        <v>2.6200000000000001E-2</v>
      </c>
      <c r="K457" s="77" t="s">
        <v>306</v>
      </c>
      <c r="L457" s="77" t="s">
        <v>36</v>
      </c>
      <c r="M457" s="77" t="s">
        <v>289</v>
      </c>
      <c r="N457" s="77">
        <v>40</v>
      </c>
      <c r="O457" s="77">
        <v>60</v>
      </c>
      <c r="P457" s="78"/>
      <c r="Q457" s="81">
        <v>19</v>
      </c>
      <c r="R457" s="82"/>
      <c r="S457" s="82">
        <v>5.6647377964987413E-4</v>
      </c>
      <c r="T457" s="82">
        <v>980000000</v>
      </c>
      <c r="U457" s="78">
        <v>2484</v>
      </c>
      <c r="V457" s="82">
        <v>1.7919999999999998E-2</v>
      </c>
      <c r="W457" s="82">
        <v>2.3040000000000001E-2</v>
      </c>
      <c r="X457" s="82">
        <v>0.249</v>
      </c>
      <c r="Y457" s="78">
        <v>29.6</v>
      </c>
      <c r="Z457" s="78">
        <v>1075</v>
      </c>
      <c r="AA457" s="78">
        <f t="shared" si="166"/>
        <v>20</v>
      </c>
      <c r="AB457" s="81">
        <f t="shared" si="167"/>
        <v>0.82189116447904176</v>
      </c>
      <c r="AC457" s="81">
        <f t="shared" si="157"/>
        <v>9</v>
      </c>
      <c r="AD457" s="81">
        <v>50</v>
      </c>
      <c r="AE457" s="81">
        <f t="shared" si="158"/>
        <v>46.511627906976742</v>
      </c>
      <c r="AF457" s="81">
        <f t="shared" si="159"/>
        <v>41</v>
      </c>
      <c r="AG457" s="83">
        <v>1</v>
      </c>
      <c r="AH457" s="83">
        <f t="shared" si="172"/>
        <v>4.5555555555555554</v>
      </c>
      <c r="AI457" s="83">
        <f t="shared" si="160"/>
        <v>0.82</v>
      </c>
      <c r="AJ457" s="81">
        <f t="shared" si="161"/>
        <v>11.4745968</v>
      </c>
      <c r="AK457" s="81">
        <f t="shared" si="173"/>
        <v>8.8950362790697675</v>
      </c>
      <c r="AL457" s="81">
        <f t="shared" si="163"/>
        <v>2.4745968000000005</v>
      </c>
      <c r="AM457" s="83">
        <v>0.08</v>
      </c>
      <c r="AN457" s="83">
        <f t="shared" si="164"/>
        <v>7.407407407407407E-2</v>
      </c>
      <c r="AO457" s="83">
        <v>4.3560000000000001E-2</v>
      </c>
      <c r="AP457" s="83">
        <f t="shared" si="174"/>
        <v>0.27495520000000001</v>
      </c>
      <c r="AQ457" s="83">
        <f t="shared" si="165"/>
        <v>0.2156587149101396</v>
      </c>
      <c r="AR457" s="77" t="s">
        <v>231</v>
      </c>
    </row>
    <row r="458" spans="1:44" ht="15" customHeight="1" x14ac:dyDescent="0.25">
      <c r="A458" s="76">
        <v>457</v>
      </c>
      <c r="B458" s="76">
        <v>2012</v>
      </c>
      <c r="C458" s="77" t="s">
        <v>227</v>
      </c>
      <c r="D458" s="76">
        <v>5</v>
      </c>
      <c r="E458" s="78">
        <v>24</v>
      </c>
      <c r="F458" s="79">
        <v>0.6</v>
      </c>
      <c r="G458" s="80">
        <v>60</v>
      </c>
      <c r="H458" s="80">
        <v>20</v>
      </c>
      <c r="I458" s="78">
        <v>33</v>
      </c>
      <c r="J458" s="81">
        <v>2.3300000000000001E-2</v>
      </c>
      <c r="K458" s="77" t="s">
        <v>306</v>
      </c>
      <c r="L458" s="77" t="s">
        <v>36</v>
      </c>
      <c r="M458" s="77" t="s">
        <v>289</v>
      </c>
      <c r="N458" s="77">
        <v>40</v>
      </c>
      <c r="O458" s="77">
        <v>120</v>
      </c>
      <c r="P458" s="78"/>
      <c r="Q458" s="81">
        <v>19</v>
      </c>
      <c r="R458" s="82"/>
      <c r="S458" s="82">
        <v>5.6647377964987413E-4</v>
      </c>
      <c r="T458" s="82">
        <v>980000000</v>
      </c>
      <c r="U458" s="78">
        <v>2484</v>
      </c>
      <c r="V458" s="82">
        <v>1.7919999999999998E-2</v>
      </c>
      <c r="W458" s="82">
        <v>2.3040000000000001E-2</v>
      </c>
      <c r="X458" s="82">
        <v>0.249</v>
      </c>
      <c r="Y458" s="78">
        <v>29.6</v>
      </c>
      <c r="Z458" s="78">
        <v>1075</v>
      </c>
      <c r="AA458" s="78">
        <f t="shared" si="166"/>
        <v>20</v>
      </c>
      <c r="AB458" s="81">
        <f t="shared" si="167"/>
        <v>0.82189116447904176</v>
      </c>
      <c r="AC458" s="81">
        <f t="shared" si="157"/>
        <v>9</v>
      </c>
      <c r="AD458" s="81">
        <v>50</v>
      </c>
      <c r="AE458" s="81">
        <f t="shared" si="158"/>
        <v>46.511627906976742</v>
      </c>
      <c r="AF458" s="81">
        <f t="shared" si="159"/>
        <v>41</v>
      </c>
      <c r="AG458" s="83">
        <v>1</v>
      </c>
      <c r="AH458" s="83">
        <f t="shared" si="172"/>
        <v>4.5555555555555554</v>
      </c>
      <c r="AI458" s="83">
        <f t="shared" si="160"/>
        <v>0.82</v>
      </c>
      <c r="AJ458" s="81">
        <f t="shared" si="161"/>
        <v>11.2280832</v>
      </c>
      <c r="AK458" s="81">
        <f t="shared" si="173"/>
        <v>8.7039404651162791</v>
      </c>
      <c r="AL458" s="81">
        <f t="shared" si="163"/>
        <v>2.2280831999999999</v>
      </c>
      <c r="AM458" s="83">
        <v>0.08</v>
      </c>
      <c r="AN458" s="83">
        <f t="shared" si="164"/>
        <v>7.407407407407407E-2</v>
      </c>
      <c r="AO458" s="83">
        <v>3.7440000000000001E-2</v>
      </c>
      <c r="AP458" s="83">
        <f t="shared" si="174"/>
        <v>0.24756479999999997</v>
      </c>
      <c r="AQ458" s="83">
        <f t="shared" si="165"/>
        <v>0.1984384298114214</v>
      </c>
      <c r="AR458" s="77" t="s">
        <v>232</v>
      </c>
    </row>
    <row r="459" spans="1:44" ht="15" customHeight="1" x14ac:dyDescent="0.25">
      <c r="A459" s="76">
        <v>458</v>
      </c>
      <c r="B459" s="76">
        <v>2012</v>
      </c>
      <c r="C459" s="77" t="s">
        <v>227</v>
      </c>
      <c r="D459" s="76">
        <v>6</v>
      </c>
      <c r="E459" s="78">
        <v>22</v>
      </c>
      <c r="F459" s="79">
        <v>0.6</v>
      </c>
      <c r="G459" s="80">
        <v>60</v>
      </c>
      <c r="H459" s="80">
        <v>20</v>
      </c>
      <c r="I459" s="78">
        <v>28</v>
      </c>
      <c r="J459" s="81">
        <v>5.4999999999999997E-3</v>
      </c>
      <c r="K459" s="77" t="s">
        <v>306</v>
      </c>
      <c r="L459" s="77" t="s">
        <v>36</v>
      </c>
      <c r="M459" s="77" t="s">
        <v>289</v>
      </c>
      <c r="N459" s="77">
        <v>40</v>
      </c>
      <c r="O459" s="77">
        <v>180</v>
      </c>
      <c r="P459" s="78"/>
      <c r="Q459" s="81">
        <v>27</v>
      </c>
      <c r="R459" s="82"/>
      <c r="S459" s="82">
        <v>5.6647377964987413E-4</v>
      </c>
      <c r="T459" s="82">
        <v>980000000</v>
      </c>
      <c r="U459" s="78">
        <v>2484</v>
      </c>
      <c r="V459" s="82">
        <v>1.7919999999999998E-2</v>
      </c>
      <c r="W459" s="82">
        <v>2.3040000000000001E-2</v>
      </c>
      <c r="X459" s="82">
        <v>0.249</v>
      </c>
      <c r="Y459" s="78">
        <v>29.6</v>
      </c>
      <c r="Z459" s="78">
        <v>1075</v>
      </c>
      <c r="AA459" s="78">
        <f t="shared" si="166"/>
        <v>20</v>
      </c>
      <c r="AB459" s="81">
        <f t="shared" si="167"/>
        <v>0.82189116447904176</v>
      </c>
      <c r="AC459" s="81">
        <f t="shared" si="157"/>
        <v>9</v>
      </c>
      <c r="AD459" s="81">
        <v>50</v>
      </c>
      <c r="AE459" s="81">
        <f t="shared" si="158"/>
        <v>46.511627906976742</v>
      </c>
      <c r="AF459" s="81">
        <f t="shared" si="159"/>
        <v>41</v>
      </c>
      <c r="AG459" s="83">
        <v>1</v>
      </c>
      <c r="AH459" s="83">
        <f t="shared" si="172"/>
        <v>4.5555555555555554</v>
      </c>
      <c r="AI459" s="83">
        <f t="shared" si="160"/>
        <v>0.82</v>
      </c>
      <c r="AJ459" s="81">
        <f t="shared" si="161"/>
        <v>11.3638268</v>
      </c>
      <c r="AK459" s="81">
        <f t="shared" si="173"/>
        <v>8.8091680620155053</v>
      </c>
      <c r="AL459" s="81">
        <f t="shared" si="163"/>
        <v>2.3638268</v>
      </c>
      <c r="AM459" s="83">
        <v>0.08</v>
      </c>
      <c r="AN459" s="83">
        <f t="shared" si="164"/>
        <v>7.407407407407407E-2</v>
      </c>
      <c r="AO459" s="83">
        <v>4.0809999999999999E-2</v>
      </c>
      <c r="AP459" s="83">
        <f t="shared" si="174"/>
        <v>0.2626474222222222</v>
      </c>
      <c r="AQ459" s="83">
        <f t="shared" si="165"/>
        <v>0.20801327243037529</v>
      </c>
      <c r="AR459" s="77" t="s">
        <v>233</v>
      </c>
    </row>
    <row r="460" spans="1:44" ht="15" customHeight="1" x14ac:dyDescent="0.25">
      <c r="A460" s="76">
        <v>459</v>
      </c>
      <c r="B460" s="76">
        <v>2012</v>
      </c>
      <c r="C460" s="77" t="s">
        <v>227</v>
      </c>
      <c r="D460" s="76">
        <v>7</v>
      </c>
      <c r="E460" s="78">
        <v>22</v>
      </c>
      <c r="F460" s="79">
        <v>0.6</v>
      </c>
      <c r="G460" s="80">
        <v>60</v>
      </c>
      <c r="H460" s="80">
        <v>20</v>
      </c>
      <c r="I460" s="78">
        <v>40</v>
      </c>
      <c r="J460" s="81">
        <v>2.7000000000000001E-3</v>
      </c>
      <c r="K460" s="77" t="s">
        <v>306</v>
      </c>
      <c r="L460" s="77" t="s">
        <v>36</v>
      </c>
      <c r="M460" s="77" t="s">
        <v>289</v>
      </c>
      <c r="N460" s="77">
        <v>50</v>
      </c>
      <c r="O460" s="77">
        <v>60</v>
      </c>
      <c r="P460" s="78"/>
      <c r="Q460" s="81">
        <v>17</v>
      </c>
      <c r="R460" s="82"/>
      <c r="S460" s="82">
        <v>5.6647377964987413E-4</v>
      </c>
      <c r="T460" s="82">
        <v>980000000</v>
      </c>
      <c r="U460" s="78">
        <v>2484</v>
      </c>
      <c r="V460" s="82">
        <v>1.7919999999999998E-2</v>
      </c>
      <c r="W460" s="82">
        <v>2.3040000000000001E-2</v>
      </c>
      <c r="X460" s="82">
        <v>0.249</v>
      </c>
      <c r="Y460" s="78">
        <v>29.6</v>
      </c>
      <c r="Z460" s="78">
        <v>1075</v>
      </c>
      <c r="AA460" s="78">
        <f t="shared" ref="AA460:AA485" si="175">AD460/2.5</f>
        <v>20</v>
      </c>
      <c r="AB460" s="81">
        <f t="shared" si="167"/>
        <v>0.82189116447904176</v>
      </c>
      <c r="AC460" s="81">
        <f t="shared" si="157"/>
        <v>9</v>
      </c>
      <c r="AD460" s="81">
        <v>50</v>
      </c>
      <c r="AE460" s="81">
        <f t="shared" si="158"/>
        <v>46.511627906976742</v>
      </c>
      <c r="AF460" s="81">
        <f t="shared" si="159"/>
        <v>41</v>
      </c>
      <c r="AG460" s="83">
        <v>1</v>
      </c>
      <c r="AH460" s="83">
        <f t="shared" si="172"/>
        <v>4.5555555555555554</v>
      </c>
      <c r="AI460" s="83">
        <f t="shared" si="160"/>
        <v>0.82</v>
      </c>
      <c r="AJ460" s="81">
        <f t="shared" si="161"/>
        <v>11.662301600000001</v>
      </c>
      <c r="AK460" s="81">
        <f t="shared" si="173"/>
        <v>9.0405438759689929</v>
      </c>
      <c r="AL460" s="81">
        <f t="shared" si="163"/>
        <v>2.6623015999999997</v>
      </c>
      <c r="AM460" s="83">
        <v>0.08</v>
      </c>
      <c r="AN460" s="83">
        <f t="shared" si="164"/>
        <v>7.407407407407407E-2</v>
      </c>
      <c r="AO460" s="83">
        <v>4.8219999999999999E-2</v>
      </c>
      <c r="AP460" s="83">
        <f t="shared" si="174"/>
        <v>0.29581128888888886</v>
      </c>
      <c r="AQ460" s="83">
        <f t="shared" si="165"/>
        <v>0.22828269164296006</v>
      </c>
      <c r="AR460" s="77" t="s">
        <v>234</v>
      </c>
    </row>
    <row r="461" spans="1:44" ht="15" customHeight="1" x14ac:dyDescent="0.25">
      <c r="A461" s="76">
        <v>460</v>
      </c>
      <c r="B461" s="76">
        <v>2012</v>
      </c>
      <c r="C461" s="77" t="s">
        <v>227</v>
      </c>
      <c r="D461" s="76">
        <v>8</v>
      </c>
      <c r="E461" s="78">
        <v>19</v>
      </c>
      <c r="F461" s="79">
        <v>0.6</v>
      </c>
      <c r="G461" s="80">
        <v>60</v>
      </c>
      <c r="H461" s="80">
        <v>20</v>
      </c>
      <c r="I461" s="78">
        <v>30</v>
      </c>
      <c r="J461" s="81">
        <v>2.5999999999999999E-2</v>
      </c>
      <c r="K461" s="77" t="s">
        <v>306</v>
      </c>
      <c r="L461" s="77" t="s">
        <v>36</v>
      </c>
      <c r="M461" s="77" t="s">
        <v>289</v>
      </c>
      <c r="N461" s="77">
        <v>50</v>
      </c>
      <c r="O461" s="77">
        <v>120</v>
      </c>
      <c r="P461" s="78"/>
      <c r="Q461" s="81">
        <v>28</v>
      </c>
      <c r="R461" s="82"/>
      <c r="S461" s="82">
        <v>5.6647377964987413E-4</v>
      </c>
      <c r="T461" s="82">
        <v>980000000</v>
      </c>
      <c r="U461" s="78">
        <v>2484</v>
      </c>
      <c r="V461" s="82">
        <v>1.7919999999999998E-2</v>
      </c>
      <c r="W461" s="82">
        <v>2.3040000000000001E-2</v>
      </c>
      <c r="X461" s="82">
        <v>0.249</v>
      </c>
      <c r="Y461" s="78">
        <v>29.6</v>
      </c>
      <c r="Z461" s="78">
        <v>1075</v>
      </c>
      <c r="AA461" s="78">
        <f t="shared" si="175"/>
        <v>20</v>
      </c>
      <c r="AB461" s="81">
        <f t="shared" si="167"/>
        <v>0.82189116447904176</v>
      </c>
      <c r="AC461" s="81">
        <f t="shared" si="157"/>
        <v>9</v>
      </c>
      <c r="AD461" s="81">
        <v>50</v>
      </c>
      <c r="AE461" s="81">
        <f t="shared" si="158"/>
        <v>46.511627906976742</v>
      </c>
      <c r="AF461" s="81">
        <f t="shared" si="159"/>
        <v>41</v>
      </c>
      <c r="AG461" s="83">
        <v>1</v>
      </c>
      <c r="AH461" s="83">
        <f t="shared" si="172"/>
        <v>4.5555555555555554</v>
      </c>
      <c r="AI461" s="83">
        <f t="shared" si="160"/>
        <v>0.82</v>
      </c>
      <c r="AJ461" s="81">
        <f t="shared" si="161"/>
        <v>10.8865088</v>
      </c>
      <c r="AK461" s="81">
        <f t="shared" si="173"/>
        <v>8.4391541085271307</v>
      </c>
      <c r="AL461" s="81">
        <f t="shared" si="163"/>
        <v>1.8865088000000001</v>
      </c>
      <c r="AM461" s="83">
        <v>0.08</v>
      </c>
      <c r="AN461" s="83">
        <f t="shared" si="164"/>
        <v>7.407407407407407E-2</v>
      </c>
      <c r="AO461" s="83">
        <v>2.896E-2</v>
      </c>
      <c r="AP461" s="83">
        <f t="shared" si="174"/>
        <v>0.20961208888888888</v>
      </c>
      <c r="AQ461" s="83">
        <f t="shared" si="165"/>
        <v>0.17328868553341914</v>
      </c>
      <c r="AR461" s="77" t="s">
        <v>235</v>
      </c>
    </row>
    <row r="462" spans="1:44" ht="15" customHeight="1" x14ac:dyDescent="0.25">
      <c r="A462" s="76">
        <v>461</v>
      </c>
      <c r="B462" s="76">
        <v>2012</v>
      </c>
      <c r="C462" s="77" t="s">
        <v>227</v>
      </c>
      <c r="D462" s="76">
        <v>9</v>
      </c>
      <c r="E462" s="78">
        <v>18</v>
      </c>
      <c r="F462" s="79">
        <v>0.6</v>
      </c>
      <c r="G462" s="80">
        <v>60</v>
      </c>
      <c r="H462" s="80">
        <v>20</v>
      </c>
      <c r="I462" s="78">
        <v>26</v>
      </c>
      <c r="J462" s="81">
        <v>1.6299999999999999E-2</v>
      </c>
      <c r="K462" s="77" t="s">
        <v>306</v>
      </c>
      <c r="L462" s="77" t="s">
        <v>36</v>
      </c>
      <c r="M462" s="77" t="s">
        <v>289</v>
      </c>
      <c r="N462" s="77">
        <v>50</v>
      </c>
      <c r="O462" s="77">
        <v>180</v>
      </c>
      <c r="P462" s="78"/>
      <c r="Q462" s="81">
        <v>32</v>
      </c>
      <c r="R462" s="82"/>
      <c r="S462" s="82">
        <v>5.6647377964987413E-4</v>
      </c>
      <c r="T462" s="82">
        <v>980000000</v>
      </c>
      <c r="U462" s="78">
        <v>2484</v>
      </c>
      <c r="V462" s="82">
        <v>1.7919999999999998E-2</v>
      </c>
      <c r="W462" s="82">
        <v>2.3040000000000001E-2</v>
      </c>
      <c r="X462" s="82">
        <v>0.249</v>
      </c>
      <c r="Y462" s="78">
        <v>29.6</v>
      </c>
      <c r="Z462" s="78">
        <v>1075</v>
      </c>
      <c r="AA462" s="78">
        <f t="shared" si="175"/>
        <v>20</v>
      </c>
      <c r="AB462" s="81">
        <f t="shared" si="167"/>
        <v>0.82189116447904176</v>
      </c>
      <c r="AC462" s="81">
        <f t="shared" si="157"/>
        <v>9</v>
      </c>
      <c r="AD462" s="81">
        <v>50</v>
      </c>
      <c r="AE462" s="81">
        <f t="shared" si="158"/>
        <v>46.511627906976742</v>
      </c>
      <c r="AF462" s="81">
        <f t="shared" si="159"/>
        <v>41</v>
      </c>
      <c r="AG462" s="83">
        <v>1</v>
      </c>
      <c r="AH462" s="83">
        <f t="shared" si="172"/>
        <v>4.5555555555555554</v>
      </c>
      <c r="AI462" s="83">
        <f t="shared" si="160"/>
        <v>0.82</v>
      </c>
      <c r="AJ462" s="81">
        <f t="shared" si="161"/>
        <v>10.7620436</v>
      </c>
      <c r="AK462" s="81">
        <f t="shared" si="173"/>
        <v>8.342669457364341</v>
      </c>
      <c r="AL462" s="81">
        <f t="shared" si="163"/>
        <v>1.7620435999999999</v>
      </c>
      <c r="AM462" s="83">
        <v>0.08</v>
      </c>
      <c r="AN462" s="83">
        <f t="shared" si="164"/>
        <v>7.407407407407407E-2</v>
      </c>
      <c r="AO462" s="83">
        <v>2.5870000000000001E-2</v>
      </c>
      <c r="AP462" s="83">
        <f t="shared" si="174"/>
        <v>0.1957826222222222</v>
      </c>
      <c r="AQ462" s="83">
        <f t="shared" si="165"/>
        <v>0.1637276028132798</v>
      </c>
      <c r="AR462" s="77" t="s">
        <v>236</v>
      </c>
    </row>
    <row r="463" spans="1:44" ht="15" customHeight="1" x14ac:dyDescent="0.25">
      <c r="A463" s="76">
        <v>462</v>
      </c>
      <c r="B463" s="76">
        <v>2012</v>
      </c>
      <c r="C463" s="77" t="s">
        <v>227</v>
      </c>
      <c r="D463" s="76">
        <v>10</v>
      </c>
      <c r="E463" s="78">
        <v>19</v>
      </c>
      <c r="F463" s="79">
        <v>0.6</v>
      </c>
      <c r="G463" s="80">
        <v>60</v>
      </c>
      <c r="H463" s="80">
        <v>20</v>
      </c>
      <c r="I463" s="78">
        <v>27</v>
      </c>
      <c r="J463" s="81">
        <v>1.18E-2</v>
      </c>
      <c r="K463" s="77" t="s">
        <v>306</v>
      </c>
      <c r="L463" s="77" t="s">
        <v>36</v>
      </c>
      <c r="M463" s="77" t="s">
        <v>289</v>
      </c>
      <c r="N463" s="77">
        <v>60</v>
      </c>
      <c r="O463" s="77">
        <v>60</v>
      </c>
      <c r="P463" s="78"/>
      <c r="Q463" s="81">
        <v>31</v>
      </c>
      <c r="R463" s="82"/>
      <c r="S463" s="82">
        <v>5.6647377964987413E-4</v>
      </c>
      <c r="T463" s="82">
        <v>980000000</v>
      </c>
      <c r="U463" s="78">
        <v>2484</v>
      </c>
      <c r="V463" s="82">
        <v>1.7919999999999998E-2</v>
      </c>
      <c r="W463" s="82">
        <v>2.3040000000000001E-2</v>
      </c>
      <c r="X463" s="82">
        <v>0.249</v>
      </c>
      <c r="Y463" s="78">
        <v>29.6</v>
      </c>
      <c r="Z463" s="78">
        <v>1075</v>
      </c>
      <c r="AA463" s="78">
        <f t="shared" si="175"/>
        <v>20</v>
      </c>
      <c r="AB463" s="81">
        <f t="shared" ref="AB463:AB485" si="176">POWER(3/(4*PI())*AE463/AA463,1/3)</f>
        <v>0.82189116447904176</v>
      </c>
      <c r="AC463" s="81">
        <f t="shared" si="157"/>
        <v>9</v>
      </c>
      <c r="AD463" s="81">
        <v>50</v>
      </c>
      <c r="AE463" s="81">
        <f t="shared" si="158"/>
        <v>46.511627906976742</v>
      </c>
      <c r="AF463" s="81">
        <f t="shared" si="159"/>
        <v>41</v>
      </c>
      <c r="AG463" s="83">
        <v>1</v>
      </c>
      <c r="AH463" s="83">
        <f t="shared" si="172"/>
        <v>4.5555555555555554</v>
      </c>
      <c r="AI463" s="83">
        <f t="shared" si="160"/>
        <v>0.82</v>
      </c>
      <c r="AJ463" s="81">
        <f t="shared" si="161"/>
        <v>11.866923999999999</v>
      </c>
      <c r="AK463" s="81">
        <f t="shared" si="173"/>
        <v>9.1991658914728678</v>
      </c>
      <c r="AL463" s="81">
        <f t="shared" si="163"/>
        <v>2.8669239999999996</v>
      </c>
      <c r="AM463" s="83">
        <v>0.08</v>
      </c>
      <c r="AN463" s="83">
        <f t="shared" si="164"/>
        <v>7.407407407407407E-2</v>
      </c>
      <c r="AO463" s="83">
        <v>5.33E-2</v>
      </c>
      <c r="AP463" s="83">
        <f t="shared" si="174"/>
        <v>0.31854711111111111</v>
      </c>
      <c r="AQ463" s="83">
        <f t="shared" si="165"/>
        <v>0.24158948013823969</v>
      </c>
      <c r="AR463" s="77" t="s">
        <v>237</v>
      </c>
    </row>
    <row r="464" spans="1:44" ht="15" customHeight="1" x14ac:dyDescent="0.25">
      <c r="A464" s="76">
        <v>463</v>
      </c>
      <c r="B464" s="76">
        <v>2012</v>
      </c>
      <c r="C464" s="77" t="s">
        <v>227</v>
      </c>
      <c r="D464" s="76">
        <v>11</v>
      </c>
      <c r="E464" s="78">
        <v>15</v>
      </c>
      <c r="F464" s="79">
        <v>0.6</v>
      </c>
      <c r="G464" s="80">
        <v>60</v>
      </c>
      <c r="H464" s="80">
        <v>20</v>
      </c>
      <c r="I464" s="78">
        <v>20</v>
      </c>
      <c r="J464" s="81">
        <v>0.1067</v>
      </c>
      <c r="K464" s="77" t="s">
        <v>306</v>
      </c>
      <c r="L464" s="77" t="s">
        <v>36</v>
      </c>
      <c r="M464" s="77" t="s">
        <v>289</v>
      </c>
      <c r="N464" s="77">
        <v>60</v>
      </c>
      <c r="O464" s="77">
        <v>120</v>
      </c>
      <c r="P464" s="78"/>
      <c r="Q464" s="81">
        <v>59</v>
      </c>
      <c r="R464" s="82"/>
      <c r="S464" s="82">
        <v>5.6647377964987413E-4</v>
      </c>
      <c r="T464" s="82">
        <v>980000000</v>
      </c>
      <c r="U464" s="78">
        <v>2484</v>
      </c>
      <c r="V464" s="82">
        <v>1.7919999999999998E-2</v>
      </c>
      <c r="W464" s="82">
        <v>2.3040000000000001E-2</v>
      </c>
      <c r="X464" s="82">
        <v>0.249</v>
      </c>
      <c r="Y464" s="78">
        <v>29.6</v>
      </c>
      <c r="Z464" s="78">
        <v>1075</v>
      </c>
      <c r="AA464" s="78">
        <f t="shared" si="175"/>
        <v>20</v>
      </c>
      <c r="AB464" s="81">
        <f t="shared" si="176"/>
        <v>0.82189116447904176</v>
      </c>
      <c r="AC464" s="81">
        <f t="shared" si="157"/>
        <v>9</v>
      </c>
      <c r="AD464" s="81">
        <v>50</v>
      </c>
      <c r="AE464" s="81">
        <f t="shared" si="158"/>
        <v>46.511627906976742</v>
      </c>
      <c r="AF464" s="81">
        <f t="shared" si="159"/>
        <v>41</v>
      </c>
      <c r="AG464" s="83">
        <v>1</v>
      </c>
      <c r="AH464" s="83">
        <f t="shared" si="172"/>
        <v>4.5555555555555554</v>
      </c>
      <c r="AI464" s="83">
        <f t="shared" si="160"/>
        <v>0.82</v>
      </c>
      <c r="AJ464" s="81">
        <f t="shared" si="161"/>
        <v>10.6355644</v>
      </c>
      <c r="AK464" s="81">
        <f t="shared" si="173"/>
        <v>8.2446235658914713</v>
      </c>
      <c r="AL464" s="81">
        <f t="shared" si="163"/>
        <v>1.6355643999999998</v>
      </c>
      <c r="AM464" s="83">
        <v>0.08</v>
      </c>
      <c r="AN464" s="83">
        <f t="shared" si="164"/>
        <v>7.407407407407407E-2</v>
      </c>
      <c r="AO464" s="83">
        <v>2.273E-2</v>
      </c>
      <c r="AP464" s="83">
        <f t="shared" si="174"/>
        <v>0.18172937777777776</v>
      </c>
      <c r="AQ464" s="83">
        <f t="shared" si="165"/>
        <v>0.15378256747709598</v>
      </c>
      <c r="AR464" s="77" t="s">
        <v>238</v>
      </c>
    </row>
    <row r="465" spans="1:44" ht="15" customHeight="1" x14ac:dyDescent="0.25">
      <c r="A465" s="76">
        <v>464</v>
      </c>
      <c r="B465" s="76">
        <v>2012</v>
      </c>
      <c r="C465" s="77" t="s">
        <v>227</v>
      </c>
      <c r="D465" s="76">
        <v>12</v>
      </c>
      <c r="E465" s="78">
        <v>15</v>
      </c>
      <c r="F465" s="79">
        <v>0.6</v>
      </c>
      <c r="G465" s="80">
        <v>60</v>
      </c>
      <c r="H465" s="80">
        <v>20</v>
      </c>
      <c r="I465" s="78">
        <v>20</v>
      </c>
      <c r="J465" s="81">
        <v>0.16189999999999999</v>
      </c>
      <c r="K465" s="77" t="s">
        <v>306</v>
      </c>
      <c r="L465" s="77" t="s">
        <v>36</v>
      </c>
      <c r="M465" s="77" t="s">
        <v>289</v>
      </c>
      <c r="N465" s="77">
        <v>60</v>
      </c>
      <c r="O465" s="77">
        <v>180</v>
      </c>
      <c r="P465" s="78"/>
      <c r="Q465" s="81">
        <v>59</v>
      </c>
      <c r="R465" s="82"/>
      <c r="S465" s="82">
        <v>5.6647377964987413E-4</v>
      </c>
      <c r="T465" s="82">
        <v>980000000</v>
      </c>
      <c r="U465" s="78">
        <v>2484</v>
      </c>
      <c r="V465" s="82">
        <v>1.7919999999999998E-2</v>
      </c>
      <c r="W465" s="82">
        <v>2.3040000000000001E-2</v>
      </c>
      <c r="X465" s="82">
        <v>0.249</v>
      </c>
      <c r="Y465" s="78">
        <v>29.6</v>
      </c>
      <c r="Z465" s="78">
        <v>1075</v>
      </c>
      <c r="AA465" s="78">
        <f t="shared" si="175"/>
        <v>20</v>
      </c>
      <c r="AB465" s="81">
        <f t="shared" si="176"/>
        <v>0.82189116447904176</v>
      </c>
      <c r="AC465" s="81">
        <f t="shared" si="157"/>
        <v>9</v>
      </c>
      <c r="AD465" s="81">
        <v>50</v>
      </c>
      <c r="AE465" s="81">
        <f t="shared" si="158"/>
        <v>46.511627906976742</v>
      </c>
      <c r="AF465" s="81">
        <f t="shared" si="159"/>
        <v>41</v>
      </c>
      <c r="AG465" s="83">
        <v>1</v>
      </c>
      <c r="AH465" s="83">
        <f t="shared" si="172"/>
        <v>4.5555555555555554</v>
      </c>
      <c r="AI465" s="83">
        <f t="shared" si="160"/>
        <v>0.82</v>
      </c>
      <c r="AJ465" s="81">
        <f t="shared" si="161"/>
        <v>10.579172399999999</v>
      </c>
      <c r="AK465" s="81">
        <f t="shared" si="173"/>
        <v>8.2009088372093011</v>
      </c>
      <c r="AL465" s="81">
        <f t="shared" si="163"/>
        <v>1.5791723999999998</v>
      </c>
      <c r="AM465" s="83">
        <v>0.08</v>
      </c>
      <c r="AN465" s="83">
        <f t="shared" si="164"/>
        <v>7.407407407407407E-2</v>
      </c>
      <c r="AO465" s="83">
        <v>2.1329999999999998E-2</v>
      </c>
      <c r="AP465" s="83">
        <f t="shared" si="174"/>
        <v>0.1754636</v>
      </c>
      <c r="AQ465" s="83">
        <f t="shared" si="165"/>
        <v>0.1492718277282257</v>
      </c>
      <c r="AR465" s="77" t="s">
        <v>239</v>
      </c>
    </row>
    <row r="466" spans="1:44" ht="15" hidden="1" customHeight="1" x14ac:dyDescent="0.25">
      <c r="A466" s="76">
        <v>465</v>
      </c>
      <c r="B466" s="76">
        <v>2012</v>
      </c>
      <c r="C466" s="77" t="s">
        <v>227</v>
      </c>
      <c r="D466" s="76">
        <v>13</v>
      </c>
      <c r="E466" s="78">
        <v>23</v>
      </c>
      <c r="F466" s="79">
        <v>0.6</v>
      </c>
      <c r="G466" s="80">
        <v>60</v>
      </c>
      <c r="H466" s="80">
        <v>20</v>
      </c>
      <c r="I466" s="78">
        <v>40</v>
      </c>
      <c r="J466" s="81">
        <v>9.4999999999999998E-3</v>
      </c>
      <c r="K466" s="77" t="s">
        <v>306</v>
      </c>
      <c r="L466" s="77" t="s">
        <v>36</v>
      </c>
      <c r="M466" s="77" t="s">
        <v>34</v>
      </c>
      <c r="N466" s="77" t="s">
        <v>34</v>
      </c>
      <c r="O466" s="77" t="s">
        <v>34</v>
      </c>
      <c r="P466" s="78"/>
      <c r="Q466" s="81">
        <v>13</v>
      </c>
      <c r="R466" s="82"/>
      <c r="S466" s="82">
        <v>5.6647377964987413E-4</v>
      </c>
      <c r="T466" s="82">
        <v>980000000</v>
      </c>
      <c r="U466" s="78">
        <v>2484</v>
      </c>
      <c r="V466" s="82">
        <v>1.7919999999999998E-2</v>
      </c>
      <c r="W466" s="82">
        <v>2.3040000000000001E-2</v>
      </c>
      <c r="X466" s="82">
        <v>0.249</v>
      </c>
      <c r="Y466" s="78">
        <v>29.6</v>
      </c>
      <c r="Z466" s="78">
        <v>1075</v>
      </c>
      <c r="AA466" s="78">
        <f t="shared" si="175"/>
        <v>20</v>
      </c>
      <c r="AB466" s="81">
        <f t="shared" si="176"/>
        <v>0.82189116447904176</v>
      </c>
      <c r="AC466" s="81">
        <f t="shared" si="157"/>
        <v>9</v>
      </c>
      <c r="AD466" s="81">
        <v>50</v>
      </c>
      <c r="AE466" s="81">
        <f t="shared" si="158"/>
        <v>46.511627906976742</v>
      </c>
      <c r="AF466" s="81">
        <f t="shared" si="159"/>
        <v>41</v>
      </c>
      <c r="AG466" s="83">
        <v>1</v>
      </c>
      <c r="AH466" s="83">
        <f t="shared" si="172"/>
        <v>4.5555555555555554</v>
      </c>
      <c r="AI466" s="83">
        <f t="shared" si="160"/>
        <v>0.82</v>
      </c>
      <c r="AJ466" s="81">
        <f t="shared" si="161"/>
        <v>13.5107508</v>
      </c>
      <c r="AK466" s="81">
        <f t="shared" si="173"/>
        <v>10.47345023255814</v>
      </c>
      <c r="AL466" s="81">
        <f t="shared" si="163"/>
        <v>4.5107508000000003</v>
      </c>
      <c r="AM466" s="83">
        <v>0.08</v>
      </c>
      <c r="AN466" s="83">
        <f t="shared" si="164"/>
        <v>7.407407407407407E-2</v>
      </c>
      <c r="AO466" s="83">
        <v>9.4109999999999999E-2</v>
      </c>
      <c r="AP466" s="83">
        <f t="shared" si="174"/>
        <v>0.5011945333333333</v>
      </c>
      <c r="AQ466" s="83">
        <f t="shared" si="165"/>
        <v>0.33386381458534486</v>
      </c>
      <c r="AR466" s="77" t="s">
        <v>34</v>
      </c>
    </row>
    <row r="467" spans="1:44" s="12" customFormat="1" ht="15" customHeight="1" x14ac:dyDescent="0.25">
      <c r="A467" s="3">
        <v>466</v>
      </c>
      <c r="B467" s="3">
        <v>2012</v>
      </c>
      <c r="C467" s="27" t="s">
        <v>160</v>
      </c>
      <c r="D467" s="3">
        <v>1</v>
      </c>
      <c r="E467" s="11">
        <v>41</v>
      </c>
      <c r="F467" s="30">
        <v>0.02</v>
      </c>
      <c r="G467" s="45">
        <v>39</v>
      </c>
      <c r="H467" s="45">
        <v>0</v>
      </c>
      <c r="I467" s="11">
        <v>232</v>
      </c>
      <c r="J467" s="47">
        <v>0.76</v>
      </c>
      <c r="K467" s="27" t="s">
        <v>298</v>
      </c>
      <c r="L467" s="27" t="s">
        <v>305</v>
      </c>
      <c r="M467" s="27" t="s">
        <v>289</v>
      </c>
      <c r="N467" s="27">
        <v>25</v>
      </c>
      <c r="O467" s="27">
        <v>180</v>
      </c>
      <c r="P467" s="11"/>
      <c r="Q467" s="47">
        <v>10</v>
      </c>
      <c r="R467" s="4"/>
      <c r="S467" s="4">
        <v>3.279099088022659E-4</v>
      </c>
      <c r="T467" s="4">
        <v>680000000</v>
      </c>
      <c r="U467" s="11">
        <v>2384</v>
      </c>
      <c r="V467" s="4">
        <v>1.7919999999999998E-2</v>
      </c>
      <c r="W467" s="4">
        <v>2.3040000000000001E-2</v>
      </c>
      <c r="X467" s="4">
        <v>0.249</v>
      </c>
      <c r="Y467" s="11">
        <v>29.6</v>
      </c>
      <c r="Z467" s="11">
        <v>1075</v>
      </c>
      <c r="AA467" s="11">
        <f t="shared" si="175"/>
        <v>120</v>
      </c>
      <c r="AB467" s="47">
        <f t="shared" si="176"/>
        <v>0.82189116447904176</v>
      </c>
      <c r="AC467" s="47">
        <f t="shared" si="157"/>
        <v>61.5</v>
      </c>
      <c r="AD467" s="47">
        <v>300</v>
      </c>
      <c r="AE467" s="47">
        <f t="shared" si="158"/>
        <v>279.06976744186045</v>
      </c>
      <c r="AF467" s="47">
        <f t="shared" si="159"/>
        <v>238.5</v>
      </c>
      <c r="AG467" s="53">
        <v>1</v>
      </c>
      <c r="AH467" s="53">
        <f>159/41</f>
        <v>3.8780487804878048</v>
      </c>
      <c r="AI467" s="53">
        <f t="shared" si="160"/>
        <v>0.79500000000000004</v>
      </c>
      <c r="AJ467" s="47">
        <f t="shared" si="161"/>
        <v>76.176360000000003</v>
      </c>
      <c r="AK467" s="47">
        <f>AJ467/1290/1000</f>
        <v>5.9051441860465122E-5</v>
      </c>
      <c r="AL467" s="47">
        <f t="shared" si="163"/>
        <v>14.676360000000001</v>
      </c>
      <c r="AM467" s="53">
        <v>0</v>
      </c>
      <c r="AN467" s="53">
        <f t="shared" si="164"/>
        <v>0</v>
      </c>
      <c r="AO467" s="53">
        <f>AP467/AH467</f>
        <v>6.153610062893082E-2</v>
      </c>
      <c r="AP467" s="53">
        <v>0.23863999999999999</v>
      </c>
      <c r="AQ467" s="53">
        <f t="shared" si="165"/>
        <v>0.19266292062261836</v>
      </c>
      <c r="AR467" s="27" t="s">
        <v>272</v>
      </c>
    </row>
    <row r="468" spans="1:44" s="10" customFormat="1" ht="15" customHeight="1" x14ac:dyDescent="0.25">
      <c r="A468" s="1">
        <v>467</v>
      </c>
      <c r="B468" s="1">
        <v>2012</v>
      </c>
      <c r="C468" s="28" t="s">
        <v>160</v>
      </c>
      <c r="D468" s="1">
        <v>2</v>
      </c>
      <c r="E468" s="8">
        <v>31</v>
      </c>
      <c r="F468" s="31">
        <v>0.05</v>
      </c>
      <c r="G468" s="49">
        <v>39</v>
      </c>
      <c r="H468" s="49">
        <v>0</v>
      </c>
      <c r="I468" s="8">
        <v>176</v>
      </c>
      <c r="J468" s="51">
        <v>0.22059999999999999</v>
      </c>
      <c r="K468" s="28" t="s">
        <v>298</v>
      </c>
      <c r="L468" s="28" t="s">
        <v>305</v>
      </c>
      <c r="M468" s="28" t="s">
        <v>289</v>
      </c>
      <c r="N468" s="28">
        <v>25</v>
      </c>
      <c r="O468" s="28">
        <v>180</v>
      </c>
      <c r="P468" s="8"/>
      <c r="Q468" s="51">
        <v>12</v>
      </c>
      <c r="R468" s="9"/>
      <c r="S468" s="9">
        <v>3.279099088022659E-4</v>
      </c>
      <c r="T468" s="9">
        <v>680000000</v>
      </c>
      <c r="U468" s="8">
        <v>2384</v>
      </c>
      <c r="V468" s="9">
        <v>1.7919999999999998E-2</v>
      </c>
      <c r="W468" s="9">
        <v>2.3040000000000001E-2</v>
      </c>
      <c r="X468" s="9">
        <v>0.249</v>
      </c>
      <c r="Y468" s="8">
        <v>29.6</v>
      </c>
      <c r="Z468" s="8">
        <v>1075</v>
      </c>
      <c r="AA468" s="8">
        <f t="shared" si="175"/>
        <v>120</v>
      </c>
      <c r="AB468" s="51">
        <f t="shared" si="176"/>
        <v>0.82189116447904176</v>
      </c>
      <c r="AC468" s="51">
        <f t="shared" si="157"/>
        <v>65.399999999999977</v>
      </c>
      <c r="AD468" s="51">
        <v>300</v>
      </c>
      <c r="AE468" s="51">
        <f t="shared" si="158"/>
        <v>279.06976744186045</v>
      </c>
      <c r="AF468" s="51">
        <f t="shared" si="159"/>
        <v>234.60000000000002</v>
      </c>
      <c r="AG468" s="52">
        <v>1</v>
      </c>
      <c r="AH468" s="52">
        <f>391/109</f>
        <v>3.5871559633027523</v>
      </c>
      <c r="AI468" s="52">
        <f t="shared" si="160"/>
        <v>0.78200000000000003</v>
      </c>
      <c r="AJ468" s="51">
        <f t="shared" si="161"/>
        <v>83.236541999999972</v>
      </c>
      <c r="AK468" s="51">
        <f>AJ468/1290/1000</f>
        <v>6.4524451162790674E-5</v>
      </c>
      <c r="AL468" s="51">
        <f t="shared" si="163"/>
        <v>17.836541999999994</v>
      </c>
      <c r="AM468" s="52">
        <v>0</v>
      </c>
      <c r="AN468" s="52">
        <f t="shared" si="164"/>
        <v>0</v>
      </c>
      <c r="AO468" s="52">
        <f>AP468/AH468</f>
        <v>7.6029590792838872E-2</v>
      </c>
      <c r="AP468" s="52">
        <v>0.27272999999999997</v>
      </c>
      <c r="AQ468" s="52">
        <f t="shared" si="165"/>
        <v>0.2142873979555758</v>
      </c>
      <c r="AR468" s="28" t="s">
        <v>272</v>
      </c>
    </row>
    <row r="469" spans="1:44" ht="15" hidden="1" customHeight="1" x14ac:dyDescent="0.25">
      <c r="A469" s="76">
        <v>468</v>
      </c>
      <c r="B469" s="76">
        <v>2013</v>
      </c>
      <c r="C469" s="77" t="s">
        <v>240</v>
      </c>
      <c r="D469" s="76">
        <v>1</v>
      </c>
      <c r="E469" s="78">
        <v>27</v>
      </c>
      <c r="F469" s="79">
        <v>15</v>
      </c>
      <c r="G469" s="75">
        <v>65</v>
      </c>
      <c r="H469" s="75">
        <v>16</v>
      </c>
      <c r="I469" s="78">
        <v>26</v>
      </c>
      <c r="J469" s="81">
        <v>0.12959999999999999</v>
      </c>
      <c r="K469" s="77" t="s">
        <v>306</v>
      </c>
      <c r="L469" s="77" t="s">
        <v>36</v>
      </c>
      <c r="M469" s="77" t="s">
        <v>288</v>
      </c>
      <c r="N469" s="77">
        <v>110</v>
      </c>
      <c r="O469" s="77">
        <v>30</v>
      </c>
      <c r="P469" s="78"/>
      <c r="Q469" s="81">
        <v>22</v>
      </c>
      <c r="R469" s="82"/>
      <c r="S469" s="82">
        <v>9.8231806910786031E-4</v>
      </c>
      <c r="T469" s="82">
        <v>840000000</v>
      </c>
      <c r="U469" s="78">
        <v>2283</v>
      </c>
      <c r="V469" s="82">
        <v>1.7919999999999998E-2</v>
      </c>
      <c r="W469" s="82">
        <v>2.3040000000000001E-2</v>
      </c>
      <c r="X469" s="82">
        <v>0.14899999999999999</v>
      </c>
      <c r="Y469" s="78">
        <v>29.6</v>
      </c>
      <c r="Z469" s="78">
        <v>1075</v>
      </c>
      <c r="AA469" s="78">
        <f t="shared" si="175"/>
        <v>400</v>
      </c>
      <c r="AB469" s="81">
        <f t="shared" si="176"/>
        <v>0.82189116447904176</v>
      </c>
      <c r="AC469" s="81">
        <f t="shared" si="157"/>
        <v>202.02020202020196</v>
      </c>
      <c r="AD469" s="81">
        <v>1000</v>
      </c>
      <c r="AE469" s="81">
        <f t="shared" si="158"/>
        <v>930.23255813953483</v>
      </c>
      <c r="AF469" s="81">
        <f t="shared" si="159"/>
        <v>797.97979797979804</v>
      </c>
      <c r="AG469" s="83">
        <v>1</v>
      </c>
      <c r="AH469" s="83">
        <v>3.95</v>
      </c>
      <c r="AI469" s="83">
        <f t="shared" si="160"/>
        <v>0.79797979797979801</v>
      </c>
      <c r="AJ469" s="81">
        <f t="shared" si="161"/>
        <v>250.29797979797974</v>
      </c>
      <c r="AK469" s="81">
        <f t="shared" ref="AK469:AK500" si="177">AJ469/1290*1000</f>
        <v>194.02944170386027</v>
      </c>
      <c r="AL469" s="81">
        <f t="shared" si="163"/>
        <v>48.277777777777764</v>
      </c>
      <c r="AM469" s="83">
        <v>0</v>
      </c>
      <c r="AN469" s="83">
        <f t="shared" si="164"/>
        <v>0</v>
      </c>
      <c r="AO469" s="83">
        <v>6.0499999999999998E-2</v>
      </c>
      <c r="AP469" s="83">
        <f t="shared" ref="AP469:AP483" si="178">AO469*AH469</f>
        <v>0.23897499999999999</v>
      </c>
      <c r="AQ469" s="83">
        <f t="shared" si="165"/>
        <v>0.19288121229241914</v>
      </c>
      <c r="AR469" s="77" t="s">
        <v>241</v>
      </c>
    </row>
    <row r="470" spans="1:44" ht="15" hidden="1" customHeight="1" x14ac:dyDescent="0.25">
      <c r="A470" s="76">
        <v>469</v>
      </c>
      <c r="B470" s="76">
        <v>2013</v>
      </c>
      <c r="C470" s="77" t="s">
        <v>240</v>
      </c>
      <c r="D470" s="76">
        <v>2</v>
      </c>
      <c r="E470" s="78">
        <v>24</v>
      </c>
      <c r="F470" s="79">
        <v>15</v>
      </c>
      <c r="G470" s="75">
        <v>65</v>
      </c>
      <c r="H470" s="75">
        <v>16</v>
      </c>
      <c r="I470" s="78">
        <v>23</v>
      </c>
      <c r="J470" s="81">
        <v>3.6799999999999999E-2</v>
      </c>
      <c r="K470" s="77" t="s">
        <v>306</v>
      </c>
      <c r="L470" s="77" t="s">
        <v>36</v>
      </c>
      <c r="M470" s="77" t="s">
        <v>288</v>
      </c>
      <c r="N470" s="77">
        <v>110</v>
      </c>
      <c r="O470" s="77">
        <v>60</v>
      </c>
      <c r="P470" s="78"/>
      <c r="Q470" s="81">
        <v>26</v>
      </c>
      <c r="R470" s="82"/>
      <c r="S470" s="82">
        <v>9.8231806910786031E-4</v>
      </c>
      <c r="T470" s="82">
        <v>840000000</v>
      </c>
      <c r="U470" s="78">
        <v>2283</v>
      </c>
      <c r="V470" s="82">
        <v>1.7919999999999998E-2</v>
      </c>
      <c r="W470" s="82">
        <v>2.3040000000000001E-2</v>
      </c>
      <c r="X470" s="82">
        <v>0.14899999999999999</v>
      </c>
      <c r="Y470" s="78">
        <v>29.6</v>
      </c>
      <c r="Z470" s="78">
        <v>1075</v>
      </c>
      <c r="AA470" s="78">
        <f t="shared" si="175"/>
        <v>400</v>
      </c>
      <c r="AB470" s="81">
        <f t="shared" si="176"/>
        <v>0.82189116447904176</v>
      </c>
      <c r="AC470" s="81">
        <f t="shared" si="157"/>
        <v>202.02020202020196</v>
      </c>
      <c r="AD470" s="81">
        <v>1000</v>
      </c>
      <c r="AE470" s="81">
        <f t="shared" si="158"/>
        <v>930.23255813953483</v>
      </c>
      <c r="AF470" s="81">
        <f t="shared" si="159"/>
        <v>797.97979797979804</v>
      </c>
      <c r="AG470" s="83">
        <v>1</v>
      </c>
      <c r="AH470" s="83">
        <v>3.95</v>
      </c>
      <c r="AI470" s="83">
        <f t="shared" si="160"/>
        <v>0.79797979797979801</v>
      </c>
      <c r="AJ470" s="81">
        <f t="shared" si="161"/>
        <v>255.88383838383834</v>
      </c>
      <c r="AK470" s="81">
        <f t="shared" si="177"/>
        <v>198.3595646386344</v>
      </c>
      <c r="AL470" s="81">
        <f t="shared" si="163"/>
        <v>53.86363636363636</v>
      </c>
      <c r="AM470" s="83">
        <v>0</v>
      </c>
      <c r="AN470" s="83">
        <f t="shared" si="164"/>
        <v>0</v>
      </c>
      <c r="AO470" s="83">
        <v>6.7500000000000004E-2</v>
      </c>
      <c r="AP470" s="83">
        <f t="shared" si="178"/>
        <v>0.26662500000000006</v>
      </c>
      <c r="AQ470" s="83">
        <f t="shared" si="165"/>
        <v>0.21050034540609891</v>
      </c>
      <c r="AR470" s="77" t="s">
        <v>242</v>
      </c>
    </row>
    <row r="471" spans="1:44" ht="15" hidden="1" customHeight="1" x14ac:dyDescent="0.25">
      <c r="A471" s="76">
        <v>470</v>
      </c>
      <c r="B471" s="76">
        <v>2013</v>
      </c>
      <c r="C471" s="77" t="s">
        <v>240</v>
      </c>
      <c r="D471" s="76">
        <v>3</v>
      </c>
      <c r="E471" s="78">
        <v>17</v>
      </c>
      <c r="F471" s="79">
        <v>15</v>
      </c>
      <c r="G471" s="75">
        <v>65</v>
      </c>
      <c r="H471" s="75">
        <v>16</v>
      </c>
      <c r="I471" s="78">
        <v>16</v>
      </c>
      <c r="J471" s="81">
        <v>4.2999999999999997E-2</v>
      </c>
      <c r="K471" s="77" t="s">
        <v>306</v>
      </c>
      <c r="L471" s="77" t="s">
        <v>36</v>
      </c>
      <c r="M471" s="77" t="s">
        <v>288</v>
      </c>
      <c r="N471" s="77">
        <v>110</v>
      </c>
      <c r="O471" s="77">
        <v>90</v>
      </c>
      <c r="P471" s="78"/>
      <c r="Q471" s="81">
        <v>38</v>
      </c>
      <c r="R471" s="82"/>
      <c r="S471" s="82">
        <v>9.8231806910786031E-4</v>
      </c>
      <c r="T471" s="82">
        <v>840000000</v>
      </c>
      <c r="U471" s="78">
        <v>2283</v>
      </c>
      <c r="V471" s="82">
        <v>1.7919999999999998E-2</v>
      </c>
      <c r="W471" s="82">
        <v>2.3040000000000001E-2</v>
      </c>
      <c r="X471" s="82">
        <v>0.14899999999999999</v>
      </c>
      <c r="Y471" s="78">
        <v>29.6</v>
      </c>
      <c r="Z471" s="78">
        <v>1075</v>
      </c>
      <c r="AA471" s="78">
        <f t="shared" si="175"/>
        <v>400</v>
      </c>
      <c r="AB471" s="81">
        <f t="shared" si="176"/>
        <v>0.82189116447904176</v>
      </c>
      <c r="AC471" s="81">
        <f t="shared" si="157"/>
        <v>202.02020202020196</v>
      </c>
      <c r="AD471" s="81">
        <v>1000</v>
      </c>
      <c r="AE471" s="81">
        <f t="shared" si="158"/>
        <v>930.23255813953483</v>
      </c>
      <c r="AF471" s="81">
        <f t="shared" si="159"/>
        <v>797.97979797979804</v>
      </c>
      <c r="AG471" s="83">
        <v>1</v>
      </c>
      <c r="AH471" s="83">
        <v>3.95</v>
      </c>
      <c r="AI471" s="83">
        <f t="shared" si="160"/>
        <v>0.79797979797979801</v>
      </c>
      <c r="AJ471" s="81">
        <f t="shared" si="161"/>
        <v>255.97959595959591</v>
      </c>
      <c r="AK471" s="81">
        <f t="shared" si="177"/>
        <v>198.4337953175162</v>
      </c>
      <c r="AL471" s="81">
        <f t="shared" si="163"/>
        <v>53.959393939393934</v>
      </c>
      <c r="AM471" s="83">
        <v>0</v>
      </c>
      <c r="AN471" s="83">
        <f t="shared" si="164"/>
        <v>0</v>
      </c>
      <c r="AO471" s="83">
        <v>6.762E-2</v>
      </c>
      <c r="AP471" s="83">
        <f t="shared" si="178"/>
        <v>0.26709900000000003</v>
      </c>
      <c r="AQ471" s="83">
        <f t="shared" si="165"/>
        <v>0.21079568368375323</v>
      </c>
      <c r="AR471" s="77" t="s">
        <v>243</v>
      </c>
    </row>
    <row r="472" spans="1:44" ht="15" hidden="1" customHeight="1" x14ac:dyDescent="0.25">
      <c r="A472" s="76">
        <v>471</v>
      </c>
      <c r="B472" s="76">
        <v>2013</v>
      </c>
      <c r="C472" s="77" t="s">
        <v>240</v>
      </c>
      <c r="D472" s="76">
        <v>4</v>
      </c>
      <c r="E472" s="78">
        <v>16</v>
      </c>
      <c r="F472" s="79">
        <v>15</v>
      </c>
      <c r="G472" s="75">
        <v>65</v>
      </c>
      <c r="H472" s="75">
        <v>16</v>
      </c>
      <c r="I472" s="78">
        <v>15</v>
      </c>
      <c r="J472" s="81">
        <v>6.6799999999999998E-2</v>
      </c>
      <c r="K472" s="77" t="s">
        <v>306</v>
      </c>
      <c r="L472" s="77" t="s">
        <v>36</v>
      </c>
      <c r="M472" s="77" t="s">
        <v>288</v>
      </c>
      <c r="N472" s="77">
        <v>110</v>
      </c>
      <c r="O472" s="77">
        <v>120</v>
      </c>
      <c r="P472" s="78"/>
      <c r="Q472" s="81">
        <v>46</v>
      </c>
      <c r="R472" s="82"/>
      <c r="S472" s="82">
        <v>9.8231806910786031E-4</v>
      </c>
      <c r="T472" s="82">
        <v>840000000</v>
      </c>
      <c r="U472" s="78">
        <v>2283</v>
      </c>
      <c r="V472" s="82">
        <v>1.7919999999999998E-2</v>
      </c>
      <c r="W472" s="82">
        <v>2.3040000000000001E-2</v>
      </c>
      <c r="X472" s="82">
        <v>0.14899999999999999</v>
      </c>
      <c r="Y472" s="78">
        <v>29.6</v>
      </c>
      <c r="Z472" s="78">
        <v>1075</v>
      </c>
      <c r="AA472" s="78">
        <f t="shared" si="175"/>
        <v>400</v>
      </c>
      <c r="AB472" s="81">
        <f t="shared" si="176"/>
        <v>0.82189116447904176</v>
      </c>
      <c r="AC472" s="81">
        <f t="shared" si="157"/>
        <v>202.02020202020196</v>
      </c>
      <c r="AD472" s="81">
        <v>1000</v>
      </c>
      <c r="AE472" s="81">
        <f t="shared" si="158"/>
        <v>930.23255813953483</v>
      </c>
      <c r="AF472" s="81">
        <f t="shared" si="159"/>
        <v>797.97979797979804</v>
      </c>
      <c r="AG472" s="83">
        <v>1</v>
      </c>
      <c r="AH472" s="83">
        <v>3.95</v>
      </c>
      <c r="AI472" s="83">
        <f t="shared" si="160"/>
        <v>0.79797979797979801</v>
      </c>
      <c r="AJ472" s="81">
        <f t="shared" si="161"/>
        <v>250.29797979797974</v>
      </c>
      <c r="AK472" s="81">
        <f t="shared" si="177"/>
        <v>194.02944170386027</v>
      </c>
      <c r="AL472" s="81">
        <f t="shared" si="163"/>
        <v>48.277777777777764</v>
      </c>
      <c r="AM472" s="83">
        <v>0</v>
      </c>
      <c r="AN472" s="83">
        <f t="shared" si="164"/>
        <v>0</v>
      </c>
      <c r="AO472" s="83">
        <v>6.0499999999999998E-2</v>
      </c>
      <c r="AP472" s="83">
        <f t="shared" si="178"/>
        <v>0.23897499999999999</v>
      </c>
      <c r="AQ472" s="83">
        <f t="shared" si="165"/>
        <v>0.19288121229241914</v>
      </c>
      <c r="AR472" s="77" t="s">
        <v>244</v>
      </c>
    </row>
    <row r="473" spans="1:44" ht="15" hidden="1" customHeight="1" x14ac:dyDescent="0.25">
      <c r="A473" s="76">
        <v>472</v>
      </c>
      <c r="B473" s="76">
        <v>2013</v>
      </c>
      <c r="C473" s="77" t="s">
        <v>240</v>
      </c>
      <c r="D473" s="76">
        <v>5</v>
      </c>
      <c r="E473" s="78">
        <v>19</v>
      </c>
      <c r="F473" s="79">
        <v>15</v>
      </c>
      <c r="G473" s="75">
        <v>65</v>
      </c>
      <c r="H473" s="75">
        <v>16</v>
      </c>
      <c r="I473" s="78">
        <v>18</v>
      </c>
      <c r="J473" s="81">
        <v>6.7900000000000002E-2</v>
      </c>
      <c r="K473" s="77" t="s">
        <v>306</v>
      </c>
      <c r="L473" s="77" t="s">
        <v>36</v>
      </c>
      <c r="M473" s="77" t="s">
        <v>288</v>
      </c>
      <c r="N473" s="77">
        <v>90</v>
      </c>
      <c r="O473" s="77">
        <v>90</v>
      </c>
      <c r="P473" s="78"/>
      <c r="Q473" s="81">
        <v>48</v>
      </c>
      <c r="R473" s="82"/>
      <c r="S473" s="82">
        <v>9.8231806910786031E-4</v>
      </c>
      <c r="T473" s="82">
        <v>840000000</v>
      </c>
      <c r="U473" s="78">
        <v>2283</v>
      </c>
      <c r="V473" s="82">
        <v>1.7919999999999998E-2</v>
      </c>
      <c r="W473" s="82">
        <v>2.3040000000000001E-2</v>
      </c>
      <c r="X473" s="82">
        <v>0.14899999999999999</v>
      </c>
      <c r="Y473" s="78">
        <v>29.6</v>
      </c>
      <c r="Z473" s="78">
        <v>1075</v>
      </c>
      <c r="AA473" s="78">
        <f t="shared" si="175"/>
        <v>400</v>
      </c>
      <c r="AB473" s="81">
        <f t="shared" si="176"/>
        <v>0.82189116447904176</v>
      </c>
      <c r="AC473" s="81">
        <f t="shared" si="157"/>
        <v>202.02020202020196</v>
      </c>
      <c r="AD473" s="81">
        <v>1000</v>
      </c>
      <c r="AE473" s="81">
        <f t="shared" si="158"/>
        <v>930.23255813953483</v>
      </c>
      <c r="AF473" s="81">
        <f t="shared" si="159"/>
        <v>797.97979797979804</v>
      </c>
      <c r="AG473" s="83">
        <v>1</v>
      </c>
      <c r="AH473" s="83">
        <v>3.95</v>
      </c>
      <c r="AI473" s="83">
        <f t="shared" si="160"/>
        <v>0.79797979797979801</v>
      </c>
      <c r="AJ473" s="81">
        <f t="shared" si="161"/>
        <v>249.04515151515147</v>
      </c>
      <c r="AK473" s="81">
        <f t="shared" si="177"/>
        <v>193.05825698848952</v>
      </c>
      <c r="AL473" s="81">
        <f t="shared" si="163"/>
        <v>47.024949494949496</v>
      </c>
      <c r="AM473" s="83">
        <v>0</v>
      </c>
      <c r="AN473" s="83">
        <f t="shared" si="164"/>
        <v>0</v>
      </c>
      <c r="AO473" s="83">
        <v>5.8930000000000003E-2</v>
      </c>
      <c r="AP473" s="83">
        <f t="shared" si="178"/>
        <v>0.23277350000000002</v>
      </c>
      <c r="AQ473" s="83">
        <f t="shared" si="165"/>
        <v>0.18882097968523823</v>
      </c>
      <c r="AR473" s="77" t="s">
        <v>245</v>
      </c>
    </row>
    <row r="474" spans="1:44" ht="15" hidden="1" customHeight="1" x14ac:dyDescent="0.25">
      <c r="A474" s="76">
        <v>473</v>
      </c>
      <c r="B474" s="76">
        <v>2013</v>
      </c>
      <c r="C474" s="77" t="s">
        <v>240</v>
      </c>
      <c r="D474" s="76">
        <v>6</v>
      </c>
      <c r="E474" s="78">
        <v>18</v>
      </c>
      <c r="F474" s="79">
        <v>15</v>
      </c>
      <c r="G474" s="75">
        <v>65</v>
      </c>
      <c r="H474" s="75">
        <v>16</v>
      </c>
      <c r="I474" s="78">
        <v>17</v>
      </c>
      <c r="J474" s="81">
        <v>0.1096</v>
      </c>
      <c r="K474" s="77" t="s">
        <v>306</v>
      </c>
      <c r="L474" s="77" t="s">
        <v>36</v>
      </c>
      <c r="M474" s="77" t="s">
        <v>288</v>
      </c>
      <c r="N474" s="77">
        <v>100</v>
      </c>
      <c r="O474" s="77">
        <v>90</v>
      </c>
      <c r="P474" s="78"/>
      <c r="Q474" s="81">
        <v>44</v>
      </c>
      <c r="R474" s="82"/>
      <c r="S474" s="82">
        <v>9.8231806910786031E-4</v>
      </c>
      <c r="T474" s="82">
        <v>840000000</v>
      </c>
      <c r="U474" s="78">
        <v>2283</v>
      </c>
      <c r="V474" s="82">
        <v>1.7919999999999998E-2</v>
      </c>
      <c r="W474" s="82">
        <v>2.3040000000000001E-2</v>
      </c>
      <c r="X474" s="82">
        <v>0.14899999999999999</v>
      </c>
      <c r="Y474" s="78">
        <v>29.6</v>
      </c>
      <c r="Z474" s="78">
        <v>1075</v>
      </c>
      <c r="AA474" s="78">
        <f t="shared" si="175"/>
        <v>400</v>
      </c>
      <c r="AB474" s="81">
        <f t="shared" si="176"/>
        <v>0.82189116447904176</v>
      </c>
      <c r="AC474" s="81">
        <f t="shared" si="157"/>
        <v>202.02020202020196</v>
      </c>
      <c r="AD474" s="81">
        <v>1000</v>
      </c>
      <c r="AE474" s="81">
        <f t="shared" si="158"/>
        <v>930.23255813953483</v>
      </c>
      <c r="AF474" s="81">
        <f t="shared" si="159"/>
        <v>797.97979797979804</v>
      </c>
      <c r="AG474" s="83">
        <v>1</v>
      </c>
      <c r="AH474" s="83">
        <v>3.95</v>
      </c>
      <c r="AI474" s="83">
        <f t="shared" si="160"/>
        <v>0.79797979797979801</v>
      </c>
      <c r="AJ474" s="81">
        <f t="shared" si="161"/>
        <v>247.61676767676761</v>
      </c>
      <c r="AK474" s="81">
        <f t="shared" si="177"/>
        <v>191.9509826951687</v>
      </c>
      <c r="AL474" s="81">
        <f t="shared" si="163"/>
        <v>45.596565656565645</v>
      </c>
      <c r="AM474" s="83">
        <v>0</v>
      </c>
      <c r="AN474" s="83">
        <f t="shared" si="164"/>
        <v>0</v>
      </c>
      <c r="AO474" s="83">
        <v>5.7140000000000003E-2</v>
      </c>
      <c r="AP474" s="83">
        <f t="shared" si="178"/>
        <v>0.22570300000000001</v>
      </c>
      <c r="AQ474" s="83">
        <f t="shared" si="165"/>
        <v>0.18414167216691157</v>
      </c>
      <c r="AR474" s="77" t="s">
        <v>246</v>
      </c>
    </row>
    <row r="475" spans="1:44" ht="15" hidden="1" customHeight="1" x14ac:dyDescent="0.25">
      <c r="A475" s="76">
        <v>474</v>
      </c>
      <c r="B475" s="76">
        <v>2013</v>
      </c>
      <c r="C475" s="77" t="s">
        <v>240</v>
      </c>
      <c r="D475" s="76">
        <v>7</v>
      </c>
      <c r="E475" s="78">
        <v>17</v>
      </c>
      <c r="F475" s="79">
        <v>15</v>
      </c>
      <c r="G475" s="75">
        <v>65</v>
      </c>
      <c r="H475" s="75">
        <v>16</v>
      </c>
      <c r="I475" s="78">
        <v>16</v>
      </c>
      <c r="J475" s="81">
        <v>0.10009999999999999</v>
      </c>
      <c r="K475" s="77" t="s">
        <v>306</v>
      </c>
      <c r="L475" s="77" t="s">
        <v>36</v>
      </c>
      <c r="M475" s="77" t="s">
        <v>288</v>
      </c>
      <c r="N475" s="77">
        <v>120</v>
      </c>
      <c r="O475" s="77">
        <v>90</v>
      </c>
      <c r="P475" s="78"/>
      <c r="Q475" s="81">
        <v>46</v>
      </c>
      <c r="R475" s="82"/>
      <c r="S475" s="82">
        <v>9.8231806910786031E-4</v>
      </c>
      <c r="T475" s="82">
        <v>840000000</v>
      </c>
      <c r="U475" s="78">
        <v>2283</v>
      </c>
      <c r="V475" s="82">
        <v>1.7919999999999998E-2</v>
      </c>
      <c r="W475" s="82">
        <v>2.3040000000000001E-2</v>
      </c>
      <c r="X475" s="82">
        <v>0.14899999999999999</v>
      </c>
      <c r="Y475" s="78">
        <v>29.6</v>
      </c>
      <c r="Z475" s="78">
        <v>1075</v>
      </c>
      <c r="AA475" s="78">
        <f t="shared" si="175"/>
        <v>400</v>
      </c>
      <c r="AB475" s="81">
        <f t="shared" si="176"/>
        <v>0.82189116447904176</v>
      </c>
      <c r="AC475" s="81">
        <f t="shared" si="157"/>
        <v>202.02020202020196</v>
      </c>
      <c r="AD475" s="81">
        <v>1000</v>
      </c>
      <c r="AE475" s="81">
        <f t="shared" si="158"/>
        <v>930.23255813953483</v>
      </c>
      <c r="AF475" s="81">
        <f t="shared" si="159"/>
        <v>797.97979797979804</v>
      </c>
      <c r="AG475" s="83">
        <v>1</v>
      </c>
      <c r="AH475" s="83">
        <v>3.95</v>
      </c>
      <c r="AI475" s="83">
        <f t="shared" si="160"/>
        <v>0.79797979797979801</v>
      </c>
      <c r="AJ475" s="81">
        <f t="shared" si="161"/>
        <v>243.41939393939387</v>
      </c>
      <c r="AK475" s="81">
        <f t="shared" si="177"/>
        <v>188.69720460418131</v>
      </c>
      <c r="AL475" s="81">
        <f t="shared" si="163"/>
        <v>41.399191919191914</v>
      </c>
      <c r="AM475" s="83">
        <v>0</v>
      </c>
      <c r="AN475" s="83">
        <f t="shared" si="164"/>
        <v>0</v>
      </c>
      <c r="AO475" s="83">
        <v>5.1880000000000003E-2</v>
      </c>
      <c r="AP475" s="83">
        <f t="shared" si="178"/>
        <v>0.20492600000000002</v>
      </c>
      <c r="AQ475" s="83">
        <f t="shared" si="165"/>
        <v>0.17007351488805125</v>
      </c>
      <c r="AR475" s="77" t="s">
        <v>247</v>
      </c>
    </row>
    <row r="476" spans="1:44" ht="15" hidden="1" customHeight="1" x14ac:dyDescent="0.25">
      <c r="A476" s="76">
        <v>475</v>
      </c>
      <c r="B476" s="76">
        <v>2013</v>
      </c>
      <c r="C476" s="77" t="s">
        <v>240</v>
      </c>
      <c r="D476" s="76">
        <v>8</v>
      </c>
      <c r="E476" s="78">
        <v>26</v>
      </c>
      <c r="F476" s="79">
        <v>15</v>
      </c>
      <c r="G476" s="75">
        <v>55</v>
      </c>
      <c r="H476" s="75">
        <v>25</v>
      </c>
      <c r="I476" s="78">
        <v>25</v>
      </c>
      <c r="J476" s="81">
        <v>0.21579999999999999</v>
      </c>
      <c r="K476" s="77" t="s">
        <v>306</v>
      </c>
      <c r="L476" s="77" t="s">
        <v>36</v>
      </c>
      <c r="M476" s="77" t="s">
        <v>288</v>
      </c>
      <c r="N476" s="77">
        <v>110</v>
      </c>
      <c r="O476" s="77">
        <v>90</v>
      </c>
      <c r="P476" s="78"/>
      <c r="Q476" s="81">
        <v>55</v>
      </c>
      <c r="R476" s="82"/>
      <c r="S476" s="82">
        <v>7.9965866041946496E-4</v>
      </c>
      <c r="T476" s="82">
        <v>840000000</v>
      </c>
      <c r="U476" s="78">
        <v>2283</v>
      </c>
      <c r="V476" s="82">
        <v>1.7919999999999998E-2</v>
      </c>
      <c r="W476" s="82">
        <v>2.3040000000000001E-2</v>
      </c>
      <c r="X476" s="82">
        <v>0.14899999999999999</v>
      </c>
      <c r="Y476" s="78">
        <v>29.6</v>
      </c>
      <c r="Z476" s="78">
        <v>1075</v>
      </c>
      <c r="AA476" s="78">
        <f t="shared" si="175"/>
        <v>400</v>
      </c>
      <c r="AB476" s="81">
        <f t="shared" si="176"/>
        <v>0.82189116447904176</v>
      </c>
      <c r="AC476" s="81">
        <f t="shared" si="157"/>
        <v>202.02020202020196</v>
      </c>
      <c r="AD476" s="81">
        <v>1000</v>
      </c>
      <c r="AE476" s="81">
        <f t="shared" si="158"/>
        <v>930.23255813953483</v>
      </c>
      <c r="AF476" s="81">
        <f t="shared" si="159"/>
        <v>797.97979797979804</v>
      </c>
      <c r="AG476" s="83">
        <v>1</v>
      </c>
      <c r="AH476" s="83">
        <v>3.95</v>
      </c>
      <c r="AI476" s="83">
        <f t="shared" si="160"/>
        <v>0.79797979797979801</v>
      </c>
      <c r="AJ476" s="81">
        <f t="shared" si="161"/>
        <v>243.61888888888882</v>
      </c>
      <c r="AK476" s="81">
        <f t="shared" si="177"/>
        <v>188.85185185185179</v>
      </c>
      <c r="AL476" s="81">
        <f t="shared" si="163"/>
        <v>41.598686868686862</v>
      </c>
      <c r="AM476" s="83">
        <v>0</v>
      </c>
      <c r="AN476" s="83">
        <f t="shared" si="164"/>
        <v>0</v>
      </c>
      <c r="AO476" s="83">
        <v>5.2130000000000003E-2</v>
      </c>
      <c r="AP476" s="83">
        <f t="shared" si="178"/>
        <v>0.20591350000000003</v>
      </c>
      <c r="AQ476" s="83">
        <f t="shared" si="165"/>
        <v>0.17075312615705854</v>
      </c>
      <c r="AR476" s="77" t="s">
        <v>243</v>
      </c>
    </row>
    <row r="477" spans="1:44" ht="15" hidden="1" customHeight="1" x14ac:dyDescent="0.25">
      <c r="A477" s="76">
        <v>476</v>
      </c>
      <c r="B477" s="76">
        <v>2013</v>
      </c>
      <c r="C477" s="77" t="s">
        <v>240</v>
      </c>
      <c r="D477" s="76">
        <v>9</v>
      </c>
      <c r="E477" s="78">
        <v>20</v>
      </c>
      <c r="F477" s="79">
        <v>15</v>
      </c>
      <c r="G477" s="75">
        <v>60</v>
      </c>
      <c r="H477" s="75">
        <v>20</v>
      </c>
      <c r="I477" s="78">
        <v>19</v>
      </c>
      <c r="J477" s="81">
        <v>0.1298</v>
      </c>
      <c r="K477" s="77" t="s">
        <v>306</v>
      </c>
      <c r="L477" s="77" t="s">
        <v>36</v>
      </c>
      <c r="M477" s="77" t="s">
        <v>288</v>
      </c>
      <c r="N477" s="77">
        <v>110</v>
      </c>
      <c r="O477" s="77">
        <v>90</v>
      </c>
      <c r="P477" s="78"/>
      <c r="Q477" s="81">
        <v>54</v>
      </c>
      <c r="R477" s="82"/>
      <c r="S477" s="82">
        <v>8.8766448366671196E-4</v>
      </c>
      <c r="T477" s="82">
        <v>840000000</v>
      </c>
      <c r="U477" s="78">
        <v>2283</v>
      </c>
      <c r="V477" s="82">
        <v>1.7919999999999998E-2</v>
      </c>
      <c r="W477" s="82">
        <v>2.3040000000000001E-2</v>
      </c>
      <c r="X477" s="82">
        <v>0.14899999999999999</v>
      </c>
      <c r="Y477" s="78">
        <v>29.6</v>
      </c>
      <c r="Z477" s="78">
        <v>1075</v>
      </c>
      <c r="AA477" s="78">
        <f t="shared" si="175"/>
        <v>400</v>
      </c>
      <c r="AB477" s="81">
        <f t="shared" si="176"/>
        <v>0.82189116447904176</v>
      </c>
      <c r="AC477" s="81">
        <f t="shared" si="157"/>
        <v>202.02020202020196</v>
      </c>
      <c r="AD477" s="81">
        <v>1000</v>
      </c>
      <c r="AE477" s="81">
        <f t="shared" si="158"/>
        <v>930.23255813953483</v>
      </c>
      <c r="AF477" s="81">
        <f t="shared" si="159"/>
        <v>797.97979797979804</v>
      </c>
      <c r="AG477" s="83">
        <v>1</v>
      </c>
      <c r="AH477" s="83">
        <v>3.95</v>
      </c>
      <c r="AI477" s="83">
        <f t="shared" si="160"/>
        <v>0.79797979797979801</v>
      </c>
      <c r="AJ477" s="81">
        <f t="shared" si="161"/>
        <v>251.1837373737373</v>
      </c>
      <c r="AK477" s="81">
        <f t="shared" si="177"/>
        <v>194.7160754835173</v>
      </c>
      <c r="AL477" s="81">
        <f t="shared" si="163"/>
        <v>49.163535353535345</v>
      </c>
      <c r="AM477" s="83">
        <v>0</v>
      </c>
      <c r="AN477" s="83">
        <f t="shared" si="164"/>
        <v>0</v>
      </c>
      <c r="AO477" s="83">
        <v>6.1609999999999998E-2</v>
      </c>
      <c r="AP477" s="83">
        <f t="shared" si="178"/>
        <v>0.24335950000000001</v>
      </c>
      <c r="AQ477" s="83">
        <f t="shared" si="165"/>
        <v>0.19572738214490662</v>
      </c>
      <c r="AR477" s="77" t="s">
        <v>243</v>
      </c>
    </row>
    <row r="478" spans="1:44" ht="15" hidden="1" customHeight="1" x14ac:dyDescent="0.25">
      <c r="A478" s="76">
        <v>477</v>
      </c>
      <c r="B478" s="76">
        <v>2013</v>
      </c>
      <c r="C478" s="77" t="s">
        <v>240</v>
      </c>
      <c r="D478" s="76">
        <v>10</v>
      </c>
      <c r="E478" s="78">
        <v>13</v>
      </c>
      <c r="F478" s="79">
        <v>15</v>
      </c>
      <c r="G478" s="75">
        <v>70</v>
      </c>
      <c r="H478" s="75">
        <v>13</v>
      </c>
      <c r="I478" s="78">
        <v>12</v>
      </c>
      <c r="J478" s="81">
        <v>3.8399999999999997E-2</v>
      </c>
      <c r="K478" s="77" t="s">
        <v>306</v>
      </c>
      <c r="L478" s="77" t="s">
        <v>36</v>
      </c>
      <c r="M478" s="77" t="s">
        <v>288</v>
      </c>
      <c r="N478" s="77">
        <v>110</v>
      </c>
      <c r="O478" s="77">
        <v>90</v>
      </c>
      <c r="P478" s="78"/>
      <c r="Q478" s="81">
        <v>49</v>
      </c>
      <c r="R478" s="82"/>
      <c r="S478" s="82">
        <v>1.0838598408853613E-3</v>
      </c>
      <c r="T478" s="82">
        <v>840000000</v>
      </c>
      <c r="U478" s="78">
        <v>2283</v>
      </c>
      <c r="V478" s="82">
        <v>1.7919999999999998E-2</v>
      </c>
      <c r="W478" s="82">
        <v>2.3040000000000001E-2</v>
      </c>
      <c r="X478" s="82">
        <v>0.14899999999999999</v>
      </c>
      <c r="Y478" s="78">
        <v>29.6</v>
      </c>
      <c r="Z478" s="78">
        <v>1075</v>
      </c>
      <c r="AA478" s="78">
        <f t="shared" si="175"/>
        <v>400</v>
      </c>
      <c r="AB478" s="81">
        <f t="shared" si="176"/>
        <v>0.82189116447904176</v>
      </c>
      <c r="AC478" s="81">
        <f t="shared" si="157"/>
        <v>202.02020202020196</v>
      </c>
      <c r="AD478" s="81">
        <v>1000</v>
      </c>
      <c r="AE478" s="81">
        <f t="shared" si="158"/>
        <v>930.23255813953483</v>
      </c>
      <c r="AF478" s="81">
        <f t="shared" si="159"/>
        <v>797.97979797979804</v>
      </c>
      <c r="AG478" s="83">
        <v>1</v>
      </c>
      <c r="AH478" s="83">
        <v>3.95</v>
      </c>
      <c r="AI478" s="83">
        <f t="shared" si="160"/>
        <v>0.79797979797979801</v>
      </c>
      <c r="AJ478" s="81">
        <f t="shared" si="161"/>
        <v>238.43999999999994</v>
      </c>
      <c r="AK478" s="81">
        <f t="shared" si="177"/>
        <v>184.83720930232553</v>
      </c>
      <c r="AL478" s="81">
        <f t="shared" si="163"/>
        <v>36.419797979797977</v>
      </c>
      <c r="AM478" s="83">
        <v>0</v>
      </c>
      <c r="AN478" s="83">
        <f t="shared" si="164"/>
        <v>0</v>
      </c>
      <c r="AO478" s="83">
        <v>4.564E-2</v>
      </c>
      <c r="AP478" s="83">
        <f t="shared" si="178"/>
        <v>0.18027800000000002</v>
      </c>
      <c r="AQ478" s="83">
        <f t="shared" si="165"/>
        <v>0.15274198112648041</v>
      </c>
      <c r="AR478" s="77" t="s">
        <v>243</v>
      </c>
    </row>
    <row r="479" spans="1:44" s="12" customFormat="1" ht="15" customHeight="1" x14ac:dyDescent="0.25">
      <c r="A479" s="3">
        <v>478</v>
      </c>
      <c r="B479" s="3">
        <v>2013</v>
      </c>
      <c r="C479" s="27" t="s">
        <v>248</v>
      </c>
      <c r="D479" s="3">
        <v>1</v>
      </c>
      <c r="E479" s="11">
        <v>49</v>
      </c>
      <c r="F479" s="34">
        <v>1.4</v>
      </c>
      <c r="G479" s="58">
        <v>50</v>
      </c>
      <c r="H479" s="58">
        <v>32</v>
      </c>
      <c r="I479" s="11">
        <v>48</v>
      </c>
      <c r="J479" s="47">
        <v>1.4800000000000001E-2</v>
      </c>
      <c r="K479" s="27" t="s">
        <v>306</v>
      </c>
      <c r="L479" s="27" t="s">
        <v>36</v>
      </c>
      <c r="M479" s="27" t="s">
        <v>289</v>
      </c>
      <c r="N479" s="27">
        <v>25</v>
      </c>
      <c r="O479" s="27">
        <v>60</v>
      </c>
      <c r="P479" s="11"/>
      <c r="Q479" s="47">
        <v>17</v>
      </c>
      <c r="R479" s="4"/>
      <c r="S479" s="4">
        <v>1.0414371423140844E-4</v>
      </c>
      <c r="T479" s="4">
        <v>780000000</v>
      </c>
      <c r="U479" s="11">
        <v>2883</v>
      </c>
      <c r="V479" s="4">
        <v>1.7919999999999998E-2</v>
      </c>
      <c r="W479" s="4">
        <v>2.3040000000000001E-2</v>
      </c>
      <c r="X479" s="4">
        <v>0.14899999999999999</v>
      </c>
      <c r="Y479" s="11">
        <v>29.6</v>
      </c>
      <c r="Z479" s="11">
        <v>1075</v>
      </c>
      <c r="AA479" s="11">
        <f t="shared" si="175"/>
        <v>120</v>
      </c>
      <c r="AB479" s="47">
        <f t="shared" si="176"/>
        <v>0.82189116447904176</v>
      </c>
      <c r="AC479" s="47">
        <f t="shared" si="157"/>
        <v>83.333333333333343</v>
      </c>
      <c r="AD479" s="47">
        <v>300</v>
      </c>
      <c r="AE479" s="47">
        <f t="shared" si="158"/>
        <v>279.06976744186045</v>
      </c>
      <c r="AF479" s="47">
        <f t="shared" si="159"/>
        <v>216.66666666666666</v>
      </c>
      <c r="AG479" s="53">
        <v>1</v>
      </c>
      <c r="AH479" s="53">
        <v>2.6</v>
      </c>
      <c r="AI479" s="53">
        <f t="shared" si="160"/>
        <v>0.72222222222222221</v>
      </c>
      <c r="AJ479" s="47">
        <f t="shared" si="161"/>
        <v>129.91233333333332</v>
      </c>
      <c r="AK479" s="47">
        <f t="shared" si="177"/>
        <v>100.70723514211885</v>
      </c>
      <c r="AL479" s="47">
        <f t="shared" si="163"/>
        <v>46.578999999999994</v>
      </c>
      <c r="AM479" s="53">
        <v>0</v>
      </c>
      <c r="AN479" s="53">
        <f t="shared" si="164"/>
        <v>0</v>
      </c>
      <c r="AO479" s="53">
        <v>0.21498</v>
      </c>
      <c r="AP479" s="53">
        <f t="shared" si="178"/>
        <v>0.558948</v>
      </c>
      <c r="AQ479" s="53">
        <f t="shared" si="165"/>
        <v>0.35854178587098479</v>
      </c>
      <c r="AR479" s="27" t="s">
        <v>249</v>
      </c>
    </row>
    <row r="480" spans="1:44" ht="15" customHeight="1" x14ac:dyDescent="0.25">
      <c r="A480" s="76">
        <v>479</v>
      </c>
      <c r="B480" s="76">
        <v>2013</v>
      </c>
      <c r="C480" s="77" t="s">
        <v>248</v>
      </c>
      <c r="D480" s="76">
        <v>2</v>
      </c>
      <c r="E480" s="78">
        <v>29</v>
      </c>
      <c r="F480" s="74">
        <v>1.4</v>
      </c>
      <c r="G480" s="75">
        <v>60</v>
      </c>
      <c r="H480" s="75">
        <v>20</v>
      </c>
      <c r="I480" s="78">
        <v>28</v>
      </c>
      <c r="J480" s="81">
        <v>3.49E-2</v>
      </c>
      <c r="K480" s="77" t="s">
        <v>306</v>
      </c>
      <c r="L480" s="77" t="s">
        <v>36</v>
      </c>
      <c r="M480" s="77" t="s">
        <v>289</v>
      </c>
      <c r="N480" s="77">
        <v>25</v>
      </c>
      <c r="O480" s="77">
        <v>60</v>
      </c>
      <c r="P480" s="78"/>
      <c r="Q480" s="81">
        <v>16</v>
      </c>
      <c r="R480" s="82"/>
      <c r="S480" s="82">
        <v>1.3612170547541296E-4</v>
      </c>
      <c r="T480" s="82">
        <v>780000000</v>
      </c>
      <c r="U480" s="78">
        <v>2883</v>
      </c>
      <c r="V480" s="82">
        <v>1.7919999999999998E-2</v>
      </c>
      <c r="W480" s="82">
        <v>2.3040000000000001E-2</v>
      </c>
      <c r="X480" s="82">
        <v>0.14899999999999999</v>
      </c>
      <c r="Y480" s="78">
        <v>29.6</v>
      </c>
      <c r="Z480" s="78">
        <v>1075</v>
      </c>
      <c r="AA480" s="78">
        <f t="shared" si="175"/>
        <v>120</v>
      </c>
      <c r="AB480" s="81">
        <f t="shared" si="176"/>
        <v>0.82189116447904176</v>
      </c>
      <c r="AC480" s="81">
        <f t="shared" si="157"/>
        <v>83.333333333333343</v>
      </c>
      <c r="AD480" s="81">
        <v>300</v>
      </c>
      <c r="AE480" s="81">
        <f t="shared" si="158"/>
        <v>279.06976744186045</v>
      </c>
      <c r="AF480" s="81">
        <f t="shared" si="159"/>
        <v>216.66666666666666</v>
      </c>
      <c r="AG480" s="83">
        <v>1</v>
      </c>
      <c r="AH480" s="83">
        <v>2.6</v>
      </c>
      <c r="AI480" s="83">
        <f t="shared" si="160"/>
        <v>0.72222222222222221</v>
      </c>
      <c r="AJ480" s="81">
        <f t="shared" si="161"/>
        <v>105.83633333333334</v>
      </c>
      <c r="AK480" s="81">
        <f t="shared" si="177"/>
        <v>82.043669250646005</v>
      </c>
      <c r="AL480" s="81">
        <f t="shared" si="163"/>
        <v>22.503000000000004</v>
      </c>
      <c r="AM480" s="83">
        <v>0</v>
      </c>
      <c r="AN480" s="83">
        <f t="shared" si="164"/>
        <v>0</v>
      </c>
      <c r="AO480" s="83">
        <v>0.10385999999999999</v>
      </c>
      <c r="AP480" s="83">
        <f t="shared" si="178"/>
        <v>0.270036</v>
      </c>
      <c r="AQ480" s="83">
        <f t="shared" si="165"/>
        <v>0.21262074460881425</v>
      </c>
      <c r="AR480" s="77" t="s">
        <v>249</v>
      </c>
    </row>
    <row r="481" spans="1:44" ht="15" customHeight="1" x14ac:dyDescent="0.25">
      <c r="A481" s="76">
        <v>480</v>
      </c>
      <c r="B481" s="76">
        <v>2013</v>
      </c>
      <c r="C481" s="77" t="s">
        <v>248</v>
      </c>
      <c r="D481" s="76">
        <v>3</v>
      </c>
      <c r="E481" s="78">
        <v>16</v>
      </c>
      <c r="F481" s="74">
        <v>1.4</v>
      </c>
      <c r="G481" s="75">
        <v>70</v>
      </c>
      <c r="H481" s="75">
        <v>10</v>
      </c>
      <c r="I481" s="78">
        <v>15</v>
      </c>
      <c r="J481" s="81">
        <v>1.6E-2</v>
      </c>
      <c r="K481" s="77" t="s">
        <v>306</v>
      </c>
      <c r="L481" s="77" t="s">
        <v>36</v>
      </c>
      <c r="M481" s="77" t="s">
        <v>289</v>
      </c>
      <c r="N481" s="77">
        <v>25</v>
      </c>
      <c r="O481" s="77">
        <v>60</v>
      </c>
      <c r="P481" s="78"/>
      <c r="Q481" s="81">
        <v>21</v>
      </c>
      <c r="R481" s="82"/>
      <c r="S481" s="82">
        <v>1.7516359616438518E-4</v>
      </c>
      <c r="T481" s="82">
        <v>780000000</v>
      </c>
      <c r="U481" s="78">
        <v>2883</v>
      </c>
      <c r="V481" s="82">
        <v>1.7919999999999998E-2</v>
      </c>
      <c r="W481" s="82">
        <v>2.3040000000000001E-2</v>
      </c>
      <c r="X481" s="82">
        <v>0.14899999999999999</v>
      </c>
      <c r="Y481" s="78">
        <v>29.6</v>
      </c>
      <c r="Z481" s="78">
        <v>1075</v>
      </c>
      <c r="AA481" s="78">
        <f t="shared" si="175"/>
        <v>120</v>
      </c>
      <c r="AB481" s="81">
        <f t="shared" si="176"/>
        <v>0.82189116447904176</v>
      </c>
      <c r="AC481" s="81">
        <f t="shared" si="157"/>
        <v>83.333333333333343</v>
      </c>
      <c r="AD481" s="81">
        <v>300</v>
      </c>
      <c r="AE481" s="81">
        <f t="shared" si="158"/>
        <v>279.06976744186045</v>
      </c>
      <c r="AF481" s="81">
        <f t="shared" si="159"/>
        <v>216.66666666666666</v>
      </c>
      <c r="AG481" s="83">
        <v>1</v>
      </c>
      <c r="AH481" s="83">
        <v>2.6</v>
      </c>
      <c r="AI481" s="83">
        <f t="shared" si="160"/>
        <v>0.72222222222222221</v>
      </c>
      <c r="AJ481" s="81">
        <f t="shared" si="161"/>
        <v>106.36066666666669</v>
      </c>
      <c r="AK481" s="81">
        <f t="shared" si="177"/>
        <v>82.450129198966422</v>
      </c>
      <c r="AL481" s="81">
        <f t="shared" si="163"/>
        <v>23.027333333333342</v>
      </c>
      <c r="AM481" s="83">
        <v>0</v>
      </c>
      <c r="AN481" s="83">
        <f t="shared" si="164"/>
        <v>0</v>
      </c>
      <c r="AO481" s="83">
        <v>0.10628</v>
      </c>
      <c r="AP481" s="83">
        <f t="shared" si="178"/>
        <v>0.27632800000000002</v>
      </c>
      <c r="AQ481" s="83">
        <f t="shared" si="165"/>
        <v>0.21650234109100486</v>
      </c>
      <c r="AR481" s="77" t="s">
        <v>249</v>
      </c>
    </row>
    <row r="482" spans="1:44" ht="15" customHeight="1" x14ac:dyDescent="0.25">
      <c r="A482" s="76">
        <v>481</v>
      </c>
      <c r="B482" s="76">
        <v>2013</v>
      </c>
      <c r="C482" s="77" t="s">
        <v>248</v>
      </c>
      <c r="D482" s="76">
        <v>4</v>
      </c>
      <c r="E482" s="78">
        <v>56</v>
      </c>
      <c r="F482" s="74">
        <v>0.8</v>
      </c>
      <c r="G482" s="75">
        <v>50</v>
      </c>
      <c r="H482" s="75">
        <v>32</v>
      </c>
      <c r="I482" s="78">
        <v>55</v>
      </c>
      <c r="J482" s="81">
        <v>3.4599999999999999E-2</v>
      </c>
      <c r="K482" s="77" t="s">
        <v>306</v>
      </c>
      <c r="L482" s="77" t="s">
        <v>36</v>
      </c>
      <c r="M482" s="77" t="s">
        <v>289</v>
      </c>
      <c r="N482" s="77">
        <v>25</v>
      </c>
      <c r="O482" s="77">
        <v>60</v>
      </c>
      <c r="P482" s="78"/>
      <c r="Q482" s="81">
        <v>16</v>
      </c>
      <c r="R482" s="82"/>
      <c r="S482" s="82">
        <v>1.0414371423140844E-4</v>
      </c>
      <c r="T482" s="82">
        <v>780000000</v>
      </c>
      <c r="U482" s="78">
        <v>2883</v>
      </c>
      <c r="V482" s="82">
        <v>1.7919999999999998E-2</v>
      </c>
      <c r="W482" s="82">
        <v>2.3040000000000001E-2</v>
      </c>
      <c r="X482" s="82">
        <v>0.14899999999999999</v>
      </c>
      <c r="Y482" s="78">
        <v>29.6</v>
      </c>
      <c r="Z482" s="78">
        <v>1075</v>
      </c>
      <c r="AA482" s="78">
        <f t="shared" si="175"/>
        <v>120</v>
      </c>
      <c r="AB482" s="81">
        <f t="shared" si="176"/>
        <v>0.82189116447904176</v>
      </c>
      <c r="AC482" s="81">
        <f t="shared" si="157"/>
        <v>83.333333333333343</v>
      </c>
      <c r="AD482" s="81">
        <v>300</v>
      </c>
      <c r="AE482" s="81">
        <f t="shared" si="158"/>
        <v>279.06976744186045</v>
      </c>
      <c r="AF482" s="81">
        <f t="shared" si="159"/>
        <v>216.66666666666666</v>
      </c>
      <c r="AG482" s="83">
        <v>1</v>
      </c>
      <c r="AH482" s="83">
        <v>2.6</v>
      </c>
      <c r="AI482" s="83">
        <f t="shared" si="160"/>
        <v>0.72222222222222221</v>
      </c>
      <c r="AJ482" s="81">
        <f t="shared" si="161"/>
        <v>122.94866666666667</v>
      </c>
      <c r="AK482" s="81">
        <f t="shared" si="177"/>
        <v>95.309043927648574</v>
      </c>
      <c r="AL482" s="81">
        <f t="shared" si="163"/>
        <v>39.615333333333332</v>
      </c>
      <c r="AM482" s="83">
        <v>0</v>
      </c>
      <c r="AN482" s="83">
        <f t="shared" si="164"/>
        <v>0</v>
      </c>
      <c r="AO482" s="83">
        <v>0.18284</v>
      </c>
      <c r="AP482" s="83">
        <f t="shared" si="178"/>
        <v>0.47538400000000003</v>
      </c>
      <c r="AQ482" s="83">
        <f t="shared" si="165"/>
        <v>0.32221035337241016</v>
      </c>
      <c r="AR482" s="77" t="s">
        <v>249</v>
      </c>
    </row>
    <row r="483" spans="1:44" ht="15" customHeight="1" x14ac:dyDescent="0.25">
      <c r="A483" s="76">
        <v>482</v>
      </c>
      <c r="B483" s="76">
        <v>2013</v>
      </c>
      <c r="C483" s="77" t="s">
        <v>248</v>
      </c>
      <c r="D483" s="76">
        <v>5</v>
      </c>
      <c r="E483" s="78">
        <v>48</v>
      </c>
      <c r="F483" s="74">
        <v>2</v>
      </c>
      <c r="G483" s="75">
        <v>50</v>
      </c>
      <c r="H483" s="75">
        <v>32</v>
      </c>
      <c r="I483" s="78">
        <v>47</v>
      </c>
      <c r="J483" s="81">
        <v>1.89E-2</v>
      </c>
      <c r="K483" s="77" t="s">
        <v>306</v>
      </c>
      <c r="L483" s="77" t="s">
        <v>36</v>
      </c>
      <c r="M483" s="77" t="s">
        <v>289</v>
      </c>
      <c r="N483" s="77">
        <v>25</v>
      </c>
      <c r="O483" s="77">
        <v>60</v>
      </c>
      <c r="P483" s="78"/>
      <c r="Q483" s="81">
        <v>18</v>
      </c>
      <c r="R483" s="82"/>
      <c r="S483" s="82">
        <v>1.0414371423140844E-4</v>
      </c>
      <c r="T483" s="82">
        <v>780000000</v>
      </c>
      <c r="U483" s="78">
        <v>2883</v>
      </c>
      <c r="V483" s="82">
        <v>1.7919999999999998E-2</v>
      </c>
      <c r="W483" s="82">
        <v>2.3040000000000001E-2</v>
      </c>
      <c r="X483" s="82">
        <v>0.14899999999999999</v>
      </c>
      <c r="Y483" s="78">
        <v>29.6</v>
      </c>
      <c r="Z483" s="78">
        <v>1075</v>
      </c>
      <c r="AA483" s="78">
        <f t="shared" si="175"/>
        <v>120</v>
      </c>
      <c r="AB483" s="81">
        <f t="shared" si="176"/>
        <v>0.82189116447904176</v>
      </c>
      <c r="AC483" s="81">
        <f t="shared" si="157"/>
        <v>83.333333333333343</v>
      </c>
      <c r="AD483" s="81">
        <v>300</v>
      </c>
      <c r="AE483" s="81">
        <f t="shared" si="158"/>
        <v>279.06976744186045</v>
      </c>
      <c r="AF483" s="81">
        <f t="shared" si="159"/>
        <v>216.66666666666666</v>
      </c>
      <c r="AG483" s="83">
        <v>1</v>
      </c>
      <c r="AH483" s="83">
        <v>2.6</v>
      </c>
      <c r="AI483" s="83">
        <f t="shared" si="160"/>
        <v>0.72222222222222221</v>
      </c>
      <c r="AJ483" s="81">
        <f t="shared" si="161"/>
        <v>122.46116666666668</v>
      </c>
      <c r="AK483" s="81">
        <f t="shared" si="177"/>
        <v>94.931136950904417</v>
      </c>
      <c r="AL483" s="81">
        <f t="shared" si="163"/>
        <v>39.127833333333342</v>
      </c>
      <c r="AM483" s="83">
        <v>0</v>
      </c>
      <c r="AN483" s="83">
        <f t="shared" si="164"/>
        <v>0</v>
      </c>
      <c r="AO483" s="83">
        <v>0.18059</v>
      </c>
      <c r="AP483" s="83">
        <f t="shared" si="178"/>
        <v>0.46953400000000001</v>
      </c>
      <c r="AQ483" s="83">
        <f t="shared" si="165"/>
        <v>0.31951217188578152</v>
      </c>
      <c r="AR483" s="77" t="s">
        <v>249</v>
      </c>
    </row>
    <row r="484" spans="1:44" s="12" customFormat="1" ht="15" customHeight="1" x14ac:dyDescent="0.25">
      <c r="A484" s="3">
        <v>483</v>
      </c>
      <c r="B484" s="3">
        <v>2015</v>
      </c>
      <c r="C484" s="27" t="s">
        <v>250</v>
      </c>
      <c r="D484" s="3">
        <v>1</v>
      </c>
      <c r="E484" s="11">
        <v>46</v>
      </c>
      <c r="F484" s="32">
        <v>0.1</v>
      </c>
      <c r="G484" s="45">
        <v>42</v>
      </c>
      <c r="H484" s="45">
        <v>40</v>
      </c>
      <c r="I484" s="11">
        <v>175</v>
      </c>
      <c r="J484" s="47">
        <v>8.0299999999999996E-2</v>
      </c>
      <c r="K484" s="27" t="s">
        <v>306</v>
      </c>
      <c r="L484" s="27" t="s">
        <v>36</v>
      </c>
      <c r="M484" s="27" t="s">
        <v>289</v>
      </c>
      <c r="N484" s="27">
        <v>90</v>
      </c>
      <c r="O484" s="27">
        <v>10</v>
      </c>
      <c r="P484" s="11"/>
      <c r="Q484" s="47">
        <v>17</v>
      </c>
      <c r="R484" s="4"/>
      <c r="S484" s="4">
        <v>3.5263599517885264E-4</v>
      </c>
      <c r="T484" s="4">
        <v>680000000</v>
      </c>
      <c r="U484" s="11">
        <v>2384</v>
      </c>
      <c r="V484" s="4">
        <v>1.7919999999999998E-2</v>
      </c>
      <c r="W484" s="4">
        <v>2.3040000000000001E-2</v>
      </c>
      <c r="X484" s="4">
        <v>0.249</v>
      </c>
      <c r="Y484" s="11">
        <v>29.6</v>
      </c>
      <c r="Z484" s="11">
        <v>1075</v>
      </c>
      <c r="AA484" s="11">
        <f t="shared" si="175"/>
        <v>80</v>
      </c>
      <c r="AB484" s="47">
        <f t="shared" si="176"/>
        <v>0.82189116447904176</v>
      </c>
      <c r="AC484" s="47">
        <f t="shared" si="157"/>
        <v>30.816640986132512</v>
      </c>
      <c r="AD484" s="47">
        <v>200</v>
      </c>
      <c r="AE484" s="47">
        <f t="shared" si="158"/>
        <v>186.04651162790697</v>
      </c>
      <c r="AF484" s="47">
        <f t="shared" si="159"/>
        <v>169.18335901386749</v>
      </c>
      <c r="AG484" s="53">
        <v>1</v>
      </c>
      <c r="AH484" s="53">
        <v>5.49</v>
      </c>
      <c r="AI484" s="53">
        <f t="shared" si="160"/>
        <v>0.84591679506933748</v>
      </c>
      <c r="AJ484" s="47">
        <f t="shared" si="161"/>
        <v>38.475571648690291</v>
      </c>
      <c r="AK484" s="47">
        <f t="shared" si="177"/>
        <v>29.826024533868441</v>
      </c>
      <c r="AL484" s="47">
        <f t="shared" si="163"/>
        <v>7.6589306625577809</v>
      </c>
      <c r="AM484" s="53">
        <v>0</v>
      </c>
      <c r="AN484" s="53">
        <f t="shared" si="164"/>
        <v>0</v>
      </c>
      <c r="AO484" s="53">
        <v>4.5269999999999998E-2</v>
      </c>
      <c r="AP484" s="53">
        <f>AH484*AO484</f>
        <v>0.24853229999999998</v>
      </c>
      <c r="AQ484" s="53">
        <f t="shared" si="165"/>
        <v>0.19905956778210704</v>
      </c>
      <c r="AR484" s="27" t="s">
        <v>372</v>
      </c>
    </row>
    <row r="485" spans="1:44" s="10" customFormat="1" ht="15" customHeight="1" x14ac:dyDescent="0.25">
      <c r="A485" s="1">
        <v>484</v>
      </c>
      <c r="B485" s="1">
        <v>2015</v>
      </c>
      <c r="C485" s="28" t="s">
        <v>250</v>
      </c>
      <c r="D485" s="1">
        <v>2</v>
      </c>
      <c r="E485" s="8">
        <v>32</v>
      </c>
      <c r="F485" s="33">
        <v>0.1</v>
      </c>
      <c r="G485" s="49">
        <v>42</v>
      </c>
      <c r="H485" s="49">
        <v>40</v>
      </c>
      <c r="I485" s="8">
        <v>127</v>
      </c>
      <c r="J485" s="51">
        <v>2.5999999999999999E-2</v>
      </c>
      <c r="K485" s="28" t="s">
        <v>306</v>
      </c>
      <c r="L485" s="28" t="s">
        <v>36</v>
      </c>
      <c r="M485" s="28" t="s">
        <v>289</v>
      </c>
      <c r="N485" s="28">
        <v>90</v>
      </c>
      <c r="O485" s="28">
        <v>10</v>
      </c>
      <c r="P485" s="8"/>
      <c r="Q485" s="51">
        <v>21</v>
      </c>
      <c r="R485" s="9"/>
      <c r="S485" s="9">
        <v>3.5263599517885264E-4</v>
      </c>
      <c r="T485" s="9">
        <v>680000000</v>
      </c>
      <c r="U485" s="8">
        <v>2384</v>
      </c>
      <c r="V485" s="9">
        <v>1.7919999999999998E-2</v>
      </c>
      <c r="W485" s="9">
        <v>2.3040000000000001E-2</v>
      </c>
      <c r="X485" s="9">
        <v>0.249</v>
      </c>
      <c r="Y485" s="8">
        <v>29.6</v>
      </c>
      <c r="Z485" s="8">
        <v>1075</v>
      </c>
      <c r="AA485" s="8">
        <f t="shared" si="175"/>
        <v>80</v>
      </c>
      <c r="AB485" s="51">
        <f t="shared" si="176"/>
        <v>0.82189116447904176</v>
      </c>
      <c r="AC485" s="51">
        <f t="shared" si="157"/>
        <v>30.816640986132512</v>
      </c>
      <c r="AD485" s="51">
        <v>200</v>
      </c>
      <c r="AE485" s="51">
        <f t="shared" si="158"/>
        <v>186.04651162790697</v>
      </c>
      <c r="AF485" s="51">
        <f t="shared" si="159"/>
        <v>169.18335901386749</v>
      </c>
      <c r="AG485" s="52">
        <v>1</v>
      </c>
      <c r="AH485" s="52">
        <v>5.49</v>
      </c>
      <c r="AI485" s="52">
        <f t="shared" si="160"/>
        <v>0.84591679506933748</v>
      </c>
      <c r="AJ485" s="51">
        <f t="shared" si="161"/>
        <v>37.77853620955316</v>
      </c>
      <c r="AK485" s="51">
        <f t="shared" si="177"/>
        <v>29.285686984149734</v>
      </c>
      <c r="AL485" s="51">
        <f t="shared" si="163"/>
        <v>6.9618952234206475</v>
      </c>
      <c r="AM485" s="52">
        <v>0</v>
      </c>
      <c r="AN485" s="52">
        <f t="shared" si="164"/>
        <v>0</v>
      </c>
      <c r="AO485" s="52">
        <v>4.1149999999999999E-2</v>
      </c>
      <c r="AP485" s="52">
        <f>AH485*AO485</f>
        <v>0.22591350000000002</v>
      </c>
      <c r="AQ485" s="52">
        <f t="shared" si="165"/>
        <v>0.18428176213085182</v>
      </c>
      <c r="AR485" s="28" t="s">
        <v>372</v>
      </c>
    </row>
    <row r="486" spans="1:44" ht="15" hidden="1" customHeight="1" x14ac:dyDescent="0.25">
      <c r="A486" s="76">
        <v>485</v>
      </c>
      <c r="B486" s="76">
        <v>2015</v>
      </c>
      <c r="C486" s="77" t="s">
        <v>251</v>
      </c>
      <c r="D486" s="76">
        <v>1</v>
      </c>
      <c r="E486" s="78">
        <v>13</v>
      </c>
      <c r="F486" s="79">
        <v>0.6</v>
      </c>
      <c r="G486" s="80">
        <v>45</v>
      </c>
      <c r="H486" s="80">
        <v>40</v>
      </c>
      <c r="I486" s="78">
        <v>340</v>
      </c>
      <c r="J486" s="81">
        <v>0.81510000000000005</v>
      </c>
      <c r="K486" s="77" t="s">
        <v>221</v>
      </c>
      <c r="L486" s="77" t="s">
        <v>36</v>
      </c>
      <c r="M486" s="77" t="s">
        <v>34</v>
      </c>
      <c r="N486" s="77" t="s">
        <v>34</v>
      </c>
      <c r="O486" s="77" t="s">
        <v>34</v>
      </c>
      <c r="P486" s="78"/>
      <c r="Q486" s="81">
        <v>6</v>
      </c>
      <c r="R486" s="82"/>
      <c r="S486" s="82">
        <v>4.3961091457544379E-5</v>
      </c>
      <c r="T486" s="82">
        <v>380000000</v>
      </c>
      <c r="U486" s="78">
        <v>2884</v>
      </c>
      <c r="V486" s="82">
        <v>1.7919999999999998E-2</v>
      </c>
      <c r="W486" s="82">
        <v>2.3040000000000001E-2</v>
      </c>
      <c r="X486" s="82">
        <v>0.249</v>
      </c>
      <c r="Y486" s="78">
        <v>29.6</v>
      </c>
      <c r="Z486" s="78">
        <v>1075</v>
      </c>
      <c r="AA486" s="78">
        <f>AD486/2.5*1000</f>
        <v>100000</v>
      </c>
      <c r="AB486" s="81">
        <f>POWER(3/(4*PI())*AE486*1000/AA486,1/3)</f>
        <v>0.82189116447904176</v>
      </c>
      <c r="AC486" s="81">
        <f t="shared" ref="AC486:AC549" si="179">AD486-AF486</f>
        <v>47.703551052340345</v>
      </c>
      <c r="AD486" s="81">
        <v>250</v>
      </c>
      <c r="AE486" s="81">
        <f t="shared" ref="AE486:AE549" si="180">AD486/Z486*1000</f>
        <v>232.55813953488371</v>
      </c>
      <c r="AF486" s="81">
        <f t="shared" ref="AF486:AF549" si="181">AD486*AI486</f>
        <v>202.29644894765966</v>
      </c>
      <c r="AG486" s="83">
        <v>1</v>
      </c>
      <c r="AH486" s="83">
        <v>4.2407000000000004</v>
      </c>
      <c r="AI486" s="83">
        <f t="shared" ref="AI486:AI549" si="182">AH486/(AH486+1)</f>
        <v>0.80918579579063865</v>
      </c>
      <c r="AJ486" s="81">
        <f t="shared" ref="AJ486:AJ549" si="183">AC486/(1-AQ486)</f>
        <v>55.90379147823765</v>
      </c>
      <c r="AK486" s="81">
        <f t="shared" si="177"/>
        <v>43.33627246375012</v>
      </c>
      <c r="AL486" s="81">
        <f t="shared" ref="AL486:AL549" si="184">AJ486*AQ486</f>
        <v>8.2002404258973058</v>
      </c>
      <c r="AM486" s="83">
        <v>0</v>
      </c>
      <c r="AN486" s="83">
        <f t="shared" ref="AN486:AN549" si="185">AM486/(AM486+1)</f>
        <v>0</v>
      </c>
      <c r="AO486" s="83">
        <f>AP486/AH486</f>
        <v>4.0535760605560398E-2</v>
      </c>
      <c r="AP486" s="83">
        <v>0.1719</v>
      </c>
      <c r="AQ486" s="83">
        <f t="shared" ref="AQ486:AQ549" si="186">AP486/(AP486+1)</f>
        <v>0.14668487072275793</v>
      </c>
      <c r="AR486" s="77" t="s">
        <v>34</v>
      </c>
    </row>
    <row r="487" spans="1:44" ht="15" hidden="1" customHeight="1" x14ac:dyDescent="0.25">
      <c r="A487" s="76">
        <v>486</v>
      </c>
      <c r="B487" s="76">
        <v>2015</v>
      </c>
      <c r="C487" s="77" t="s">
        <v>251</v>
      </c>
      <c r="D487" s="76">
        <v>2</v>
      </c>
      <c r="E487" s="78">
        <v>13</v>
      </c>
      <c r="F487" s="79">
        <v>0.6</v>
      </c>
      <c r="G487" s="80">
        <v>45</v>
      </c>
      <c r="H487" s="80">
        <v>40</v>
      </c>
      <c r="I487" s="78">
        <v>340</v>
      </c>
      <c r="J487" s="81">
        <v>0.54100000000000004</v>
      </c>
      <c r="K487" s="77" t="s">
        <v>221</v>
      </c>
      <c r="L487" s="77" t="s">
        <v>36</v>
      </c>
      <c r="M487" s="77" t="s">
        <v>34</v>
      </c>
      <c r="N487" s="77" t="s">
        <v>34</v>
      </c>
      <c r="O487" s="77" t="s">
        <v>34</v>
      </c>
      <c r="P487" s="78"/>
      <c r="Q487" s="81">
        <v>4</v>
      </c>
      <c r="R487" s="82"/>
      <c r="S487" s="82">
        <v>4.3961091457544379E-5</v>
      </c>
      <c r="T487" s="82">
        <v>380000000</v>
      </c>
      <c r="U487" s="78">
        <v>2884</v>
      </c>
      <c r="V487" s="82">
        <v>1.7919999999999998E-2</v>
      </c>
      <c r="W487" s="82">
        <v>2.3040000000000001E-2</v>
      </c>
      <c r="X487" s="82">
        <v>0.249</v>
      </c>
      <c r="Y487" s="78">
        <v>29.6</v>
      </c>
      <c r="Z487" s="78">
        <v>1075</v>
      </c>
      <c r="AA487" s="78">
        <f>AD487/2.5*1000</f>
        <v>100000</v>
      </c>
      <c r="AB487" s="81">
        <f>POWER(3/(4*PI())*AE487*1000/AA487,1/3)</f>
        <v>0.82189116447904176</v>
      </c>
      <c r="AC487" s="81">
        <f t="shared" si="179"/>
        <v>47.224163660061578</v>
      </c>
      <c r="AD487" s="81">
        <v>250</v>
      </c>
      <c r="AE487" s="81">
        <f t="shared" si="180"/>
        <v>232.55813953488371</v>
      </c>
      <c r="AF487" s="81">
        <f t="shared" si="181"/>
        <v>202.77583633993842</v>
      </c>
      <c r="AG487" s="83">
        <v>1</v>
      </c>
      <c r="AH487" s="83">
        <v>4.2938999999999998</v>
      </c>
      <c r="AI487" s="83">
        <f t="shared" si="182"/>
        <v>0.8111033453597537</v>
      </c>
      <c r="AJ487" s="81">
        <f t="shared" si="183"/>
        <v>67.643892026672205</v>
      </c>
      <c r="AK487" s="81">
        <f t="shared" si="177"/>
        <v>52.437125602071475</v>
      </c>
      <c r="AL487" s="81">
        <f t="shared" si="184"/>
        <v>20.419728366610627</v>
      </c>
      <c r="AM487" s="83">
        <v>0</v>
      </c>
      <c r="AN487" s="83">
        <f t="shared" si="185"/>
        <v>0</v>
      </c>
      <c r="AO487" s="83">
        <f>AP487/AH487</f>
        <v>0.10070099443396446</v>
      </c>
      <c r="AP487" s="83">
        <v>0.43240000000000001</v>
      </c>
      <c r="AQ487" s="83">
        <f t="shared" si="186"/>
        <v>0.30187098575816812</v>
      </c>
      <c r="AR487" s="77" t="s">
        <v>34</v>
      </c>
    </row>
    <row r="488" spans="1:44" ht="15" hidden="1" customHeight="1" x14ac:dyDescent="0.25">
      <c r="A488" s="76">
        <v>487</v>
      </c>
      <c r="B488" s="76">
        <v>2015</v>
      </c>
      <c r="C488" s="77" t="s">
        <v>251</v>
      </c>
      <c r="D488" s="76">
        <v>3</v>
      </c>
      <c r="E488" s="78">
        <v>13</v>
      </c>
      <c r="F488" s="79">
        <v>0.6</v>
      </c>
      <c r="G488" s="80">
        <v>45</v>
      </c>
      <c r="H488" s="80">
        <v>40</v>
      </c>
      <c r="I488" s="78">
        <v>340</v>
      </c>
      <c r="J488" s="81">
        <v>0.55259999999999998</v>
      </c>
      <c r="K488" s="77" t="s">
        <v>221</v>
      </c>
      <c r="L488" s="77" t="s">
        <v>36</v>
      </c>
      <c r="M488" s="77" t="s">
        <v>34</v>
      </c>
      <c r="N488" s="77" t="s">
        <v>34</v>
      </c>
      <c r="O488" s="77" t="s">
        <v>34</v>
      </c>
      <c r="P488" s="78"/>
      <c r="Q488" s="81">
        <v>6</v>
      </c>
      <c r="R488" s="82"/>
      <c r="S488" s="82">
        <v>4.3961091457544379E-5</v>
      </c>
      <c r="T488" s="82">
        <v>380000000</v>
      </c>
      <c r="U488" s="78">
        <v>2884</v>
      </c>
      <c r="V488" s="82">
        <v>1.7919999999999998E-2</v>
      </c>
      <c r="W488" s="82">
        <v>2.3040000000000001E-2</v>
      </c>
      <c r="X488" s="82">
        <v>0.249</v>
      </c>
      <c r="Y488" s="78">
        <v>29.6</v>
      </c>
      <c r="Z488" s="78">
        <v>1075</v>
      </c>
      <c r="AA488" s="78">
        <f>AD488/2.5*1000</f>
        <v>100000</v>
      </c>
      <c r="AB488" s="81">
        <f>POWER(3/(4*PI())*AE488*1000/AA488,1/3)</f>
        <v>0.82189116447904176</v>
      </c>
      <c r="AC488" s="81">
        <f t="shared" si="179"/>
        <v>46.841040245821773</v>
      </c>
      <c r="AD488" s="81">
        <v>250</v>
      </c>
      <c r="AE488" s="81">
        <f t="shared" si="180"/>
        <v>232.55813953488371</v>
      </c>
      <c r="AF488" s="81">
        <f t="shared" si="181"/>
        <v>203.15895975417823</v>
      </c>
      <c r="AG488" s="83">
        <v>1</v>
      </c>
      <c r="AH488" s="83">
        <v>4.3372000000000002</v>
      </c>
      <c r="AI488" s="83">
        <f t="shared" si="182"/>
        <v>0.81263583901671288</v>
      </c>
      <c r="AJ488" s="81">
        <f t="shared" si="183"/>
        <v>51.571985310649772</v>
      </c>
      <c r="AK488" s="81">
        <f t="shared" si="177"/>
        <v>39.978283186550208</v>
      </c>
      <c r="AL488" s="81">
        <f t="shared" si="184"/>
        <v>4.7309450648279991</v>
      </c>
      <c r="AM488" s="83">
        <v>0</v>
      </c>
      <c r="AN488" s="83">
        <f t="shared" si="185"/>
        <v>0</v>
      </c>
      <c r="AO488" s="83">
        <f>AP488/AH488</f>
        <v>2.3286913215899659E-2</v>
      </c>
      <c r="AP488" s="83">
        <v>0.10100000000000001</v>
      </c>
      <c r="AQ488" s="83">
        <f t="shared" si="186"/>
        <v>9.1734786557674849E-2</v>
      </c>
      <c r="AR488" s="77" t="s">
        <v>34</v>
      </c>
    </row>
    <row r="489" spans="1:44" ht="15" hidden="1" customHeight="1" x14ac:dyDescent="0.25">
      <c r="A489" s="76">
        <v>488</v>
      </c>
      <c r="B489" s="76">
        <v>2015</v>
      </c>
      <c r="C489" s="77" t="s">
        <v>251</v>
      </c>
      <c r="D489" s="76">
        <v>4</v>
      </c>
      <c r="E489" s="78">
        <v>13</v>
      </c>
      <c r="F489" s="79">
        <v>0.6</v>
      </c>
      <c r="G489" s="80">
        <v>45</v>
      </c>
      <c r="H489" s="80">
        <v>40</v>
      </c>
      <c r="I489" s="78">
        <v>340</v>
      </c>
      <c r="J489" s="81">
        <v>1.2145999999999999</v>
      </c>
      <c r="K489" s="77" t="s">
        <v>221</v>
      </c>
      <c r="L489" s="77" t="s">
        <v>36</v>
      </c>
      <c r="M489" s="77" t="s">
        <v>34</v>
      </c>
      <c r="N489" s="77" t="s">
        <v>34</v>
      </c>
      <c r="O489" s="77" t="s">
        <v>34</v>
      </c>
      <c r="P489" s="78"/>
      <c r="Q489" s="81">
        <v>5</v>
      </c>
      <c r="R489" s="82"/>
      <c r="S489" s="82">
        <v>4.3961091457544379E-5</v>
      </c>
      <c r="T489" s="82">
        <v>380000000</v>
      </c>
      <c r="U489" s="78">
        <v>2884</v>
      </c>
      <c r="V489" s="82">
        <v>1.7919999999999998E-2</v>
      </c>
      <c r="W489" s="82">
        <v>2.3040000000000001E-2</v>
      </c>
      <c r="X489" s="82">
        <v>0.249</v>
      </c>
      <c r="Y489" s="78">
        <v>29.6</v>
      </c>
      <c r="Z489" s="78">
        <v>1075</v>
      </c>
      <c r="AA489" s="78">
        <f>AD489/2.5*1000</f>
        <v>100000</v>
      </c>
      <c r="AB489" s="81">
        <f>POWER(3/(4*PI())*AE489*1000/AA489,1/3)</f>
        <v>0.82189116447904176</v>
      </c>
      <c r="AC489" s="81">
        <f t="shared" si="179"/>
        <v>47.224163660061578</v>
      </c>
      <c r="AD489" s="81">
        <v>250</v>
      </c>
      <c r="AE489" s="81">
        <f t="shared" si="180"/>
        <v>232.55813953488371</v>
      </c>
      <c r="AF489" s="81">
        <f t="shared" si="181"/>
        <v>202.77583633993842</v>
      </c>
      <c r="AG489" s="83">
        <v>1</v>
      </c>
      <c r="AH489" s="83">
        <v>4.2938999999999998</v>
      </c>
      <c r="AI489" s="83">
        <f t="shared" si="182"/>
        <v>0.8111033453597537</v>
      </c>
      <c r="AJ489" s="81">
        <f t="shared" si="183"/>
        <v>55.38922155688622</v>
      </c>
      <c r="AK489" s="81">
        <f t="shared" si="177"/>
        <v>42.937381051849783</v>
      </c>
      <c r="AL489" s="81">
        <f t="shared" si="184"/>
        <v>8.1650578968246457</v>
      </c>
      <c r="AM489" s="83">
        <v>0</v>
      </c>
      <c r="AN489" s="83">
        <f t="shared" si="185"/>
        <v>0</v>
      </c>
      <c r="AO489" s="83">
        <f>AP489/AH489</f>
        <v>4.0266424462609751E-2</v>
      </c>
      <c r="AP489" s="83">
        <v>0.1729</v>
      </c>
      <c r="AQ489" s="83">
        <f t="shared" si="186"/>
        <v>0.14741239662375308</v>
      </c>
      <c r="AR489" s="77" t="s">
        <v>34</v>
      </c>
    </row>
    <row r="490" spans="1:44" s="12" customFormat="1" ht="15" hidden="1" customHeight="1" x14ac:dyDescent="0.25">
      <c r="A490" s="3">
        <v>489</v>
      </c>
      <c r="B490" s="3">
        <v>2016</v>
      </c>
      <c r="C490" s="27" t="s">
        <v>252</v>
      </c>
      <c r="D490" s="3">
        <v>1</v>
      </c>
      <c r="E490" s="11">
        <v>24</v>
      </c>
      <c r="F490" s="30">
        <v>2.2999999999999998</v>
      </c>
      <c r="G490" s="58">
        <v>40</v>
      </c>
      <c r="H490" s="58">
        <v>50</v>
      </c>
      <c r="I490" s="11">
        <v>359</v>
      </c>
      <c r="J490" s="47">
        <v>2.9878999999999998</v>
      </c>
      <c r="K490" s="27" t="s">
        <v>297</v>
      </c>
      <c r="L490" s="27" t="s">
        <v>36</v>
      </c>
      <c r="M490" s="27" t="s">
        <v>34</v>
      </c>
      <c r="N490" s="27" t="s">
        <v>34</v>
      </c>
      <c r="O490" s="27" t="s">
        <v>34</v>
      </c>
      <c r="P490" s="11"/>
      <c r="Q490" s="47">
        <v>9</v>
      </c>
      <c r="R490" s="4"/>
      <c r="S490" s="4">
        <v>1.6165851849406614E-4</v>
      </c>
      <c r="T490" s="4">
        <v>850000000</v>
      </c>
      <c r="U490" s="11">
        <v>2683</v>
      </c>
      <c r="V490" s="4">
        <v>1.7919999999999998E-2</v>
      </c>
      <c r="W490" s="4">
        <v>2.3040000000000001E-2</v>
      </c>
      <c r="X490" s="4">
        <v>0.14899999999999999</v>
      </c>
      <c r="Y490" s="11">
        <v>29.6</v>
      </c>
      <c r="Z490" s="11">
        <v>1075</v>
      </c>
      <c r="AA490" s="11">
        <f t="shared" ref="AA490:AA521" si="187">AD490/2.5</f>
        <v>1600</v>
      </c>
      <c r="AB490" s="47">
        <f t="shared" ref="AB490:AB521" si="188">POWER(3/(4*PI())*AE490/AA490,1/3)</f>
        <v>0.82189116447904176</v>
      </c>
      <c r="AC490" s="47">
        <f t="shared" si="179"/>
        <v>538.35800807537044</v>
      </c>
      <c r="AD490" s="47">
        <v>4000</v>
      </c>
      <c r="AE490" s="47">
        <f t="shared" si="180"/>
        <v>3720.9302325581393</v>
      </c>
      <c r="AF490" s="47">
        <f t="shared" si="181"/>
        <v>3461.6419919246296</v>
      </c>
      <c r="AG490" s="53">
        <v>1</v>
      </c>
      <c r="AH490" s="53">
        <v>6.43</v>
      </c>
      <c r="AI490" s="53">
        <f t="shared" si="182"/>
        <v>0.86541049798115743</v>
      </c>
      <c r="AJ490" s="47">
        <f t="shared" si="183"/>
        <v>646.36123822341892</v>
      </c>
      <c r="AK490" s="47">
        <f t="shared" si="177"/>
        <v>501.0552234290069</v>
      </c>
      <c r="AL490" s="47">
        <f t="shared" si="184"/>
        <v>108.00323014804852</v>
      </c>
      <c r="AM490" s="53">
        <v>0</v>
      </c>
      <c r="AN490" s="53">
        <f t="shared" si="185"/>
        <v>0</v>
      </c>
      <c r="AO490" s="53">
        <v>3.1199999999999999E-2</v>
      </c>
      <c r="AP490" s="53">
        <f t="shared" ref="AP490:AP501" si="189">AO490*AH490</f>
        <v>0.20061599999999999</v>
      </c>
      <c r="AQ490" s="53">
        <f t="shared" si="186"/>
        <v>0.16709422496451823</v>
      </c>
      <c r="AR490" s="27" t="s">
        <v>34</v>
      </c>
    </row>
    <row r="491" spans="1:44" ht="15" customHeight="1" x14ac:dyDescent="0.25">
      <c r="A491" s="76">
        <v>490</v>
      </c>
      <c r="B491" s="76">
        <v>2016</v>
      </c>
      <c r="C491" s="77" t="s">
        <v>252</v>
      </c>
      <c r="D491" s="76">
        <v>2</v>
      </c>
      <c r="E491" s="78">
        <v>30</v>
      </c>
      <c r="F491" s="79">
        <v>2.2999999999999998</v>
      </c>
      <c r="G491" s="75">
        <v>40</v>
      </c>
      <c r="H491" s="75">
        <v>50</v>
      </c>
      <c r="I491" s="78">
        <v>191</v>
      </c>
      <c r="J491" s="81">
        <v>0.1502</v>
      </c>
      <c r="K491" s="77" t="s">
        <v>297</v>
      </c>
      <c r="L491" s="77" t="s">
        <v>36</v>
      </c>
      <c r="M491" s="77" t="s">
        <v>289</v>
      </c>
      <c r="N491" s="77">
        <v>25</v>
      </c>
      <c r="O491" s="77">
        <v>180</v>
      </c>
      <c r="P491" s="78"/>
      <c r="Q491" s="81">
        <v>16</v>
      </c>
      <c r="R491" s="82"/>
      <c r="S491" s="82">
        <v>1.6165851849406614E-4</v>
      </c>
      <c r="T491" s="82">
        <v>850000000</v>
      </c>
      <c r="U491" s="78">
        <v>2683</v>
      </c>
      <c r="V491" s="82">
        <v>1.7919999999999998E-2</v>
      </c>
      <c r="W491" s="82">
        <v>2.3040000000000001E-2</v>
      </c>
      <c r="X491" s="82">
        <v>0.14899999999999999</v>
      </c>
      <c r="Y491" s="78">
        <v>29.6</v>
      </c>
      <c r="Z491" s="78">
        <v>1075</v>
      </c>
      <c r="AA491" s="78">
        <f t="shared" si="187"/>
        <v>1600</v>
      </c>
      <c r="AB491" s="81">
        <f t="shared" si="188"/>
        <v>0.82189116447904176</v>
      </c>
      <c r="AC491" s="81">
        <f t="shared" si="179"/>
        <v>538.35800807537044</v>
      </c>
      <c r="AD491" s="81">
        <v>4000</v>
      </c>
      <c r="AE491" s="81">
        <f t="shared" si="180"/>
        <v>3720.9302325581393</v>
      </c>
      <c r="AF491" s="81">
        <f t="shared" si="181"/>
        <v>3461.6419919246296</v>
      </c>
      <c r="AG491" s="83">
        <v>1</v>
      </c>
      <c r="AH491" s="83">
        <v>6.43</v>
      </c>
      <c r="AI491" s="83">
        <f t="shared" si="182"/>
        <v>0.86541049798115743</v>
      </c>
      <c r="AJ491" s="81">
        <f t="shared" si="183"/>
        <v>716.56333781965043</v>
      </c>
      <c r="AK491" s="81">
        <f t="shared" si="177"/>
        <v>555.47545567414761</v>
      </c>
      <c r="AL491" s="81">
        <f t="shared" si="184"/>
        <v>178.20532974428002</v>
      </c>
      <c r="AM491" s="83">
        <v>0</v>
      </c>
      <c r="AN491" s="83">
        <f t="shared" si="185"/>
        <v>0</v>
      </c>
      <c r="AO491" s="83">
        <v>5.1479999999999998E-2</v>
      </c>
      <c r="AP491" s="83">
        <f t="shared" si="189"/>
        <v>0.33101639999999999</v>
      </c>
      <c r="AQ491" s="83">
        <f t="shared" si="186"/>
        <v>0.24869445635681123</v>
      </c>
      <c r="AR491" s="77" t="s">
        <v>253</v>
      </c>
    </row>
    <row r="492" spans="1:44" ht="15" hidden="1" customHeight="1" x14ac:dyDescent="0.25">
      <c r="A492" s="76">
        <v>491</v>
      </c>
      <c r="B492" s="76">
        <v>2016</v>
      </c>
      <c r="C492" s="77" t="s">
        <v>252</v>
      </c>
      <c r="D492" s="76">
        <v>3</v>
      </c>
      <c r="E492" s="78">
        <v>32</v>
      </c>
      <c r="F492" s="79">
        <v>2.2999999999999998</v>
      </c>
      <c r="G492" s="75">
        <v>40</v>
      </c>
      <c r="H492" s="75">
        <v>50</v>
      </c>
      <c r="I492" s="78">
        <v>168</v>
      </c>
      <c r="J492" s="81">
        <v>8.9399999999999993E-2</v>
      </c>
      <c r="K492" s="77" t="s">
        <v>297</v>
      </c>
      <c r="L492" s="77" t="s">
        <v>36</v>
      </c>
      <c r="M492" s="77" t="s">
        <v>290</v>
      </c>
      <c r="N492" s="77" t="s">
        <v>329</v>
      </c>
      <c r="O492" s="77" t="s">
        <v>329</v>
      </c>
      <c r="P492" s="78"/>
      <c r="Q492" s="81">
        <v>21</v>
      </c>
      <c r="R492" s="82"/>
      <c r="S492" s="82">
        <v>1.6165851849406614E-4</v>
      </c>
      <c r="T492" s="82">
        <v>850000000</v>
      </c>
      <c r="U492" s="78">
        <v>2683</v>
      </c>
      <c r="V492" s="82">
        <v>1.7919999999999998E-2</v>
      </c>
      <c r="W492" s="82">
        <v>2.3040000000000001E-2</v>
      </c>
      <c r="X492" s="82">
        <v>0.14899999999999999</v>
      </c>
      <c r="Y492" s="78">
        <v>29.6</v>
      </c>
      <c r="Z492" s="78">
        <v>1075</v>
      </c>
      <c r="AA492" s="78">
        <f t="shared" si="187"/>
        <v>1600</v>
      </c>
      <c r="AB492" s="81">
        <f t="shared" si="188"/>
        <v>0.82189116447904176</v>
      </c>
      <c r="AC492" s="81">
        <f t="shared" si="179"/>
        <v>538.35800807537044</v>
      </c>
      <c r="AD492" s="81">
        <v>4000</v>
      </c>
      <c r="AE492" s="81">
        <f t="shared" si="180"/>
        <v>3720.9302325581393</v>
      </c>
      <c r="AF492" s="81">
        <f t="shared" si="181"/>
        <v>3461.6419919246296</v>
      </c>
      <c r="AG492" s="83">
        <v>1</v>
      </c>
      <c r="AH492" s="83">
        <v>6.43</v>
      </c>
      <c r="AI492" s="83">
        <f t="shared" si="182"/>
        <v>0.86541049798115743</v>
      </c>
      <c r="AJ492" s="81">
        <f t="shared" si="183"/>
        <v>684.40468371467057</v>
      </c>
      <c r="AK492" s="81">
        <f t="shared" si="177"/>
        <v>530.54626644548114</v>
      </c>
      <c r="AL492" s="81">
        <f t="shared" si="184"/>
        <v>146.04667563930019</v>
      </c>
      <c r="AM492" s="83">
        <v>0</v>
      </c>
      <c r="AN492" s="83">
        <f t="shared" si="185"/>
        <v>0</v>
      </c>
      <c r="AO492" s="83">
        <v>4.2189999999999998E-2</v>
      </c>
      <c r="AP492" s="83">
        <f t="shared" si="189"/>
        <v>0.27128169999999996</v>
      </c>
      <c r="AQ492" s="83">
        <f t="shared" si="186"/>
        <v>0.21339227961827814</v>
      </c>
      <c r="AR492" s="77" t="s">
        <v>254</v>
      </c>
    </row>
    <row r="493" spans="1:44" ht="15" hidden="1" customHeight="1" x14ac:dyDescent="0.25">
      <c r="A493" s="76">
        <v>492</v>
      </c>
      <c r="B493" s="76">
        <v>2016</v>
      </c>
      <c r="C493" s="77" t="s">
        <v>252</v>
      </c>
      <c r="D493" s="76">
        <v>4</v>
      </c>
      <c r="E493" s="78">
        <v>34</v>
      </c>
      <c r="F493" s="79">
        <v>2.2999999999999998</v>
      </c>
      <c r="G493" s="75">
        <v>50</v>
      </c>
      <c r="H493" s="75">
        <v>32</v>
      </c>
      <c r="I493" s="78">
        <v>154</v>
      </c>
      <c r="J493" s="81">
        <v>0.15310000000000001</v>
      </c>
      <c r="K493" s="77" t="s">
        <v>297</v>
      </c>
      <c r="L493" s="77" t="s">
        <v>36</v>
      </c>
      <c r="M493" s="77" t="s">
        <v>34</v>
      </c>
      <c r="N493" s="77" t="s">
        <v>34</v>
      </c>
      <c r="O493" s="77" t="s">
        <v>34</v>
      </c>
      <c r="P493" s="78"/>
      <c r="Q493" s="81">
        <v>6</v>
      </c>
      <c r="R493" s="82"/>
      <c r="S493" s="82">
        <v>2.1073527373994229E-4</v>
      </c>
      <c r="T493" s="82">
        <v>850000000</v>
      </c>
      <c r="U493" s="78">
        <v>2683</v>
      </c>
      <c r="V493" s="82">
        <v>1.7919999999999998E-2</v>
      </c>
      <c r="W493" s="82">
        <v>2.3040000000000001E-2</v>
      </c>
      <c r="X493" s="82">
        <v>0.14899999999999999</v>
      </c>
      <c r="Y493" s="78">
        <v>29.6</v>
      </c>
      <c r="Z493" s="78">
        <v>1075</v>
      </c>
      <c r="AA493" s="78">
        <f t="shared" si="187"/>
        <v>1600</v>
      </c>
      <c r="AB493" s="81">
        <f t="shared" si="188"/>
        <v>0.82189116447904176</v>
      </c>
      <c r="AC493" s="81">
        <f t="shared" si="179"/>
        <v>538.35800807537044</v>
      </c>
      <c r="AD493" s="81">
        <v>4000</v>
      </c>
      <c r="AE493" s="81">
        <f t="shared" si="180"/>
        <v>3720.9302325581393</v>
      </c>
      <c r="AF493" s="81">
        <f t="shared" si="181"/>
        <v>3461.6419919246296</v>
      </c>
      <c r="AG493" s="83">
        <v>1</v>
      </c>
      <c r="AH493" s="83">
        <v>6.43</v>
      </c>
      <c r="AI493" s="83">
        <f t="shared" si="182"/>
        <v>0.86541049798115743</v>
      </c>
      <c r="AJ493" s="81">
        <f t="shared" si="183"/>
        <v>786.41927321668959</v>
      </c>
      <c r="AK493" s="81">
        <f t="shared" si="177"/>
        <v>609.62734357882914</v>
      </c>
      <c r="AL493" s="81">
        <f t="shared" si="184"/>
        <v>248.06126514131913</v>
      </c>
      <c r="AM493" s="83">
        <v>0</v>
      </c>
      <c r="AN493" s="83">
        <f t="shared" si="185"/>
        <v>0</v>
      </c>
      <c r="AO493" s="83">
        <v>7.1660000000000001E-2</v>
      </c>
      <c r="AP493" s="83">
        <f t="shared" si="189"/>
        <v>0.46077380000000001</v>
      </c>
      <c r="AQ493" s="83">
        <f t="shared" si="186"/>
        <v>0.31543131455397133</v>
      </c>
      <c r="AR493" s="77" t="s">
        <v>34</v>
      </c>
    </row>
    <row r="494" spans="1:44" ht="15" customHeight="1" x14ac:dyDescent="0.25">
      <c r="A494" s="76">
        <v>493</v>
      </c>
      <c r="B494" s="76">
        <v>2016</v>
      </c>
      <c r="C494" s="77" t="s">
        <v>252</v>
      </c>
      <c r="D494" s="76">
        <v>5</v>
      </c>
      <c r="E494" s="78">
        <v>22</v>
      </c>
      <c r="F494" s="79">
        <v>2.2999999999999998</v>
      </c>
      <c r="G494" s="75">
        <v>50</v>
      </c>
      <c r="H494" s="75">
        <v>32</v>
      </c>
      <c r="I494" s="78">
        <v>70</v>
      </c>
      <c r="J494" s="81">
        <v>5.0900000000000001E-2</v>
      </c>
      <c r="K494" s="77" t="s">
        <v>297</v>
      </c>
      <c r="L494" s="77" t="s">
        <v>36</v>
      </c>
      <c r="M494" s="77" t="s">
        <v>289</v>
      </c>
      <c r="N494" s="77">
        <v>25</v>
      </c>
      <c r="O494" s="77">
        <v>180</v>
      </c>
      <c r="P494" s="78"/>
      <c r="Q494" s="81">
        <v>13</v>
      </c>
      <c r="R494" s="82"/>
      <c r="S494" s="82">
        <v>2.1073527373994229E-4</v>
      </c>
      <c r="T494" s="82">
        <v>850000000</v>
      </c>
      <c r="U494" s="78">
        <v>2683</v>
      </c>
      <c r="V494" s="82">
        <v>1.7919999999999998E-2</v>
      </c>
      <c r="W494" s="82">
        <v>2.3040000000000001E-2</v>
      </c>
      <c r="X494" s="82">
        <v>0.14899999999999999</v>
      </c>
      <c r="Y494" s="78">
        <v>29.6</v>
      </c>
      <c r="Z494" s="78">
        <v>1075</v>
      </c>
      <c r="AA494" s="78">
        <f t="shared" si="187"/>
        <v>1600</v>
      </c>
      <c r="AB494" s="81">
        <f t="shared" si="188"/>
        <v>0.82189116447904176</v>
      </c>
      <c r="AC494" s="81">
        <f t="shared" si="179"/>
        <v>538.35800807537044</v>
      </c>
      <c r="AD494" s="81">
        <v>4000</v>
      </c>
      <c r="AE494" s="81">
        <f t="shared" si="180"/>
        <v>3720.9302325581393</v>
      </c>
      <c r="AF494" s="81">
        <f t="shared" si="181"/>
        <v>3461.6419919246296</v>
      </c>
      <c r="AG494" s="83">
        <v>1</v>
      </c>
      <c r="AH494" s="83">
        <v>6.43</v>
      </c>
      <c r="AI494" s="83">
        <f t="shared" si="182"/>
        <v>0.86541049798115743</v>
      </c>
      <c r="AJ494" s="81">
        <f t="shared" si="183"/>
        <v>925.99267833109081</v>
      </c>
      <c r="AK494" s="81">
        <f t="shared" si="177"/>
        <v>717.82378165200828</v>
      </c>
      <c r="AL494" s="81">
        <f t="shared" si="184"/>
        <v>387.63467025572038</v>
      </c>
      <c r="AM494" s="83">
        <v>0</v>
      </c>
      <c r="AN494" s="83">
        <f t="shared" si="185"/>
        <v>0</v>
      </c>
      <c r="AO494" s="83">
        <v>0.11198</v>
      </c>
      <c r="AP494" s="83">
        <f t="shared" si="189"/>
        <v>0.72003139999999999</v>
      </c>
      <c r="AQ494" s="83">
        <f t="shared" si="186"/>
        <v>0.41861526481435168</v>
      </c>
      <c r="AR494" s="77" t="s">
        <v>253</v>
      </c>
    </row>
    <row r="495" spans="1:44" ht="15" hidden="1" customHeight="1" x14ac:dyDescent="0.25">
      <c r="A495" s="76">
        <v>494</v>
      </c>
      <c r="B495" s="76">
        <v>2016</v>
      </c>
      <c r="C495" s="77" t="s">
        <v>252</v>
      </c>
      <c r="D495" s="76">
        <v>6</v>
      </c>
      <c r="E495" s="78">
        <v>26</v>
      </c>
      <c r="F495" s="79">
        <v>2.2999999999999998</v>
      </c>
      <c r="G495" s="75">
        <v>50</v>
      </c>
      <c r="H495" s="75">
        <v>32</v>
      </c>
      <c r="I495" s="78">
        <v>57</v>
      </c>
      <c r="J495" s="81">
        <v>0.18959999999999999</v>
      </c>
      <c r="K495" s="77" t="s">
        <v>297</v>
      </c>
      <c r="L495" s="77" t="s">
        <v>36</v>
      </c>
      <c r="M495" s="77" t="s">
        <v>290</v>
      </c>
      <c r="N495" s="77" t="s">
        <v>329</v>
      </c>
      <c r="O495" s="77" t="s">
        <v>329</v>
      </c>
      <c r="P495" s="78"/>
      <c r="Q495" s="81">
        <v>33</v>
      </c>
      <c r="R495" s="82"/>
      <c r="S495" s="82">
        <v>2.1073527373994229E-4</v>
      </c>
      <c r="T495" s="82">
        <v>850000000</v>
      </c>
      <c r="U495" s="78">
        <v>2683</v>
      </c>
      <c r="V495" s="82">
        <v>1.7919999999999998E-2</v>
      </c>
      <c r="W495" s="82">
        <v>2.3040000000000001E-2</v>
      </c>
      <c r="X495" s="82">
        <v>0.14899999999999999</v>
      </c>
      <c r="Y495" s="78">
        <v>29.6</v>
      </c>
      <c r="Z495" s="78">
        <v>1075</v>
      </c>
      <c r="AA495" s="78">
        <f t="shared" si="187"/>
        <v>1600</v>
      </c>
      <c r="AB495" s="81">
        <f t="shared" si="188"/>
        <v>0.82189116447904176</v>
      </c>
      <c r="AC495" s="81">
        <f t="shared" si="179"/>
        <v>538.35800807537044</v>
      </c>
      <c r="AD495" s="81">
        <v>4000</v>
      </c>
      <c r="AE495" s="81">
        <f t="shared" si="180"/>
        <v>3720.9302325581393</v>
      </c>
      <c r="AF495" s="81">
        <f t="shared" si="181"/>
        <v>3461.6419919246296</v>
      </c>
      <c r="AG495" s="83">
        <v>1</v>
      </c>
      <c r="AH495" s="83">
        <v>6.43</v>
      </c>
      <c r="AI495" s="83">
        <f t="shared" si="182"/>
        <v>0.86541049798115743</v>
      </c>
      <c r="AJ495" s="81">
        <f t="shared" si="183"/>
        <v>758.03380888290758</v>
      </c>
      <c r="AK495" s="81">
        <f t="shared" si="177"/>
        <v>587.62310766116866</v>
      </c>
      <c r="AL495" s="81">
        <f t="shared" si="184"/>
        <v>219.67580080753714</v>
      </c>
      <c r="AM495" s="83">
        <v>0</v>
      </c>
      <c r="AN495" s="83">
        <f t="shared" si="185"/>
        <v>0</v>
      </c>
      <c r="AO495" s="83">
        <v>6.3460000000000003E-2</v>
      </c>
      <c r="AP495" s="83">
        <f t="shared" si="189"/>
        <v>0.40804780000000002</v>
      </c>
      <c r="AQ495" s="83">
        <f t="shared" si="186"/>
        <v>0.28979683786303279</v>
      </c>
      <c r="AR495" s="77" t="s">
        <v>254</v>
      </c>
    </row>
    <row r="496" spans="1:44" ht="15" hidden="1" customHeight="1" x14ac:dyDescent="0.25">
      <c r="A496" s="76">
        <v>495</v>
      </c>
      <c r="B496" s="76">
        <v>2016</v>
      </c>
      <c r="C496" s="77" t="s">
        <v>252</v>
      </c>
      <c r="D496" s="76">
        <v>7</v>
      </c>
      <c r="E496" s="78">
        <v>35</v>
      </c>
      <c r="F496" s="79">
        <v>2.2999999999999998</v>
      </c>
      <c r="G496" s="75">
        <v>60</v>
      </c>
      <c r="H496" s="75">
        <v>20</v>
      </c>
      <c r="I496" s="78">
        <v>79</v>
      </c>
      <c r="J496" s="81">
        <v>0.15659999999999999</v>
      </c>
      <c r="K496" s="77" t="s">
        <v>297</v>
      </c>
      <c r="L496" s="77" t="s">
        <v>36</v>
      </c>
      <c r="M496" s="77" t="s">
        <v>34</v>
      </c>
      <c r="N496" s="77" t="s">
        <v>34</v>
      </c>
      <c r="O496" s="77" t="s">
        <v>34</v>
      </c>
      <c r="P496" s="78"/>
      <c r="Q496" s="81">
        <v>6</v>
      </c>
      <c r="R496" s="82"/>
      <c r="S496" s="82">
        <v>2.7037340117226681E-4</v>
      </c>
      <c r="T496" s="82">
        <v>850000000</v>
      </c>
      <c r="U496" s="78">
        <v>2683</v>
      </c>
      <c r="V496" s="82">
        <v>1.7919999999999998E-2</v>
      </c>
      <c r="W496" s="82">
        <v>2.3040000000000001E-2</v>
      </c>
      <c r="X496" s="82">
        <v>0.14899999999999999</v>
      </c>
      <c r="Y496" s="78">
        <v>29.6</v>
      </c>
      <c r="Z496" s="78">
        <v>1075</v>
      </c>
      <c r="AA496" s="78">
        <f t="shared" si="187"/>
        <v>1600</v>
      </c>
      <c r="AB496" s="81">
        <f t="shared" si="188"/>
        <v>0.82189116447904176</v>
      </c>
      <c r="AC496" s="81">
        <f t="shared" si="179"/>
        <v>538.35800807537044</v>
      </c>
      <c r="AD496" s="81">
        <v>4000</v>
      </c>
      <c r="AE496" s="81">
        <f t="shared" si="180"/>
        <v>3720.9302325581393</v>
      </c>
      <c r="AF496" s="81">
        <f t="shared" si="181"/>
        <v>3461.6419919246296</v>
      </c>
      <c r="AG496" s="83">
        <v>1</v>
      </c>
      <c r="AH496" s="83">
        <v>6.43</v>
      </c>
      <c r="AI496" s="83">
        <f t="shared" si="182"/>
        <v>0.86541049798115743</v>
      </c>
      <c r="AJ496" s="81">
        <f t="shared" si="183"/>
        <v>710.64393001345945</v>
      </c>
      <c r="AK496" s="81">
        <f t="shared" si="177"/>
        <v>550.88676745229418</v>
      </c>
      <c r="AL496" s="81">
        <f t="shared" si="184"/>
        <v>172.28592193808896</v>
      </c>
      <c r="AM496" s="83">
        <v>0</v>
      </c>
      <c r="AN496" s="83">
        <f t="shared" si="185"/>
        <v>0</v>
      </c>
      <c r="AO496" s="83">
        <v>4.9770000000000002E-2</v>
      </c>
      <c r="AP496" s="83">
        <f t="shared" si="189"/>
        <v>0.3200211</v>
      </c>
      <c r="AQ496" s="83">
        <f t="shared" si="186"/>
        <v>0.24243635196437391</v>
      </c>
      <c r="AR496" s="77" t="s">
        <v>34</v>
      </c>
    </row>
    <row r="497" spans="1:44" ht="15" customHeight="1" x14ac:dyDescent="0.25">
      <c r="A497" s="76">
        <v>496</v>
      </c>
      <c r="B497" s="76">
        <v>2016</v>
      </c>
      <c r="C497" s="77" t="s">
        <v>252</v>
      </c>
      <c r="D497" s="76">
        <v>8</v>
      </c>
      <c r="E497" s="78">
        <v>34</v>
      </c>
      <c r="F497" s="79">
        <v>2.2999999999999998</v>
      </c>
      <c r="G497" s="75">
        <v>60</v>
      </c>
      <c r="H497" s="75">
        <v>20</v>
      </c>
      <c r="I497" s="78">
        <v>41</v>
      </c>
      <c r="J497" s="81">
        <v>8.3999999999999995E-3</v>
      </c>
      <c r="K497" s="77" t="s">
        <v>297</v>
      </c>
      <c r="L497" s="77" t="s">
        <v>36</v>
      </c>
      <c r="M497" s="77" t="s">
        <v>289</v>
      </c>
      <c r="N497" s="77">
        <v>25</v>
      </c>
      <c r="O497" s="77">
        <v>180</v>
      </c>
      <c r="P497" s="78"/>
      <c r="Q497" s="81">
        <v>17</v>
      </c>
      <c r="R497" s="82"/>
      <c r="S497" s="82">
        <v>2.7037340117226681E-4</v>
      </c>
      <c r="T497" s="82">
        <v>850000000</v>
      </c>
      <c r="U497" s="78">
        <v>2683</v>
      </c>
      <c r="V497" s="82">
        <v>1.7919999999999998E-2</v>
      </c>
      <c r="W497" s="82">
        <v>2.3040000000000001E-2</v>
      </c>
      <c r="X497" s="82">
        <v>0.14899999999999999</v>
      </c>
      <c r="Y497" s="78">
        <v>29.6</v>
      </c>
      <c r="Z497" s="78">
        <v>1075</v>
      </c>
      <c r="AA497" s="78">
        <f t="shared" si="187"/>
        <v>1600</v>
      </c>
      <c r="AB497" s="81">
        <f t="shared" si="188"/>
        <v>0.82189116447904176</v>
      </c>
      <c r="AC497" s="81">
        <f t="shared" si="179"/>
        <v>538.35800807537044</v>
      </c>
      <c r="AD497" s="81">
        <v>4000</v>
      </c>
      <c r="AE497" s="81">
        <f t="shared" si="180"/>
        <v>3720.9302325581393</v>
      </c>
      <c r="AF497" s="81">
        <f t="shared" si="181"/>
        <v>3461.6419919246296</v>
      </c>
      <c r="AG497" s="83">
        <v>1</v>
      </c>
      <c r="AH497" s="83">
        <v>6.43</v>
      </c>
      <c r="AI497" s="83">
        <f t="shared" si="182"/>
        <v>0.86541049798115743</v>
      </c>
      <c r="AJ497" s="81">
        <f t="shared" si="183"/>
        <v>716.28640646029646</v>
      </c>
      <c r="AK497" s="81">
        <f t="shared" si="177"/>
        <v>555.26078020178011</v>
      </c>
      <c r="AL497" s="81">
        <f t="shared" si="184"/>
        <v>177.92839838492606</v>
      </c>
      <c r="AM497" s="83">
        <v>0</v>
      </c>
      <c r="AN497" s="83">
        <f t="shared" si="185"/>
        <v>0</v>
      </c>
      <c r="AO497" s="83">
        <v>5.1400000000000001E-2</v>
      </c>
      <c r="AP497" s="83">
        <f t="shared" si="189"/>
        <v>0.33050200000000002</v>
      </c>
      <c r="AQ497" s="83">
        <f t="shared" si="186"/>
        <v>0.24840398586398216</v>
      </c>
      <c r="AR497" s="77" t="s">
        <v>253</v>
      </c>
    </row>
    <row r="498" spans="1:44" ht="15" hidden="1" customHeight="1" x14ac:dyDescent="0.25">
      <c r="A498" s="76">
        <v>497</v>
      </c>
      <c r="B498" s="76">
        <v>2016</v>
      </c>
      <c r="C498" s="77" t="s">
        <v>252</v>
      </c>
      <c r="D498" s="76">
        <v>9</v>
      </c>
      <c r="E498" s="78">
        <v>23</v>
      </c>
      <c r="F498" s="79">
        <v>2.2999999999999998</v>
      </c>
      <c r="G498" s="75">
        <v>60</v>
      </c>
      <c r="H498" s="75">
        <v>20</v>
      </c>
      <c r="I498" s="78">
        <v>29</v>
      </c>
      <c r="J498" s="81">
        <v>8.3299999999999999E-2</v>
      </c>
      <c r="K498" s="77" t="s">
        <v>297</v>
      </c>
      <c r="L498" s="77" t="s">
        <v>36</v>
      </c>
      <c r="M498" s="77" t="s">
        <v>290</v>
      </c>
      <c r="N498" s="77" t="s">
        <v>329</v>
      </c>
      <c r="O498" s="77" t="s">
        <v>329</v>
      </c>
      <c r="P498" s="78"/>
      <c r="Q498" s="81">
        <v>35</v>
      </c>
      <c r="R498" s="82"/>
      <c r="S498" s="82">
        <v>2.7037340117226681E-4</v>
      </c>
      <c r="T498" s="82">
        <v>850000000</v>
      </c>
      <c r="U498" s="78">
        <v>2683</v>
      </c>
      <c r="V498" s="82">
        <v>1.7919999999999998E-2</v>
      </c>
      <c r="W498" s="82">
        <v>2.3040000000000001E-2</v>
      </c>
      <c r="X498" s="82">
        <v>0.14899999999999999</v>
      </c>
      <c r="Y498" s="78">
        <v>29.6</v>
      </c>
      <c r="Z498" s="78">
        <v>1075</v>
      </c>
      <c r="AA498" s="78">
        <f t="shared" si="187"/>
        <v>1600</v>
      </c>
      <c r="AB498" s="81">
        <f t="shared" si="188"/>
        <v>0.82189116447904176</v>
      </c>
      <c r="AC498" s="81">
        <f t="shared" si="179"/>
        <v>538.35800807537044</v>
      </c>
      <c r="AD498" s="81">
        <v>4000</v>
      </c>
      <c r="AE498" s="81">
        <f t="shared" si="180"/>
        <v>3720.9302325581393</v>
      </c>
      <c r="AF498" s="81">
        <f t="shared" si="181"/>
        <v>3461.6419919246296</v>
      </c>
      <c r="AG498" s="83">
        <v>1</v>
      </c>
      <c r="AH498" s="83">
        <v>6.43</v>
      </c>
      <c r="AI498" s="83">
        <f t="shared" si="182"/>
        <v>0.86541049798115743</v>
      </c>
      <c r="AJ498" s="81">
        <f t="shared" si="183"/>
        <v>673.88129205921973</v>
      </c>
      <c r="AK498" s="81">
        <f t="shared" si="177"/>
        <v>522.3885984955192</v>
      </c>
      <c r="AL498" s="81">
        <f t="shared" si="184"/>
        <v>135.52328398384932</v>
      </c>
      <c r="AM498" s="83">
        <v>0</v>
      </c>
      <c r="AN498" s="83">
        <f t="shared" si="185"/>
        <v>0</v>
      </c>
      <c r="AO498" s="83">
        <v>3.9149999999999997E-2</v>
      </c>
      <c r="AP498" s="83">
        <f t="shared" si="189"/>
        <v>0.25173449999999997</v>
      </c>
      <c r="AQ498" s="83">
        <f t="shared" si="186"/>
        <v>0.20110854178741577</v>
      </c>
      <c r="AR498" s="77" t="s">
        <v>254</v>
      </c>
    </row>
    <row r="499" spans="1:44" ht="15" hidden="1" customHeight="1" x14ac:dyDescent="0.25">
      <c r="A499" s="76">
        <v>498</v>
      </c>
      <c r="B499" s="76">
        <v>2016</v>
      </c>
      <c r="C499" s="77" t="s">
        <v>252</v>
      </c>
      <c r="D499" s="76">
        <v>10</v>
      </c>
      <c r="E499" s="78">
        <v>26</v>
      </c>
      <c r="F499" s="79">
        <v>2.2999999999999998</v>
      </c>
      <c r="G499" s="75">
        <v>70</v>
      </c>
      <c r="H499" s="75">
        <v>10</v>
      </c>
      <c r="I499" s="78">
        <v>37</v>
      </c>
      <c r="J499" s="81">
        <v>0.14829999999999999</v>
      </c>
      <c r="K499" s="77" t="s">
        <v>297</v>
      </c>
      <c r="L499" s="77" t="s">
        <v>36</v>
      </c>
      <c r="M499" s="77" t="s">
        <v>34</v>
      </c>
      <c r="N499" s="77" t="s">
        <v>34</v>
      </c>
      <c r="O499" s="77" t="s">
        <v>34</v>
      </c>
      <c r="P499" s="78"/>
      <c r="Q499" s="81">
        <v>8</v>
      </c>
      <c r="R499" s="82"/>
      <c r="S499" s="82">
        <v>3.4188735538152789E-4</v>
      </c>
      <c r="T499" s="82">
        <v>850000000</v>
      </c>
      <c r="U499" s="78">
        <v>2683</v>
      </c>
      <c r="V499" s="82">
        <v>1.7919999999999998E-2</v>
      </c>
      <c r="W499" s="82">
        <v>2.3040000000000001E-2</v>
      </c>
      <c r="X499" s="82">
        <v>0.14899999999999999</v>
      </c>
      <c r="Y499" s="78">
        <v>29.6</v>
      </c>
      <c r="Z499" s="78">
        <v>1075</v>
      </c>
      <c r="AA499" s="78">
        <f t="shared" si="187"/>
        <v>1600</v>
      </c>
      <c r="AB499" s="81">
        <f t="shared" si="188"/>
        <v>0.82189116447904176</v>
      </c>
      <c r="AC499" s="81">
        <f t="shared" si="179"/>
        <v>538.35800807537044</v>
      </c>
      <c r="AD499" s="81">
        <v>4000</v>
      </c>
      <c r="AE499" s="81">
        <f t="shared" si="180"/>
        <v>3720.9302325581393</v>
      </c>
      <c r="AF499" s="81">
        <f t="shared" si="181"/>
        <v>3461.6419919246296</v>
      </c>
      <c r="AG499" s="83">
        <v>1</v>
      </c>
      <c r="AH499" s="83">
        <v>6.43</v>
      </c>
      <c r="AI499" s="83">
        <f t="shared" si="182"/>
        <v>0.86541049798115743</v>
      </c>
      <c r="AJ499" s="81">
        <f t="shared" si="183"/>
        <v>679.14298788694521</v>
      </c>
      <c r="AK499" s="81">
        <f t="shared" si="177"/>
        <v>526.46743247050017</v>
      </c>
      <c r="AL499" s="81">
        <f t="shared" si="184"/>
        <v>140.78497981157477</v>
      </c>
      <c r="AM499" s="83">
        <v>0</v>
      </c>
      <c r="AN499" s="83">
        <f t="shared" si="185"/>
        <v>0</v>
      </c>
      <c r="AO499" s="83">
        <v>4.0669999999999998E-2</v>
      </c>
      <c r="AP499" s="83">
        <f t="shared" si="189"/>
        <v>0.26150809999999997</v>
      </c>
      <c r="AQ499" s="83">
        <f t="shared" si="186"/>
        <v>0.20729799515357847</v>
      </c>
      <c r="AR499" s="77" t="s">
        <v>34</v>
      </c>
    </row>
    <row r="500" spans="1:44" ht="15" customHeight="1" x14ac:dyDescent="0.25">
      <c r="A500" s="76">
        <v>499</v>
      </c>
      <c r="B500" s="76">
        <v>2016</v>
      </c>
      <c r="C500" s="77" t="s">
        <v>252</v>
      </c>
      <c r="D500" s="76">
        <v>11</v>
      </c>
      <c r="E500" s="78">
        <v>33</v>
      </c>
      <c r="F500" s="79">
        <v>2.2999999999999998</v>
      </c>
      <c r="G500" s="75">
        <v>70</v>
      </c>
      <c r="H500" s="75">
        <v>10</v>
      </c>
      <c r="I500" s="78">
        <v>22</v>
      </c>
      <c r="J500" s="81">
        <v>6.4999999999999997E-3</v>
      </c>
      <c r="K500" s="77" t="s">
        <v>297</v>
      </c>
      <c r="L500" s="77" t="s">
        <v>36</v>
      </c>
      <c r="M500" s="77" t="s">
        <v>289</v>
      </c>
      <c r="N500" s="77">
        <v>25</v>
      </c>
      <c r="O500" s="77">
        <v>180</v>
      </c>
      <c r="P500" s="78"/>
      <c r="Q500" s="81">
        <v>17</v>
      </c>
      <c r="R500" s="82"/>
      <c r="S500" s="82">
        <v>3.4188735538152789E-4</v>
      </c>
      <c r="T500" s="82">
        <v>850000000</v>
      </c>
      <c r="U500" s="78">
        <v>2683</v>
      </c>
      <c r="V500" s="82">
        <v>1.7919999999999998E-2</v>
      </c>
      <c r="W500" s="82">
        <v>2.3040000000000001E-2</v>
      </c>
      <c r="X500" s="82">
        <v>0.14899999999999999</v>
      </c>
      <c r="Y500" s="78">
        <v>29.6</v>
      </c>
      <c r="Z500" s="78">
        <v>1075</v>
      </c>
      <c r="AA500" s="78">
        <f t="shared" si="187"/>
        <v>1600</v>
      </c>
      <c r="AB500" s="81">
        <f t="shared" si="188"/>
        <v>0.82189116447904176</v>
      </c>
      <c r="AC500" s="81">
        <f t="shared" si="179"/>
        <v>538.35800807537044</v>
      </c>
      <c r="AD500" s="81">
        <v>4000</v>
      </c>
      <c r="AE500" s="81">
        <f t="shared" si="180"/>
        <v>3720.9302325581393</v>
      </c>
      <c r="AF500" s="81">
        <f t="shared" si="181"/>
        <v>3461.6419919246296</v>
      </c>
      <c r="AG500" s="83">
        <v>1</v>
      </c>
      <c r="AH500" s="83">
        <v>6.43</v>
      </c>
      <c r="AI500" s="83">
        <f t="shared" si="182"/>
        <v>0.86541049798115743</v>
      </c>
      <c r="AJ500" s="81">
        <f t="shared" si="183"/>
        <v>667.75418573351317</v>
      </c>
      <c r="AK500" s="81">
        <f t="shared" si="177"/>
        <v>517.63890366939006</v>
      </c>
      <c r="AL500" s="81">
        <f t="shared" si="184"/>
        <v>129.3961776581427</v>
      </c>
      <c r="AM500" s="83">
        <v>0</v>
      </c>
      <c r="AN500" s="83">
        <f t="shared" si="185"/>
        <v>0</v>
      </c>
      <c r="AO500" s="83">
        <v>3.7379999999999997E-2</v>
      </c>
      <c r="AP500" s="83">
        <f t="shared" si="189"/>
        <v>0.24035339999999997</v>
      </c>
      <c r="AQ500" s="83">
        <f t="shared" si="186"/>
        <v>0.19377816032108264</v>
      </c>
      <c r="AR500" s="77" t="s">
        <v>253</v>
      </c>
    </row>
    <row r="501" spans="1:44" s="10" customFormat="1" ht="15" hidden="1" customHeight="1" x14ac:dyDescent="0.25">
      <c r="A501" s="1">
        <v>500</v>
      </c>
      <c r="B501" s="1">
        <v>2016</v>
      </c>
      <c r="C501" s="28" t="s">
        <v>252</v>
      </c>
      <c r="D501" s="1">
        <v>12</v>
      </c>
      <c r="E501" s="8">
        <v>34</v>
      </c>
      <c r="F501" s="31">
        <v>2.2999999999999998</v>
      </c>
      <c r="G501" s="59">
        <v>70</v>
      </c>
      <c r="H501" s="59">
        <v>10</v>
      </c>
      <c r="I501" s="8">
        <v>22</v>
      </c>
      <c r="J501" s="51">
        <v>2.1999999999999999E-2</v>
      </c>
      <c r="K501" s="28" t="s">
        <v>297</v>
      </c>
      <c r="L501" s="28" t="s">
        <v>36</v>
      </c>
      <c r="M501" s="28" t="s">
        <v>290</v>
      </c>
      <c r="N501" s="28" t="s">
        <v>329</v>
      </c>
      <c r="O501" s="28" t="s">
        <v>329</v>
      </c>
      <c r="P501" s="8"/>
      <c r="Q501" s="51">
        <v>13</v>
      </c>
      <c r="R501" s="9"/>
      <c r="S501" s="9">
        <v>3.4188735538152789E-4</v>
      </c>
      <c r="T501" s="9">
        <v>850000000</v>
      </c>
      <c r="U501" s="8">
        <v>2683</v>
      </c>
      <c r="V501" s="9">
        <v>1.7919999999999998E-2</v>
      </c>
      <c r="W501" s="9">
        <v>2.3040000000000001E-2</v>
      </c>
      <c r="X501" s="9">
        <v>0.14899999999999999</v>
      </c>
      <c r="Y501" s="8">
        <v>29.6</v>
      </c>
      <c r="Z501" s="8">
        <v>1075</v>
      </c>
      <c r="AA501" s="8">
        <f t="shared" si="187"/>
        <v>1600</v>
      </c>
      <c r="AB501" s="51">
        <f t="shared" si="188"/>
        <v>0.82189116447904176</v>
      </c>
      <c r="AC501" s="51">
        <f t="shared" si="179"/>
        <v>538.35800807537044</v>
      </c>
      <c r="AD501" s="51">
        <v>4000</v>
      </c>
      <c r="AE501" s="51">
        <f t="shared" si="180"/>
        <v>3720.9302325581393</v>
      </c>
      <c r="AF501" s="51">
        <f t="shared" si="181"/>
        <v>3461.6419919246296</v>
      </c>
      <c r="AG501" s="52">
        <v>1</v>
      </c>
      <c r="AH501" s="52">
        <v>6.43</v>
      </c>
      <c r="AI501" s="52">
        <f t="shared" si="182"/>
        <v>0.86541049798115743</v>
      </c>
      <c r="AJ501" s="51">
        <f t="shared" si="183"/>
        <v>721.68656796769892</v>
      </c>
      <c r="AK501" s="51">
        <f t="shared" ref="AK501:AK532" si="190">AJ501/1290*1000</f>
        <v>559.44695191294488</v>
      </c>
      <c r="AL501" s="51">
        <f t="shared" si="184"/>
        <v>183.32855989232846</v>
      </c>
      <c r="AM501" s="52">
        <v>0</v>
      </c>
      <c r="AN501" s="52">
        <f t="shared" si="185"/>
        <v>0</v>
      </c>
      <c r="AO501" s="52">
        <v>5.296E-2</v>
      </c>
      <c r="AP501" s="52">
        <f t="shared" si="189"/>
        <v>0.34053279999999997</v>
      </c>
      <c r="AQ501" s="52">
        <f t="shared" si="186"/>
        <v>0.2540279506775216</v>
      </c>
      <c r="AR501" s="28" t="s">
        <v>254</v>
      </c>
    </row>
    <row r="502" spans="1:44" ht="15" hidden="1" customHeight="1" x14ac:dyDescent="0.25">
      <c r="A502" s="76">
        <v>501</v>
      </c>
      <c r="B502" s="76">
        <v>2017</v>
      </c>
      <c r="C502" s="77" t="s">
        <v>158</v>
      </c>
      <c r="D502" s="76">
        <v>1</v>
      </c>
      <c r="E502" s="78">
        <v>18</v>
      </c>
      <c r="F502" s="79">
        <v>2</v>
      </c>
      <c r="G502" s="71">
        <v>45</v>
      </c>
      <c r="H502" s="71">
        <v>20</v>
      </c>
      <c r="I502" s="78">
        <v>17</v>
      </c>
      <c r="J502" s="81">
        <v>0.1416</v>
      </c>
      <c r="K502" s="77" t="s">
        <v>306</v>
      </c>
      <c r="L502" s="77" t="s">
        <v>36</v>
      </c>
      <c r="M502" s="77" t="s">
        <v>34</v>
      </c>
      <c r="N502" s="77" t="s">
        <v>34</v>
      </c>
      <c r="O502" s="77" t="s">
        <v>34</v>
      </c>
      <c r="P502" s="78"/>
      <c r="Q502" s="81">
        <v>69</v>
      </c>
      <c r="R502" s="82"/>
      <c r="S502" s="82">
        <v>3.0599814849543869E-4</v>
      </c>
      <c r="T502" s="82">
        <v>750000000</v>
      </c>
      <c r="U502" s="78">
        <v>2483</v>
      </c>
      <c r="V502" s="82">
        <v>1.7919999999999998E-2</v>
      </c>
      <c r="W502" s="82">
        <v>2.3040000000000001E-2</v>
      </c>
      <c r="X502" s="82">
        <v>0.14899999999999999</v>
      </c>
      <c r="Y502" s="78">
        <v>29.6</v>
      </c>
      <c r="Z502" s="78">
        <v>1075</v>
      </c>
      <c r="AA502" s="78">
        <f t="shared" si="187"/>
        <v>400</v>
      </c>
      <c r="AB502" s="81">
        <f t="shared" si="188"/>
        <v>0.82189116447904176</v>
      </c>
      <c r="AC502" s="81">
        <f t="shared" si="179"/>
        <v>205.77825335418561</v>
      </c>
      <c r="AD502" s="81">
        <v>1000</v>
      </c>
      <c r="AE502" s="81">
        <f t="shared" si="180"/>
        <v>930.23255813953483</v>
      </c>
      <c r="AF502" s="81">
        <f t="shared" si="181"/>
        <v>794.22174664581439</v>
      </c>
      <c r="AG502" s="83">
        <v>1</v>
      </c>
      <c r="AH502" s="83">
        <v>3.8595999999999999</v>
      </c>
      <c r="AI502" s="83">
        <f t="shared" si="182"/>
        <v>0.79422174664581435</v>
      </c>
      <c r="AJ502" s="81">
        <f t="shared" si="183"/>
        <v>289.09786813729534</v>
      </c>
      <c r="AK502" s="81">
        <f t="shared" si="190"/>
        <v>224.10687452503512</v>
      </c>
      <c r="AL502" s="81">
        <f t="shared" si="184"/>
        <v>83.319614783109742</v>
      </c>
      <c r="AM502" s="83">
        <v>0.40489999999999998</v>
      </c>
      <c r="AN502" s="83">
        <f t="shared" si="185"/>
        <v>0.28820556623247207</v>
      </c>
      <c r="AO502" s="83">
        <v>0</v>
      </c>
      <c r="AP502" s="83">
        <v>0.40489999999999998</v>
      </c>
      <c r="AQ502" s="83">
        <f t="shared" si="186"/>
        <v>0.28820556623247207</v>
      </c>
      <c r="AR502" s="77" t="s">
        <v>34</v>
      </c>
    </row>
    <row r="503" spans="1:44" ht="15" hidden="1" customHeight="1" x14ac:dyDescent="0.25">
      <c r="A503" s="76">
        <v>502</v>
      </c>
      <c r="B503" s="76">
        <v>2017</v>
      </c>
      <c r="C503" s="77" t="s">
        <v>158</v>
      </c>
      <c r="D503" s="76">
        <v>2</v>
      </c>
      <c r="E503" s="78">
        <v>18</v>
      </c>
      <c r="F503" s="79">
        <v>2</v>
      </c>
      <c r="G503" s="71">
        <v>50</v>
      </c>
      <c r="H503" s="71">
        <v>15</v>
      </c>
      <c r="I503" s="78">
        <v>17</v>
      </c>
      <c r="J503" s="81">
        <v>0.1862</v>
      </c>
      <c r="K503" s="77" t="s">
        <v>306</v>
      </c>
      <c r="L503" s="77" t="s">
        <v>36</v>
      </c>
      <c r="M503" s="77" t="s">
        <v>34</v>
      </c>
      <c r="N503" s="77" t="s">
        <v>34</v>
      </c>
      <c r="O503" s="77" t="s">
        <v>34</v>
      </c>
      <c r="P503" s="78"/>
      <c r="Q503" s="81">
        <v>56</v>
      </c>
      <c r="R503" s="82"/>
      <c r="S503" s="82">
        <v>3.452704601216276E-4</v>
      </c>
      <c r="T503" s="82">
        <v>750000000</v>
      </c>
      <c r="U503" s="78">
        <v>2483</v>
      </c>
      <c r="V503" s="82">
        <v>1.7919999999999998E-2</v>
      </c>
      <c r="W503" s="82">
        <v>2.3040000000000001E-2</v>
      </c>
      <c r="X503" s="82">
        <v>0.14899999999999999</v>
      </c>
      <c r="Y503" s="78">
        <v>29.6</v>
      </c>
      <c r="Z503" s="78">
        <v>1075</v>
      </c>
      <c r="AA503" s="78">
        <f t="shared" si="187"/>
        <v>400</v>
      </c>
      <c r="AB503" s="81">
        <f t="shared" si="188"/>
        <v>0.82189116447904176</v>
      </c>
      <c r="AC503" s="81">
        <f t="shared" si="179"/>
        <v>205.77825335418561</v>
      </c>
      <c r="AD503" s="81">
        <v>1000</v>
      </c>
      <c r="AE503" s="81">
        <f t="shared" si="180"/>
        <v>930.23255813953483</v>
      </c>
      <c r="AF503" s="81">
        <f t="shared" si="181"/>
        <v>794.22174664581439</v>
      </c>
      <c r="AG503" s="83">
        <v>1</v>
      </c>
      <c r="AH503" s="83">
        <v>3.8595999999999999</v>
      </c>
      <c r="AI503" s="83">
        <f t="shared" si="182"/>
        <v>0.79422174664581435</v>
      </c>
      <c r="AJ503" s="81">
        <f t="shared" si="183"/>
        <v>322.41336735533804</v>
      </c>
      <c r="AK503" s="81">
        <f t="shared" si="190"/>
        <v>249.93284291111476</v>
      </c>
      <c r="AL503" s="81">
        <f t="shared" si="184"/>
        <v>116.63511400115242</v>
      </c>
      <c r="AM503" s="83">
        <v>0.5</v>
      </c>
      <c r="AN503" s="83">
        <f t="shared" si="185"/>
        <v>0.33333333333333331</v>
      </c>
      <c r="AO503" s="83">
        <f>(AP503-AM503)/(AH503-AM503)</f>
        <v>1.9883319442790801E-2</v>
      </c>
      <c r="AP503" s="83">
        <v>0.56679999999999997</v>
      </c>
      <c r="AQ503" s="83">
        <f t="shared" si="186"/>
        <v>0.36175644625989278</v>
      </c>
      <c r="AR503" s="77" t="s">
        <v>34</v>
      </c>
    </row>
    <row r="504" spans="1:44" ht="15" hidden="1" customHeight="1" x14ac:dyDescent="0.25">
      <c r="A504" s="76">
        <v>503</v>
      </c>
      <c r="B504" s="76">
        <v>2017</v>
      </c>
      <c r="C504" s="77" t="s">
        <v>158</v>
      </c>
      <c r="D504" s="76">
        <v>3</v>
      </c>
      <c r="E504" s="78">
        <v>18</v>
      </c>
      <c r="F504" s="79">
        <v>2</v>
      </c>
      <c r="G504" s="75">
        <v>55</v>
      </c>
      <c r="H504" s="75">
        <v>12</v>
      </c>
      <c r="I504" s="78">
        <v>17</v>
      </c>
      <c r="J504" s="81">
        <v>0.13170000000000001</v>
      </c>
      <c r="K504" s="77" t="s">
        <v>306</v>
      </c>
      <c r="L504" s="77" t="s">
        <v>36</v>
      </c>
      <c r="M504" s="77" t="s">
        <v>34</v>
      </c>
      <c r="N504" s="77" t="s">
        <v>34</v>
      </c>
      <c r="O504" s="77" t="s">
        <v>34</v>
      </c>
      <c r="P504" s="78"/>
      <c r="Q504" s="81">
        <v>47</v>
      </c>
      <c r="R504" s="82"/>
      <c r="S504" s="82">
        <v>3.8815217884617269E-4</v>
      </c>
      <c r="T504" s="82">
        <v>750000000</v>
      </c>
      <c r="U504" s="78">
        <v>2483</v>
      </c>
      <c r="V504" s="82">
        <v>1.7919999999999998E-2</v>
      </c>
      <c r="W504" s="82">
        <v>2.3040000000000001E-2</v>
      </c>
      <c r="X504" s="82">
        <v>0.14899999999999999</v>
      </c>
      <c r="Y504" s="78">
        <v>29.6</v>
      </c>
      <c r="Z504" s="78">
        <v>1075</v>
      </c>
      <c r="AA504" s="78">
        <f t="shared" si="187"/>
        <v>400</v>
      </c>
      <c r="AB504" s="81">
        <f t="shared" si="188"/>
        <v>0.82189116447904176</v>
      </c>
      <c r="AC504" s="81">
        <f t="shared" si="179"/>
        <v>205.77825335418561</v>
      </c>
      <c r="AD504" s="81">
        <v>1000</v>
      </c>
      <c r="AE504" s="81">
        <f t="shared" si="180"/>
        <v>930.23255813953483</v>
      </c>
      <c r="AF504" s="81">
        <f t="shared" si="181"/>
        <v>794.22174664581439</v>
      </c>
      <c r="AG504" s="83">
        <v>1</v>
      </c>
      <c r="AH504" s="83">
        <v>3.8595999999999999</v>
      </c>
      <c r="AI504" s="83">
        <f t="shared" si="182"/>
        <v>0.79422174664581435</v>
      </c>
      <c r="AJ504" s="81">
        <f t="shared" si="183"/>
        <v>289.09786813729534</v>
      </c>
      <c r="AK504" s="81">
        <f t="shared" si="190"/>
        <v>224.10687452503512</v>
      </c>
      <c r="AL504" s="81">
        <f t="shared" si="184"/>
        <v>83.319614783109742</v>
      </c>
      <c r="AM504" s="83">
        <v>0.40489999999999998</v>
      </c>
      <c r="AN504" s="83">
        <f t="shared" si="185"/>
        <v>0.28820556623247207</v>
      </c>
      <c r="AO504" s="83">
        <v>0</v>
      </c>
      <c r="AP504" s="83">
        <v>0.40489999999999998</v>
      </c>
      <c r="AQ504" s="83">
        <f t="shared" si="186"/>
        <v>0.28820556623247207</v>
      </c>
      <c r="AR504" s="77" t="s">
        <v>34</v>
      </c>
    </row>
    <row r="505" spans="1:44" ht="15" hidden="1" customHeight="1" x14ac:dyDescent="0.25">
      <c r="A505" s="76">
        <v>504</v>
      </c>
      <c r="B505" s="76">
        <v>2017</v>
      </c>
      <c r="C505" s="77" t="s">
        <v>158</v>
      </c>
      <c r="D505" s="76">
        <v>4</v>
      </c>
      <c r="E505" s="78">
        <v>18</v>
      </c>
      <c r="F505" s="79">
        <v>2</v>
      </c>
      <c r="G505" s="75">
        <v>60</v>
      </c>
      <c r="H505" s="75">
        <v>10</v>
      </c>
      <c r="I505" s="78">
        <v>17</v>
      </c>
      <c r="J505" s="81">
        <v>0.14219999999999999</v>
      </c>
      <c r="K505" s="77" t="s">
        <v>306</v>
      </c>
      <c r="L505" s="77" t="s">
        <v>36</v>
      </c>
      <c r="M505" s="77" t="s">
        <v>34</v>
      </c>
      <c r="N505" s="77" t="s">
        <v>34</v>
      </c>
      <c r="O505" s="77" t="s">
        <v>34</v>
      </c>
      <c r="P505" s="78"/>
      <c r="Q505" s="81">
        <v>40</v>
      </c>
      <c r="R505" s="82"/>
      <c r="S505" s="82">
        <v>4.3482906083256692E-4</v>
      </c>
      <c r="T505" s="82">
        <v>750000000</v>
      </c>
      <c r="U505" s="78">
        <v>2483</v>
      </c>
      <c r="V505" s="82">
        <v>1.7919999999999998E-2</v>
      </c>
      <c r="W505" s="82">
        <v>2.3040000000000001E-2</v>
      </c>
      <c r="X505" s="82">
        <v>0.14899999999999999</v>
      </c>
      <c r="Y505" s="78">
        <v>29.6</v>
      </c>
      <c r="Z505" s="78">
        <v>1075</v>
      </c>
      <c r="AA505" s="78">
        <f t="shared" si="187"/>
        <v>400</v>
      </c>
      <c r="AB505" s="81">
        <f t="shared" si="188"/>
        <v>0.82189116447904176</v>
      </c>
      <c r="AC505" s="81">
        <f t="shared" si="179"/>
        <v>205.77825335418561</v>
      </c>
      <c r="AD505" s="81">
        <v>1000</v>
      </c>
      <c r="AE505" s="81">
        <f t="shared" si="180"/>
        <v>930.23255813953483</v>
      </c>
      <c r="AF505" s="81">
        <f t="shared" si="181"/>
        <v>794.22174664581439</v>
      </c>
      <c r="AG505" s="83">
        <v>1</v>
      </c>
      <c r="AH505" s="83">
        <v>3.8595999999999999</v>
      </c>
      <c r="AI505" s="83">
        <f t="shared" si="182"/>
        <v>0.79422174664581435</v>
      </c>
      <c r="AJ505" s="81">
        <f t="shared" si="183"/>
        <v>294.63330315252296</v>
      </c>
      <c r="AK505" s="81">
        <f t="shared" si="190"/>
        <v>228.39790942056044</v>
      </c>
      <c r="AL505" s="81">
        <f t="shared" si="184"/>
        <v>88.855049798337348</v>
      </c>
      <c r="AM505" s="83">
        <v>0.43180000000000002</v>
      </c>
      <c r="AN505" s="83">
        <f t="shared" si="185"/>
        <v>0.30157843274200308</v>
      </c>
      <c r="AO505" s="83">
        <v>0</v>
      </c>
      <c r="AP505" s="83">
        <v>0.43180000000000002</v>
      </c>
      <c r="AQ505" s="83">
        <f t="shared" si="186"/>
        <v>0.30157843274200308</v>
      </c>
      <c r="AR505" s="77" t="s">
        <v>34</v>
      </c>
    </row>
    <row r="506" spans="1:44" s="12" customFormat="1" ht="15" hidden="1" customHeight="1" x14ac:dyDescent="0.25">
      <c r="A506" s="3">
        <v>505</v>
      </c>
      <c r="B506" s="3">
        <v>2017</v>
      </c>
      <c r="C506" s="27" t="s">
        <v>255</v>
      </c>
      <c r="D506" s="3">
        <v>1</v>
      </c>
      <c r="E506" s="11">
        <v>16</v>
      </c>
      <c r="F506" s="32">
        <v>0.16</v>
      </c>
      <c r="G506" s="54">
        <v>51.5</v>
      </c>
      <c r="H506" s="54">
        <v>16</v>
      </c>
      <c r="I506" s="11">
        <v>47</v>
      </c>
      <c r="J506" s="47">
        <v>0.30399999999999999</v>
      </c>
      <c r="K506" s="27" t="s">
        <v>306</v>
      </c>
      <c r="L506" s="27" t="s">
        <v>36</v>
      </c>
      <c r="M506" s="27" t="s">
        <v>34</v>
      </c>
      <c r="N506" s="27" t="s">
        <v>34</v>
      </c>
      <c r="O506" s="27" t="s">
        <v>34</v>
      </c>
      <c r="P506" s="11"/>
      <c r="Q506" s="47">
        <v>216</v>
      </c>
      <c r="R506" s="4"/>
      <c r="S506" s="4">
        <v>2.5678606016890496E-4</v>
      </c>
      <c r="T506" s="4">
        <v>540000000</v>
      </c>
      <c r="U506" s="11">
        <v>2484</v>
      </c>
      <c r="V506" s="4">
        <v>1.7919999999999998E-2</v>
      </c>
      <c r="W506" s="4">
        <v>2.3040000000000001E-2</v>
      </c>
      <c r="X506" s="4">
        <v>0.249</v>
      </c>
      <c r="Y506" s="11">
        <v>29.6</v>
      </c>
      <c r="Z506" s="11">
        <v>1075</v>
      </c>
      <c r="AA506" s="11">
        <f t="shared" si="187"/>
        <v>647.20000000000005</v>
      </c>
      <c r="AB506" s="47">
        <f t="shared" si="188"/>
        <v>0.82189116447904176</v>
      </c>
      <c r="AC506" s="47">
        <f t="shared" si="179"/>
        <v>242.70000000000005</v>
      </c>
      <c r="AD506" s="47">
        <v>1618</v>
      </c>
      <c r="AE506" s="47">
        <f t="shared" si="180"/>
        <v>1505.1162790697674</v>
      </c>
      <c r="AF506" s="47">
        <f t="shared" si="181"/>
        <v>1375.3</v>
      </c>
      <c r="AG506" s="53">
        <v>1</v>
      </c>
      <c r="AH506" s="53">
        <f>17/3</f>
        <v>5.666666666666667</v>
      </c>
      <c r="AI506" s="53">
        <f t="shared" si="182"/>
        <v>0.85</v>
      </c>
      <c r="AJ506" s="47">
        <f t="shared" si="183"/>
        <v>600</v>
      </c>
      <c r="AK506" s="47">
        <f t="shared" si="190"/>
        <v>465.11627906976742</v>
      </c>
      <c r="AL506" s="47">
        <f t="shared" si="184"/>
        <v>357.29999999999995</v>
      </c>
      <c r="AM506" s="53">
        <f>AP506</f>
        <v>1.4721878862793567</v>
      </c>
      <c r="AN506" s="53">
        <f t="shared" si="185"/>
        <v>0.59549999999999992</v>
      </c>
      <c r="AO506" s="53">
        <v>0</v>
      </c>
      <c r="AP506" s="53">
        <f>(AD506-1018-AC506)/AC506</f>
        <v>1.4721878862793567</v>
      </c>
      <c r="AQ506" s="53">
        <f t="shared" si="186"/>
        <v>0.59549999999999992</v>
      </c>
      <c r="AR506" s="27"/>
    </row>
    <row r="507" spans="1:44" s="10" customFormat="1" ht="15" hidden="1" customHeight="1" x14ac:dyDescent="0.25">
      <c r="A507" s="1">
        <v>506</v>
      </c>
      <c r="B507" s="1">
        <v>2017</v>
      </c>
      <c r="C507" s="28" t="s">
        <v>255</v>
      </c>
      <c r="D507" s="1">
        <v>2</v>
      </c>
      <c r="E507" s="8">
        <v>17</v>
      </c>
      <c r="F507" s="33">
        <v>4</v>
      </c>
      <c r="G507" s="57">
        <v>40</v>
      </c>
      <c r="H507" s="57">
        <v>28.8</v>
      </c>
      <c r="I507" s="8">
        <v>45</v>
      </c>
      <c r="J507" s="51">
        <v>0.50819999999999999</v>
      </c>
      <c r="K507" s="28" t="s">
        <v>306</v>
      </c>
      <c r="L507" s="28" t="s">
        <v>36</v>
      </c>
      <c r="M507" s="28" t="s">
        <v>34</v>
      </c>
      <c r="N507" s="28" t="s">
        <v>34</v>
      </c>
      <c r="O507" s="28" t="s">
        <v>34</v>
      </c>
      <c r="P507" s="8"/>
      <c r="Q507" s="51">
        <v>214</v>
      </c>
      <c r="R507" s="9"/>
      <c r="S507" s="9">
        <v>1.9388726906900257E-4</v>
      </c>
      <c r="T507" s="9">
        <v>540000000</v>
      </c>
      <c r="U507" s="8">
        <v>2484</v>
      </c>
      <c r="V507" s="9">
        <v>1.7919999999999998E-2</v>
      </c>
      <c r="W507" s="9">
        <v>2.3040000000000001E-2</v>
      </c>
      <c r="X507" s="9">
        <v>0.249</v>
      </c>
      <c r="Y507" s="8">
        <v>29.6</v>
      </c>
      <c r="Z507" s="8">
        <v>1075</v>
      </c>
      <c r="AA507" s="8">
        <f t="shared" si="187"/>
        <v>641.6</v>
      </c>
      <c r="AB507" s="51">
        <f t="shared" si="188"/>
        <v>0.82189116447904176</v>
      </c>
      <c r="AC507" s="51">
        <f t="shared" si="179"/>
        <v>240.60000000000014</v>
      </c>
      <c r="AD507" s="51">
        <v>1604</v>
      </c>
      <c r="AE507" s="51">
        <f t="shared" si="180"/>
        <v>1492.0930232558142</v>
      </c>
      <c r="AF507" s="51">
        <f t="shared" si="181"/>
        <v>1363.3999999999999</v>
      </c>
      <c r="AG507" s="52">
        <v>1</v>
      </c>
      <c r="AH507" s="52">
        <f>17/3</f>
        <v>5.666666666666667</v>
      </c>
      <c r="AI507" s="52">
        <f t="shared" si="182"/>
        <v>0.85</v>
      </c>
      <c r="AJ507" s="51">
        <f t="shared" si="183"/>
        <v>540</v>
      </c>
      <c r="AK507" s="51">
        <f t="shared" si="190"/>
        <v>418.60465116279073</v>
      </c>
      <c r="AL507" s="51">
        <f t="shared" si="184"/>
        <v>299.39999999999986</v>
      </c>
      <c r="AM507" s="52">
        <f>AP507</f>
        <v>1.2443890274314202</v>
      </c>
      <c r="AN507" s="52">
        <f t="shared" si="185"/>
        <v>0.55444444444444418</v>
      </c>
      <c r="AO507" s="52">
        <v>0</v>
      </c>
      <c r="AP507" s="52">
        <f>(AD507-1064-AC507)/AC507</f>
        <v>1.2443890274314202</v>
      </c>
      <c r="AQ507" s="52">
        <f t="shared" si="186"/>
        <v>0.55444444444444418</v>
      </c>
      <c r="AR507" s="28"/>
    </row>
    <row r="508" spans="1:44" ht="15" customHeight="1" x14ac:dyDescent="0.25">
      <c r="A508" s="76">
        <v>507</v>
      </c>
      <c r="B508" s="76">
        <v>2017</v>
      </c>
      <c r="C508" s="77" t="s">
        <v>256</v>
      </c>
      <c r="D508" s="76">
        <v>1</v>
      </c>
      <c r="E508" s="78">
        <v>13</v>
      </c>
      <c r="F508" s="73">
        <v>0.5</v>
      </c>
      <c r="G508" s="56">
        <v>50</v>
      </c>
      <c r="H508" s="56">
        <v>0</v>
      </c>
      <c r="I508" s="78">
        <v>288</v>
      </c>
      <c r="J508" s="81">
        <v>0.251</v>
      </c>
      <c r="K508" s="77" t="s">
        <v>110</v>
      </c>
      <c r="L508" s="77" t="s">
        <v>36</v>
      </c>
      <c r="M508" s="77" t="s">
        <v>289</v>
      </c>
      <c r="N508" s="77">
        <v>50</v>
      </c>
      <c r="O508" s="77">
        <v>120</v>
      </c>
      <c r="P508" s="78"/>
      <c r="Q508" s="81">
        <v>3</v>
      </c>
      <c r="R508" s="82"/>
      <c r="S508" s="82">
        <v>1.360334614387818E-4</v>
      </c>
      <c r="T508" s="82">
        <v>750000000</v>
      </c>
      <c r="U508" s="78">
        <v>2784</v>
      </c>
      <c r="V508" s="82">
        <v>1.7919999999999998E-2</v>
      </c>
      <c r="W508" s="82">
        <v>2.3040000000000001E-2</v>
      </c>
      <c r="X508" s="82">
        <v>0.249</v>
      </c>
      <c r="Y508" s="78">
        <v>29.6</v>
      </c>
      <c r="Z508" s="78">
        <v>1075</v>
      </c>
      <c r="AA508" s="78">
        <f t="shared" si="187"/>
        <v>400</v>
      </c>
      <c r="AB508" s="81">
        <f t="shared" si="188"/>
        <v>0.82189116447904176</v>
      </c>
      <c r="AC508" s="81">
        <f t="shared" si="179"/>
        <v>198.45999999999992</v>
      </c>
      <c r="AD508" s="81">
        <v>1000</v>
      </c>
      <c r="AE508" s="81">
        <f t="shared" si="180"/>
        <v>930.23255813953483</v>
      </c>
      <c r="AF508" s="81">
        <f t="shared" si="181"/>
        <v>801.54000000000008</v>
      </c>
      <c r="AG508" s="83">
        <v>1</v>
      </c>
      <c r="AH508" s="83">
        <f>80.154/19.846</f>
        <v>4.0387987503779099</v>
      </c>
      <c r="AI508" s="83">
        <f t="shared" si="182"/>
        <v>0.80154000000000003</v>
      </c>
      <c r="AJ508" s="81">
        <f t="shared" si="183"/>
        <v>247.97890817308286</v>
      </c>
      <c r="AK508" s="81">
        <f t="shared" si="190"/>
        <v>192.23171176207973</v>
      </c>
      <c r="AL508" s="81">
        <f t="shared" si="184"/>
        <v>49.51890817308292</v>
      </c>
      <c r="AM508" s="83">
        <v>0</v>
      </c>
      <c r="AN508" s="83">
        <f t="shared" si="185"/>
        <v>0</v>
      </c>
      <c r="AO508" s="83">
        <f>AP508/AH508</f>
        <v>6.1779709275997373E-2</v>
      </c>
      <c r="AP508" s="83">
        <f>19.969/80.031</f>
        <v>0.24951581262260875</v>
      </c>
      <c r="AQ508" s="83">
        <f t="shared" si="186"/>
        <v>0.19969000000000001</v>
      </c>
      <c r="AR508" s="77" t="s">
        <v>273</v>
      </c>
    </row>
    <row r="509" spans="1:44" ht="15" customHeight="1" x14ac:dyDescent="0.25">
      <c r="A509" s="76">
        <v>508</v>
      </c>
      <c r="B509" s="76">
        <v>2017</v>
      </c>
      <c r="C509" s="77" t="s">
        <v>256</v>
      </c>
      <c r="D509" s="76">
        <v>2</v>
      </c>
      <c r="E509" s="78">
        <v>13</v>
      </c>
      <c r="F509" s="73">
        <v>0.5</v>
      </c>
      <c r="G509" s="56">
        <v>50</v>
      </c>
      <c r="H509" s="56">
        <v>0</v>
      </c>
      <c r="I509" s="78">
        <v>288</v>
      </c>
      <c r="J509" s="81">
        <v>1.0239</v>
      </c>
      <c r="K509" s="77" t="s">
        <v>110</v>
      </c>
      <c r="L509" s="77" t="s">
        <v>36</v>
      </c>
      <c r="M509" s="77" t="s">
        <v>289</v>
      </c>
      <c r="N509" s="77">
        <v>50</v>
      </c>
      <c r="O509" s="77">
        <v>3</v>
      </c>
      <c r="P509" s="78"/>
      <c r="Q509" s="81">
        <v>3</v>
      </c>
      <c r="R509" s="82"/>
      <c r="S509" s="82">
        <v>1.360334614387818E-4</v>
      </c>
      <c r="T509" s="82">
        <v>750000000</v>
      </c>
      <c r="U509" s="78">
        <v>2784</v>
      </c>
      <c r="V509" s="82">
        <v>1.7919999999999998E-2</v>
      </c>
      <c r="W509" s="82">
        <v>2.3040000000000001E-2</v>
      </c>
      <c r="X509" s="82">
        <v>0.249</v>
      </c>
      <c r="Y509" s="78">
        <v>29.6</v>
      </c>
      <c r="Z509" s="78">
        <v>1075</v>
      </c>
      <c r="AA509" s="78">
        <f t="shared" si="187"/>
        <v>400</v>
      </c>
      <c r="AB509" s="81">
        <f t="shared" si="188"/>
        <v>0.82189116447904176</v>
      </c>
      <c r="AC509" s="81">
        <f t="shared" si="179"/>
        <v>198.45999999999992</v>
      </c>
      <c r="AD509" s="81">
        <v>1000</v>
      </c>
      <c r="AE509" s="81">
        <f t="shared" si="180"/>
        <v>930.23255813953483</v>
      </c>
      <c r="AF509" s="81">
        <f t="shared" si="181"/>
        <v>801.54000000000008</v>
      </c>
      <c r="AG509" s="83">
        <v>1</v>
      </c>
      <c r="AH509" s="83">
        <f>80.154/19.846</f>
        <v>4.0387987503779099</v>
      </c>
      <c r="AI509" s="83">
        <f t="shared" si="182"/>
        <v>0.80154000000000003</v>
      </c>
      <c r="AJ509" s="81">
        <f t="shared" si="183"/>
        <v>260.14917351580209</v>
      </c>
      <c r="AK509" s="81">
        <f t="shared" si="190"/>
        <v>201.66602598124192</v>
      </c>
      <c r="AL509" s="81">
        <f t="shared" si="184"/>
        <v>61.689173515802153</v>
      </c>
      <c r="AM509" s="83">
        <v>0</v>
      </c>
      <c r="AN509" s="83">
        <f t="shared" si="185"/>
        <v>0</v>
      </c>
      <c r="AO509" s="83">
        <f>AP509/AH509</f>
        <v>7.6963312518155261E-2</v>
      </c>
      <c r="AP509" s="83">
        <f>23.713/76.287</f>
        <v>0.31083933042327</v>
      </c>
      <c r="AQ509" s="83">
        <f t="shared" si="186"/>
        <v>0.23713000000000001</v>
      </c>
      <c r="AR509" s="77" t="s">
        <v>373</v>
      </c>
    </row>
    <row r="510" spans="1:44" ht="15" customHeight="1" x14ac:dyDescent="0.25">
      <c r="A510" s="76">
        <v>509</v>
      </c>
      <c r="B510" s="76">
        <v>2017</v>
      </c>
      <c r="C510" s="77" t="s">
        <v>256</v>
      </c>
      <c r="D510" s="76">
        <v>3</v>
      </c>
      <c r="E510" s="78">
        <v>5</v>
      </c>
      <c r="F510" s="73">
        <v>1</v>
      </c>
      <c r="G510" s="56">
        <v>30</v>
      </c>
      <c r="H510" s="56">
        <v>0</v>
      </c>
      <c r="I510" s="78">
        <v>96</v>
      </c>
      <c r="J510" s="81">
        <v>4.9500000000000002E-2</v>
      </c>
      <c r="K510" s="77" t="s">
        <v>110</v>
      </c>
      <c r="L510" s="77" t="s">
        <v>36</v>
      </c>
      <c r="M510" s="77" t="s">
        <v>289</v>
      </c>
      <c r="N510" s="77">
        <v>90</v>
      </c>
      <c r="O510" s="77">
        <v>120</v>
      </c>
      <c r="P510" s="78"/>
      <c r="Q510" s="81">
        <v>38</v>
      </c>
      <c r="R510" s="82"/>
      <c r="S510" s="82">
        <v>7.705804159788225E-5</v>
      </c>
      <c r="T510" s="82">
        <v>750000000</v>
      </c>
      <c r="U510" s="78">
        <v>2784</v>
      </c>
      <c r="V510" s="82">
        <v>1.7919999999999998E-2</v>
      </c>
      <c r="W510" s="82">
        <v>2.3040000000000001E-2</v>
      </c>
      <c r="X510" s="82">
        <v>0.249</v>
      </c>
      <c r="Y510" s="78">
        <v>29.6</v>
      </c>
      <c r="Z510" s="78">
        <v>1075</v>
      </c>
      <c r="AA510" s="78">
        <f t="shared" si="187"/>
        <v>400</v>
      </c>
      <c r="AB510" s="81">
        <f t="shared" si="188"/>
        <v>0.82189116447904176</v>
      </c>
      <c r="AC510" s="81">
        <f t="shared" si="179"/>
        <v>198.45999999999992</v>
      </c>
      <c r="AD510" s="81">
        <v>1000</v>
      </c>
      <c r="AE510" s="81">
        <f t="shared" si="180"/>
        <v>930.23255813953483</v>
      </c>
      <c r="AF510" s="81">
        <f t="shared" si="181"/>
        <v>801.54000000000008</v>
      </c>
      <c r="AG510" s="83">
        <v>1</v>
      </c>
      <c r="AH510" s="83">
        <f>80.154/19.846</f>
        <v>4.0387987503779099</v>
      </c>
      <c r="AI510" s="83">
        <f t="shared" si="182"/>
        <v>0.80154000000000003</v>
      </c>
      <c r="AJ510" s="81">
        <f t="shared" si="183"/>
        <v>259.20798286400913</v>
      </c>
      <c r="AK510" s="81">
        <f t="shared" si="190"/>
        <v>200.93642082481327</v>
      </c>
      <c r="AL510" s="81">
        <f t="shared" si="184"/>
        <v>60.747982864009181</v>
      </c>
      <c r="AM510" s="83">
        <v>0</v>
      </c>
      <c r="AN510" s="83">
        <f t="shared" si="185"/>
        <v>0</v>
      </c>
      <c r="AO510" s="83">
        <f>AP510/AH510</f>
        <v>7.5789084592171568E-2</v>
      </c>
      <c r="AP510" s="83">
        <f>23.436/76.564</f>
        <v>0.30609686014314824</v>
      </c>
      <c r="AQ510" s="83">
        <f t="shared" si="186"/>
        <v>0.23436000000000001</v>
      </c>
      <c r="AR510" s="77" t="s">
        <v>273</v>
      </c>
    </row>
    <row r="511" spans="1:44" s="10" customFormat="1" ht="15" customHeight="1" x14ac:dyDescent="0.25">
      <c r="A511" s="1">
        <v>510</v>
      </c>
      <c r="B511" s="1">
        <v>2017</v>
      </c>
      <c r="C511" s="28" t="s">
        <v>256</v>
      </c>
      <c r="D511" s="1">
        <v>4</v>
      </c>
      <c r="E511" s="8">
        <v>6</v>
      </c>
      <c r="F511" s="33">
        <v>1</v>
      </c>
      <c r="G511" s="57">
        <v>30</v>
      </c>
      <c r="H511" s="57">
        <v>0</v>
      </c>
      <c r="I511" s="8">
        <v>120</v>
      </c>
      <c r="J511" s="51">
        <v>0.97260000000000002</v>
      </c>
      <c r="K511" s="28" t="s">
        <v>110</v>
      </c>
      <c r="L511" s="28" t="s">
        <v>36</v>
      </c>
      <c r="M511" s="28" t="s">
        <v>289</v>
      </c>
      <c r="N511" s="28">
        <v>90</v>
      </c>
      <c r="O511" s="28">
        <v>30</v>
      </c>
      <c r="P511" s="78"/>
      <c r="Q511" s="51">
        <v>32</v>
      </c>
      <c r="R511" s="82"/>
      <c r="S511" s="82">
        <v>7.705804159788225E-5</v>
      </c>
      <c r="T511" s="9">
        <v>750000000</v>
      </c>
      <c r="U511" s="8">
        <v>2784</v>
      </c>
      <c r="V511" s="9">
        <v>1.7919999999999998E-2</v>
      </c>
      <c r="W511" s="9">
        <v>2.3040000000000001E-2</v>
      </c>
      <c r="X511" s="9">
        <v>0.249</v>
      </c>
      <c r="Y511" s="8">
        <v>29.6</v>
      </c>
      <c r="Z511" s="78">
        <v>1075</v>
      </c>
      <c r="AA511" s="78">
        <f t="shared" si="187"/>
        <v>400</v>
      </c>
      <c r="AB511" s="81">
        <f t="shared" si="188"/>
        <v>0.82189116447904176</v>
      </c>
      <c r="AC511" s="81">
        <f t="shared" si="179"/>
        <v>198.45999999999992</v>
      </c>
      <c r="AD511" s="81">
        <v>1000</v>
      </c>
      <c r="AE511" s="81">
        <f t="shared" si="180"/>
        <v>930.23255813953483</v>
      </c>
      <c r="AF511" s="81">
        <f t="shared" si="181"/>
        <v>801.54000000000008</v>
      </c>
      <c r="AG511" s="83">
        <v>1</v>
      </c>
      <c r="AH511" s="83">
        <f>80.154/19.846</f>
        <v>4.0387987503779099</v>
      </c>
      <c r="AI511" s="83">
        <f t="shared" si="182"/>
        <v>0.80154000000000003</v>
      </c>
      <c r="AJ511" s="81">
        <f t="shared" si="183"/>
        <v>247.12357423917905</v>
      </c>
      <c r="AK511" s="81">
        <f t="shared" si="190"/>
        <v>191.56866220091399</v>
      </c>
      <c r="AL511" s="81">
        <f t="shared" si="184"/>
        <v>48.663574239179141</v>
      </c>
      <c r="AM511" s="83">
        <v>0</v>
      </c>
      <c r="AN511" s="83">
        <f t="shared" si="185"/>
        <v>0</v>
      </c>
      <c r="AO511" s="83">
        <f>AP511/AH511</f>
        <v>6.0712596051574662E-2</v>
      </c>
      <c r="AP511" s="83">
        <f>19.692/80.308</f>
        <v>0.24520595706529857</v>
      </c>
      <c r="AQ511" s="83">
        <f t="shared" si="186"/>
        <v>0.19692000000000001</v>
      </c>
      <c r="AR511" s="28" t="s">
        <v>373</v>
      </c>
    </row>
    <row r="512" spans="1:44" s="12" customFormat="1" ht="15" hidden="1" customHeight="1" x14ac:dyDescent="0.25">
      <c r="A512" s="76">
        <v>511</v>
      </c>
      <c r="B512" s="76">
        <v>2018</v>
      </c>
      <c r="C512" s="77" t="s">
        <v>257</v>
      </c>
      <c r="D512" s="76">
        <v>1</v>
      </c>
      <c r="E512" s="78">
        <v>30</v>
      </c>
      <c r="F512" s="79">
        <v>1</v>
      </c>
      <c r="G512" s="56">
        <v>37.799999999999997</v>
      </c>
      <c r="H512" s="56">
        <v>48</v>
      </c>
      <c r="I512" s="78">
        <v>130</v>
      </c>
      <c r="J512" s="81">
        <v>0.7137</v>
      </c>
      <c r="K512" s="77" t="s">
        <v>5</v>
      </c>
      <c r="L512" s="77" t="s">
        <v>305</v>
      </c>
      <c r="M512" s="77" t="s">
        <v>34</v>
      </c>
      <c r="N512" s="77" t="s">
        <v>34</v>
      </c>
      <c r="O512" s="77" t="s">
        <v>34</v>
      </c>
      <c r="P512" s="11"/>
      <c r="Q512" s="81">
        <v>17</v>
      </c>
      <c r="R512" s="4"/>
      <c r="S512" s="82">
        <v>1.5166231059254178E-4</v>
      </c>
      <c r="T512" s="82">
        <v>850000000</v>
      </c>
      <c r="U512" s="78">
        <v>2684</v>
      </c>
      <c r="V512" s="82">
        <v>1.7919999999999998E-2</v>
      </c>
      <c r="W512" s="82">
        <v>2.3040000000000001E-2</v>
      </c>
      <c r="X512" s="82">
        <v>0.249</v>
      </c>
      <c r="Y512" s="78">
        <v>29.6</v>
      </c>
      <c r="Z512" s="11">
        <v>1075</v>
      </c>
      <c r="AA512" s="11">
        <f t="shared" si="187"/>
        <v>200</v>
      </c>
      <c r="AB512" s="47">
        <f t="shared" si="188"/>
        <v>0.82189116447904176</v>
      </c>
      <c r="AC512" s="47">
        <f t="shared" si="179"/>
        <v>75</v>
      </c>
      <c r="AD512" s="47">
        <v>500</v>
      </c>
      <c r="AE512" s="47">
        <f t="shared" si="180"/>
        <v>465.11627906976742</v>
      </c>
      <c r="AF512" s="47">
        <f t="shared" si="181"/>
        <v>425</v>
      </c>
      <c r="AG512" s="53">
        <v>1</v>
      </c>
      <c r="AH512" s="53">
        <f>17/3</f>
        <v>5.666666666666667</v>
      </c>
      <c r="AI512" s="53">
        <f t="shared" si="182"/>
        <v>0.85</v>
      </c>
      <c r="AJ512" s="47">
        <f t="shared" si="183"/>
        <v>91.753475609756094</v>
      </c>
      <c r="AK512" s="47">
        <f t="shared" si="190"/>
        <v>71.126725278880699</v>
      </c>
      <c r="AL512" s="47">
        <f t="shared" si="184"/>
        <v>16.753475609756098</v>
      </c>
      <c r="AM512" s="53">
        <f>9/41</f>
        <v>0.21951219512195122</v>
      </c>
      <c r="AN512" s="53">
        <f t="shared" si="185"/>
        <v>0.18</v>
      </c>
      <c r="AO512" s="53">
        <v>7.1000000000000002E-4</v>
      </c>
      <c r="AP512" s="53">
        <f>AO512*(AH512-AM512)+AM512</f>
        <v>0.22337967479674797</v>
      </c>
      <c r="AQ512" s="53">
        <f t="shared" si="186"/>
        <v>0.18259227237354603</v>
      </c>
      <c r="AR512" s="77"/>
    </row>
    <row r="513" spans="1:44" s="10" customFormat="1" ht="15" hidden="1" customHeight="1" x14ac:dyDescent="0.25">
      <c r="A513" s="1">
        <v>512</v>
      </c>
      <c r="B513" s="1">
        <v>2018</v>
      </c>
      <c r="C513" s="28" t="s">
        <v>257</v>
      </c>
      <c r="D513" s="1">
        <v>2</v>
      </c>
      <c r="E513" s="8">
        <v>25</v>
      </c>
      <c r="F513" s="31">
        <v>1</v>
      </c>
      <c r="G513" s="57">
        <v>58.65</v>
      </c>
      <c r="H513" s="57">
        <v>23</v>
      </c>
      <c r="I513" s="8">
        <v>107</v>
      </c>
      <c r="J513" s="51">
        <v>0.17419999999999999</v>
      </c>
      <c r="K513" s="28" t="s">
        <v>5</v>
      </c>
      <c r="L513" s="28" t="s">
        <v>36</v>
      </c>
      <c r="M513" s="28" t="s">
        <v>34</v>
      </c>
      <c r="N513" s="28" t="s">
        <v>34</v>
      </c>
      <c r="O513" s="28" t="s">
        <v>34</v>
      </c>
      <c r="P513" s="8"/>
      <c r="Q513" s="51">
        <v>4</v>
      </c>
      <c r="R513" s="9"/>
      <c r="S513" s="9">
        <v>2.6087074407067759E-4</v>
      </c>
      <c r="T513" s="9">
        <v>850000000</v>
      </c>
      <c r="U513" s="8">
        <v>2684</v>
      </c>
      <c r="V513" s="9">
        <v>1.7919999999999998E-2</v>
      </c>
      <c r="W513" s="9">
        <v>2.3040000000000001E-2</v>
      </c>
      <c r="X513" s="9">
        <v>0.249</v>
      </c>
      <c r="Y513" s="8">
        <v>29.6</v>
      </c>
      <c r="Z513" s="8">
        <v>1075</v>
      </c>
      <c r="AA513" s="8">
        <f t="shared" si="187"/>
        <v>200</v>
      </c>
      <c r="AB513" s="51">
        <f t="shared" si="188"/>
        <v>0.82189116447904176</v>
      </c>
      <c r="AC513" s="51">
        <f t="shared" si="179"/>
        <v>75</v>
      </c>
      <c r="AD513" s="51">
        <v>500</v>
      </c>
      <c r="AE513" s="51">
        <f t="shared" si="180"/>
        <v>465.11627906976742</v>
      </c>
      <c r="AF513" s="51">
        <f t="shared" si="181"/>
        <v>425</v>
      </c>
      <c r="AG513" s="52">
        <v>1</v>
      </c>
      <c r="AH513" s="52">
        <f>17/3</f>
        <v>5.666666666666667</v>
      </c>
      <c r="AI513" s="52">
        <f t="shared" si="182"/>
        <v>0.85</v>
      </c>
      <c r="AJ513" s="51">
        <f t="shared" si="183"/>
        <v>94.061707317073171</v>
      </c>
      <c r="AK513" s="51">
        <f t="shared" si="190"/>
        <v>72.916052183777651</v>
      </c>
      <c r="AL513" s="51">
        <f t="shared" si="184"/>
        <v>19.061707317073171</v>
      </c>
      <c r="AM513" s="52">
        <f>9/41</f>
        <v>0.21951219512195122</v>
      </c>
      <c r="AN513" s="52">
        <f t="shared" si="185"/>
        <v>0.18</v>
      </c>
      <c r="AO513" s="52">
        <v>6.3600000000000002E-3</v>
      </c>
      <c r="AP513" s="52">
        <f>AO513*(AH513-AM513)+AM513</f>
        <v>0.25415609756097562</v>
      </c>
      <c r="AQ513" s="52">
        <f t="shared" si="186"/>
        <v>0.20265108789507669</v>
      </c>
      <c r="AR513" s="28"/>
    </row>
    <row r="514" spans="1:44" ht="15" customHeight="1" x14ac:dyDescent="0.25">
      <c r="A514" s="76">
        <v>513</v>
      </c>
      <c r="B514" s="76">
        <v>2018</v>
      </c>
      <c r="C514" s="77" t="s">
        <v>258</v>
      </c>
      <c r="D514" s="76">
        <v>1</v>
      </c>
      <c r="E514" s="78">
        <v>55</v>
      </c>
      <c r="F514" s="73">
        <v>0.05</v>
      </c>
      <c r="G514" s="56">
        <v>28.5</v>
      </c>
      <c r="H514" s="56">
        <v>41</v>
      </c>
      <c r="I514" s="78">
        <v>201</v>
      </c>
      <c r="J514" s="81">
        <v>0.1988</v>
      </c>
      <c r="K514" s="77" t="s">
        <v>5</v>
      </c>
      <c r="L514" s="77" t="s">
        <v>305</v>
      </c>
      <c r="M514" s="77" t="s">
        <v>289</v>
      </c>
      <c r="N514" s="77">
        <v>80</v>
      </c>
      <c r="O514" s="77">
        <v>7</v>
      </c>
      <c r="P514" s="88"/>
      <c r="Q514" s="81">
        <v>32</v>
      </c>
      <c r="R514" s="82"/>
      <c r="S514" s="82">
        <v>1.1622842443981047E-4</v>
      </c>
      <c r="T514" s="82">
        <v>850000000</v>
      </c>
      <c r="U514" s="78">
        <v>2684</v>
      </c>
      <c r="V514" s="82">
        <v>1.7919999999999998E-2</v>
      </c>
      <c r="W514" s="82">
        <v>2.3040000000000001E-2</v>
      </c>
      <c r="X514" s="82">
        <v>0.249</v>
      </c>
      <c r="Y514" s="78">
        <v>29.6</v>
      </c>
      <c r="Z514" s="78">
        <v>1075</v>
      </c>
      <c r="AA514" s="78">
        <f t="shared" si="187"/>
        <v>120.16800000000001</v>
      </c>
      <c r="AB514" s="81">
        <f t="shared" si="188"/>
        <v>0.82189116447904176</v>
      </c>
      <c r="AC514" s="81">
        <f t="shared" si="179"/>
        <v>60.68483999999998</v>
      </c>
      <c r="AD514" s="81">
        <v>300.42</v>
      </c>
      <c r="AE514" s="81">
        <f t="shared" si="180"/>
        <v>279.46046511627907</v>
      </c>
      <c r="AF514" s="81">
        <f t="shared" si="181"/>
        <v>239.73516000000004</v>
      </c>
      <c r="AG514" s="83">
        <v>1</v>
      </c>
      <c r="AH514" s="83">
        <f>399/101</f>
        <v>3.9504950495049505</v>
      </c>
      <c r="AI514" s="83">
        <f t="shared" si="182"/>
        <v>0.79800000000000004</v>
      </c>
      <c r="AJ514" s="81">
        <f t="shared" si="183"/>
        <v>73.125232199999971</v>
      </c>
      <c r="AK514" s="81">
        <f t="shared" si="190"/>
        <v>56.686226511627886</v>
      </c>
      <c r="AL514" s="81">
        <f t="shared" si="184"/>
        <v>12.440392199999993</v>
      </c>
      <c r="AM514" s="83">
        <v>0.18</v>
      </c>
      <c r="AN514" s="83">
        <f t="shared" si="185"/>
        <v>0.15254237288135594</v>
      </c>
      <c r="AO514" s="83">
        <f>(AP514-AM514)/(AH514-AM514)</f>
        <v>6.6304290741032498E-3</v>
      </c>
      <c r="AP514" s="83">
        <v>0.20499999999999999</v>
      </c>
      <c r="AQ514" s="83">
        <f t="shared" si="186"/>
        <v>0.17012448132780081</v>
      </c>
      <c r="AR514" s="77"/>
    </row>
    <row r="515" spans="1:44" ht="15" customHeight="1" x14ac:dyDescent="0.25">
      <c r="A515" s="76">
        <v>514</v>
      </c>
      <c r="B515" s="76">
        <v>2018</v>
      </c>
      <c r="C515" s="77" t="s">
        <v>258</v>
      </c>
      <c r="D515" s="76">
        <v>2</v>
      </c>
      <c r="E515" s="78">
        <v>42</v>
      </c>
      <c r="F515" s="73">
        <v>0.7</v>
      </c>
      <c r="G515" s="56">
        <v>32</v>
      </c>
      <c r="H515" s="56">
        <v>50</v>
      </c>
      <c r="I515" s="78">
        <v>120</v>
      </c>
      <c r="J515" s="81">
        <v>0.33929999999999999</v>
      </c>
      <c r="K515" s="77" t="s">
        <v>5</v>
      </c>
      <c r="L515" s="77" t="s">
        <v>36</v>
      </c>
      <c r="M515" s="77" t="s">
        <v>289</v>
      </c>
      <c r="N515" s="77">
        <v>80</v>
      </c>
      <c r="O515" s="77">
        <v>7</v>
      </c>
      <c r="P515" s="88" t="s">
        <v>382</v>
      </c>
      <c r="Q515" s="81">
        <v>49</v>
      </c>
      <c r="R515" s="82"/>
      <c r="S515" s="82">
        <v>1.2871563630894786E-4</v>
      </c>
      <c r="T515" s="82">
        <v>850000000</v>
      </c>
      <c r="U515" s="78">
        <v>2684</v>
      </c>
      <c r="V515" s="82">
        <v>1.7919999999999998E-2</v>
      </c>
      <c r="W515" s="82">
        <v>2.3040000000000001E-2</v>
      </c>
      <c r="X515" s="82">
        <v>0.249</v>
      </c>
      <c r="Y515" s="78">
        <v>29.6</v>
      </c>
      <c r="Z515" s="78">
        <v>1075</v>
      </c>
      <c r="AA515" s="78">
        <f t="shared" si="187"/>
        <v>120.33599999999998</v>
      </c>
      <c r="AB515" s="81">
        <f t="shared" si="188"/>
        <v>0.82189116447904187</v>
      </c>
      <c r="AC515" s="81">
        <f t="shared" si="179"/>
        <v>60.769679999999994</v>
      </c>
      <c r="AD515" s="81">
        <v>300.83999999999997</v>
      </c>
      <c r="AE515" s="81">
        <f t="shared" si="180"/>
        <v>279.85116279069769</v>
      </c>
      <c r="AF515" s="81">
        <f t="shared" si="181"/>
        <v>240.07031999999998</v>
      </c>
      <c r="AG515" s="83">
        <v>1</v>
      </c>
      <c r="AH515" s="83">
        <f>399/101</f>
        <v>3.9504950495049505</v>
      </c>
      <c r="AI515" s="83">
        <f t="shared" si="182"/>
        <v>0.79800000000000004</v>
      </c>
      <c r="AJ515" s="81">
        <f t="shared" si="183"/>
        <v>72.899308127999987</v>
      </c>
      <c r="AK515" s="81">
        <f t="shared" si="190"/>
        <v>56.511091572093008</v>
      </c>
      <c r="AL515" s="81">
        <f t="shared" si="184"/>
        <v>12.129628127999997</v>
      </c>
      <c r="AM515" s="83">
        <v>0.18</v>
      </c>
      <c r="AN515" s="83">
        <f t="shared" si="185"/>
        <v>0.15254237288135594</v>
      </c>
      <c r="AO515" s="83">
        <f>(AP515-AM515)/(AH515-AM515)</f>
        <v>5.1982563940969504E-3</v>
      </c>
      <c r="AP515" s="83">
        <v>0.1996</v>
      </c>
      <c r="AQ515" s="83">
        <f t="shared" si="186"/>
        <v>0.1663887962654218</v>
      </c>
      <c r="AR515" s="77"/>
    </row>
    <row r="516" spans="1:44" s="26" customFormat="1" ht="15" customHeight="1" x14ac:dyDescent="0.25">
      <c r="A516" s="23">
        <v>515</v>
      </c>
      <c r="B516" s="23">
        <v>2018</v>
      </c>
      <c r="C516" s="29" t="s">
        <v>259</v>
      </c>
      <c r="D516" s="23">
        <v>1</v>
      </c>
      <c r="E516" s="24">
        <v>60</v>
      </c>
      <c r="F516" s="36">
        <v>2.3E-2</v>
      </c>
      <c r="G516" s="62">
        <v>53</v>
      </c>
      <c r="H516" s="62">
        <v>0</v>
      </c>
      <c r="I516" s="24">
        <v>125</v>
      </c>
      <c r="J516" s="63">
        <v>7.8399999999999997E-2</v>
      </c>
      <c r="K516" s="29" t="s">
        <v>306</v>
      </c>
      <c r="L516" s="29" t="s">
        <v>36</v>
      </c>
      <c r="M516" s="29" t="s">
        <v>289</v>
      </c>
      <c r="N516" s="29">
        <v>90</v>
      </c>
      <c r="O516" s="29">
        <v>3</v>
      </c>
      <c r="P516" s="24"/>
      <c r="Q516" s="63">
        <v>9</v>
      </c>
      <c r="R516" s="25"/>
      <c r="S516" s="25">
        <v>1.0503634802167395E-3</v>
      </c>
      <c r="T516" s="25">
        <v>850000000</v>
      </c>
      <c r="U516" s="24">
        <v>2184</v>
      </c>
      <c r="V516" s="25">
        <v>1.7919999999999998E-2</v>
      </c>
      <c r="W516" s="25">
        <v>2.3040000000000001E-2</v>
      </c>
      <c r="X516" s="25">
        <v>0.249</v>
      </c>
      <c r="Y516" s="24">
        <v>29.6</v>
      </c>
      <c r="Z516" s="24">
        <v>1075</v>
      </c>
      <c r="AA516" s="24">
        <f t="shared" si="187"/>
        <v>400</v>
      </c>
      <c r="AB516" s="63">
        <f t="shared" si="188"/>
        <v>0.82189116447904176</v>
      </c>
      <c r="AC516" s="63">
        <f t="shared" si="179"/>
        <v>157.07217466425823</v>
      </c>
      <c r="AD516" s="63">
        <v>1000</v>
      </c>
      <c r="AE516" s="63">
        <f t="shared" si="180"/>
        <v>930.23255813953483</v>
      </c>
      <c r="AF516" s="63">
        <f t="shared" si="181"/>
        <v>842.92782533574177</v>
      </c>
      <c r="AG516" s="64">
        <v>1</v>
      </c>
      <c r="AH516" s="64">
        <v>5.3665000000000003</v>
      </c>
      <c r="AI516" s="64">
        <f t="shared" si="182"/>
        <v>0.84292782533574173</v>
      </c>
      <c r="AJ516" s="63">
        <f t="shared" si="183"/>
        <v>198.0523050341632</v>
      </c>
      <c r="AK516" s="63">
        <f t="shared" si="190"/>
        <v>153.52891863113427</v>
      </c>
      <c r="AL516" s="63">
        <f t="shared" si="184"/>
        <v>40.980130369904977</v>
      </c>
      <c r="AM516" s="64">
        <v>0</v>
      </c>
      <c r="AN516" s="64">
        <f t="shared" si="185"/>
        <v>0</v>
      </c>
      <c r="AO516" s="64">
        <f t="shared" ref="AO516:AO523" si="191">AP516/AH516</f>
        <v>4.8616416658902449E-2</v>
      </c>
      <c r="AP516" s="64">
        <v>0.26090000000000002</v>
      </c>
      <c r="AQ516" s="64">
        <f t="shared" si="186"/>
        <v>0.20691569513839325</v>
      </c>
      <c r="AR516" s="29" t="s">
        <v>373</v>
      </c>
    </row>
    <row r="517" spans="1:44" ht="15" hidden="1" customHeight="1" x14ac:dyDescent="0.25">
      <c r="A517" s="76">
        <v>516</v>
      </c>
      <c r="B517" s="76">
        <v>2019</v>
      </c>
      <c r="C517" s="77" t="s">
        <v>260</v>
      </c>
      <c r="D517" s="76">
        <v>1</v>
      </c>
      <c r="E517" s="78">
        <v>32</v>
      </c>
      <c r="F517" s="79">
        <v>5</v>
      </c>
      <c r="G517" s="80">
        <v>70</v>
      </c>
      <c r="H517" s="80">
        <v>30</v>
      </c>
      <c r="I517" s="78">
        <v>31</v>
      </c>
      <c r="J517" s="81">
        <v>9.3899999999999997E-2</v>
      </c>
      <c r="K517" s="77" t="s">
        <v>301</v>
      </c>
      <c r="L517" s="77" t="s">
        <v>36</v>
      </c>
      <c r="M517" s="77" t="s">
        <v>290</v>
      </c>
      <c r="N517" s="77" t="s">
        <v>329</v>
      </c>
      <c r="O517" s="77" t="s">
        <v>329</v>
      </c>
      <c r="P517" s="78"/>
      <c r="Q517" s="81">
        <v>28</v>
      </c>
      <c r="R517" s="82"/>
      <c r="S517" s="82">
        <v>7.3182635967058828E-3</v>
      </c>
      <c r="T517" s="82">
        <v>990000000</v>
      </c>
      <c r="U517" s="78">
        <v>1684</v>
      </c>
      <c r="V517" s="82">
        <v>1.7919999999999998E-2</v>
      </c>
      <c r="W517" s="82">
        <v>2.3040000000000001E-2</v>
      </c>
      <c r="X517" s="82">
        <v>0.249</v>
      </c>
      <c r="Y517" s="78">
        <v>29.6</v>
      </c>
      <c r="Z517" s="78">
        <v>1075</v>
      </c>
      <c r="AA517" s="78">
        <f t="shared" si="187"/>
        <v>400</v>
      </c>
      <c r="AB517" s="81">
        <f t="shared" si="188"/>
        <v>0.82189116447904176</v>
      </c>
      <c r="AC517" s="81">
        <f t="shared" si="179"/>
        <v>122.33000000000004</v>
      </c>
      <c r="AD517" s="81">
        <v>1000</v>
      </c>
      <c r="AE517" s="81">
        <f t="shared" si="180"/>
        <v>930.23255813953483</v>
      </c>
      <c r="AF517" s="81">
        <f t="shared" si="181"/>
        <v>877.67</v>
      </c>
      <c r="AG517" s="83">
        <v>1</v>
      </c>
      <c r="AH517" s="83">
        <f>87.767/12.233</f>
        <v>7.1746096623886206</v>
      </c>
      <c r="AI517" s="83">
        <f t="shared" si="182"/>
        <v>0.87766999999999995</v>
      </c>
      <c r="AJ517" s="81">
        <f t="shared" si="183"/>
        <v>144.54172722224195</v>
      </c>
      <c r="AK517" s="81">
        <f t="shared" si="190"/>
        <v>112.04785055987749</v>
      </c>
      <c r="AL517" s="81">
        <f t="shared" si="184"/>
        <v>22.211727222241915</v>
      </c>
      <c r="AM517" s="83">
        <v>0</v>
      </c>
      <c r="AN517" s="83">
        <f t="shared" si="185"/>
        <v>0</v>
      </c>
      <c r="AO517" s="83">
        <f t="shared" si="191"/>
        <v>2.5307606756801434E-2</v>
      </c>
      <c r="AP517" s="83">
        <f>0.15367/0.84633</f>
        <v>0.18157219996927912</v>
      </c>
      <c r="AQ517" s="83">
        <f t="shared" si="186"/>
        <v>0.15366999999999997</v>
      </c>
      <c r="AR517" s="77" t="s">
        <v>274</v>
      </c>
    </row>
    <row r="518" spans="1:44" ht="15" hidden="1" customHeight="1" x14ac:dyDescent="0.25">
      <c r="A518" s="76">
        <v>517</v>
      </c>
      <c r="B518" s="76">
        <v>2019</v>
      </c>
      <c r="C518" s="77" t="s">
        <v>260</v>
      </c>
      <c r="D518" s="76">
        <v>2</v>
      </c>
      <c r="E518" s="78">
        <v>32</v>
      </c>
      <c r="F518" s="79">
        <v>5</v>
      </c>
      <c r="G518" s="80">
        <v>70</v>
      </c>
      <c r="H518" s="80">
        <v>30</v>
      </c>
      <c r="I518" s="78">
        <v>31</v>
      </c>
      <c r="J518" s="81">
        <v>5.0299999999999997E-2</v>
      </c>
      <c r="K518" s="77" t="s">
        <v>301</v>
      </c>
      <c r="L518" s="77" t="s">
        <v>36</v>
      </c>
      <c r="M518" s="77" t="s">
        <v>34</v>
      </c>
      <c r="N518" s="77" t="s">
        <v>34</v>
      </c>
      <c r="O518" s="77" t="s">
        <v>34</v>
      </c>
      <c r="P518" s="78"/>
      <c r="Q518" s="81">
        <v>14</v>
      </c>
      <c r="R518" s="82"/>
      <c r="S518" s="82">
        <v>7.3182635967058828E-3</v>
      </c>
      <c r="T518" s="82">
        <v>990000000</v>
      </c>
      <c r="U518" s="78">
        <v>1684</v>
      </c>
      <c r="V518" s="82">
        <v>1.7919999999999998E-2</v>
      </c>
      <c r="W518" s="82">
        <v>2.3040000000000001E-2</v>
      </c>
      <c r="X518" s="82">
        <v>0.249</v>
      </c>
      <c r="Y518" s="78">
        <v>29.6</v>
      </c>
      <c r="Z518" s="78">
        <v>1075</v>
      </c>
      <c r="AA518" s="78">
        <f t="shared" si="187"/>
        <v>400</v>
      </c>
      <c r="AB518" s="81">
        <f t="shared" si="188"/>
        <v>0.82189116447904176</v>
      </c>
      <c r="AC518" s="81">
        <f t="shared" si="179"/>
        <v>129.44999999999993</v>
      </c>
      <c r="AD518" s="81">
        <v>1000</v>
      </c>
      <c r="AE518" s="81">
        <f t="shared" si="180"/>
        <v>930.23255813953483</v>
      </c>
      <c r="AF518" s="81">
        <f t="shared" si="181"/>
        <v>870.55000000000007</v>
      </c>
      <c r="AG518" s="83">
        <v>1</v>
      </c>
      <c r="AH518" s="83">
        <f>87.055/12.945</f>
        <v>6.7249903437620704</v>
      </c>
      <c r="AI518" s="83">
        <f t="shared" si="182"/>
        <v>0.87055000000000005</v>
      </c>
      <c r="AJ518" s="81">
        <f t="shared" si="183"/>
        <v>159.93525988707535</v>
      </c>
      <c r="AK518" s="81">
        <f t="shared" si="190"/>
        <v>123.98082161788787</v>
      </c>
      <c r="AL518" s="81">
        <f t="shared" si="184"/>
        <v>30.485259887075429</v>
      </c>
      <c r="AM518" s="83">
        <v>0</v>
      </c>
      <c r="AN518" s="83">
        <f t="shared" si="185"/>
        <v>0</v>
      </c>
      <c r="AO518" s="83">
        <f t="shared" si="191"/>
        <v>3.5018390542846993E-2</v>
      </c>
      <c r="AP518" s="83">
        <f>0.19061/0.80939</f>
        <v>0.23549833825473504</v>
      </c>
      <c r="AQ518" s="83">
        <f t="shared" si="186"/>
        <v>0.19060999999999997</v>
      </c>
      <c r="AR518" s="77" t="s">
        <v>275</v>
      </c>
    </row>
    <row r="519" spans="1:44" ht="15" customHeight="1" x14ac:dyDescent="0.25">
      <c r="A519" s="76">
        <v>518</v>
      </c>
      <c r="B519" s="76">
        <v>2019</v>
      </c>
      <c r="C519" s="77" t="s">
        <v>260</v>
      </c>
      <c r="D519" s="76">
        <v>3</v>
      </c>
      <c r="E519" s="78">
        <v>32</v>
      </c>
      <c r="F519" s="79">
        <v>5</v>
      </c>
      <c r="G519" s="80">
        <v>70</v>
      </c>
      <c r="H519" s="80">
        <v>30</v>
      </c>
      <c r="I519" s="78">
        <v>31</v>
      </c>
      <c r="J519" s="81">
        <v>7.3099999999999998E-2</v>
      </c>
      <c r="K519" s="77" t="s">
        <v>301</v>
      </c>
      <c r="L519" s="77" t="s">
        <v>36</v>
      </c>
      <c r="M519" s="77" t="s">
        <v>289</v>
      </c>
      <c r="N519" s="77">
        <v>80</v>
      </c>
      <c r="O519" s="77">
        <v>30</v>
      </c>
      <c r="P519" s="78"/>
      <c r="Q519" s="81">
        <v>29</v>
      </c>
      <c r="R519" s="82"/>
      <c r="S519" s="82">
        <v>7.3182635967058828E-3</v>
      </c>
      <c r="T519" s="82">
        <v>990000000</v>
      </c>
      <c r="U519" s="78">
        <v>1684</v>
      </c>
      <c r="V519" s="82">
        <v>1.7919999999999998E-2</v>
      </c>
      <c r="W519" s="82">
        <v>2.3040000000000001E-2</v>
      </c>
      <c r="X519" s="82">
        <v>0.249</v>
      </c>
      <c r="Y519" s="78">
        <v>29.6</v>
      </c>
      <c r="Z519" s="78">
        <v>1075</v>
      </c>
      <c r="AA519" s="78">
        <f t="shared" si="187"/>
        <v>400</v>
      </c>
      <c r="AB519" s="81">
        <f t="shared" si="188"/>
        <v>0.82189116447904176</v>
      </c>
      <c r="AC519" s="81">
        <f t="shared" si="179"/>
        <v>122.33000000000004</v>
      </c>
      <c r="AD519" s="81">
        <v>1000</v>
      </c>
      <c r="AE519" s="81">
        <f t="shared" si="180"/>
        <v>930.23255813953483</v>
      </c>
      <c r="AF519" s="81">
        <f t="shared" si="181"/>
        <v>877.67</v>
      </c>
      <c r="AG519" s="83">
        <v>1</v>
      </c>
      <c r="AH519" s="83">
        <f>87.767/12.233</f>
        <v>7.1746096623886206</v>
      </c>
      <c r="AI519" s="83">
        <f t="shared" si="182"/>
        <v>0.87766999999999995</v>
      </c>
      <c r="AJ519" s="81">
        <f t="shared" si="183"/>
        <v>144.54172722224195</v>
      </c>
      <c r="AK519" s="81">
        <f t="shared" si="190"/>
        <v>112.04785055987749</v>
      </c>
      <c r="AL519" s="81">
        <f t="shared" si="184"/>
        <v>22.211727222241915</v>
      </c>
      <c r="AM519" s="83">
        <v>0</v>
      </c>
      <c r="AN519" s="83">
        <f t="shared" si="185"/>
        <v>0</v>
      </c>
      <c r="AO519" s="83">
        <f t="shared" si="191"/>
        <v>2.5307606756801434E-2</v>
      </c>
      <c r="AP519" s="83">
        <f>0.15367/0.84633</f>
        <v>0.18157219996927912</v>
      </c>
      <c r="AQ519" s="83">
        <f t="shared" si="186"/>
        <v>0.15366999999999997</v>
      </c>
      <c r="AR519" s="77" t="s">
        <v>374</v>
      </c>
    </row>
    <row r="520" spans="1:44" ht="15" hidden="1" customHeight="1" x14ac:dyDescent="0.25">
      <c r="A520" s="76">
        <v>519</v>
      </c>
      <c r="B520" s="76">
        <v>2019</v>
      </c>
      <c r="C520" s="77" t="s">
        <v>260</v>
      </c>
      <c r="D520" s="76">
        <v>4</v>
      </c>
      <c r="E520" s="78">
        <v>32</v>
      </c>
      <c r="F520" s="79">
        <v>5</v>
      </c>
      <c r="G520" s="80">
        <v>70</v>
      </c>
      <c r="H520" s="80">
        <v>30</v>
      </c>
      <c r="I520" s="78">
        <v>31</v>
      </c>
      <c r="J520" s="81">
        <v>7.3099999999999998E-2</v>
      </c>
      <c r="K520" s="77" t="s">
        <v>301</v>
      </c>
      <c r="L520" s="77" t="s">
        <v>36</v>
      </c>
      <c r="M520" s="77" t="s">
        <v>300</v>
      </c>
      <c r="N520" s="77" t="s">
        <v>329</v>
      </c>
      <c r="O520" s="77" t="s">
        <v>329</v>
      </c>
      <c r="P520" s="78"/>
      <c r="Q520" s="81">
        <v>29</v>
      </c>
      <c r="R520" s="82"/>
      <c r="S520" s="82">
        <v>7.3182635967058828E-3</v>
      </c>
      <c r="T520" s="82">
        <v>990000000</v>
      </c>
      <c r="U520" s="78">
        <v>1684</v>
      </c>
      <c r="V520" s="82">
        <v>1.7919999999999998E-2</v>
      </c>
      <c r="W520" s="82">
        <v>2.3040000000000001E-2</v>
      </c>
      <c r="X520" s="82">
        <v>0.249</v>
      </c>
      <c r="Y520" s="78">
        <v>29.6</v>
      </c>
      <c r="Z520" s="78">
        <v>1075</v>
      </c>
      <c r="AA520" s="78">
        <f t="shared" si="187"/>
        <v>400</v>
      </c>
      <c r="AB520" s="81">
        <f t="shared" si="188"/>
        <v>0.82189116447904176</v>
      </c>
      <c r="AC520" s="81">
        <f t="shared" si="179"/>
        <v>122.33000000000004</v>
      </c>
      <c r="AD520" s="81">
        <v>1000</v>
      </c>
      <c r="AE520" s="81">
        <f t="shared" si="180"/>
        <v>930.23255813953483</v>
      </c>
      <c r="AF520" s="81">
        <f t="shared" si="181"/>
        <v>877.67</v>
      </c>
      <c r="AG520" s="83">
        <v>1</v>
      </c>
      <c r="AH520" s="83">
        <f>87.767/12.233</f>
        <v>7.1746096623886206</v>
      </c>
      <c r="AI520" s="83">
        <f t="shared" si="182"/>
        <v>0.87766999999999995</v>
      </c>
      <c r="AJ520" s="81">
        <f t="shared" si="183"/>
        <v>144.54172722224195</v>
      </c>
      <c r="AK520" s="81">
        <f t="shared" si="190"/>
        <v>112.04785055987749</v>
      </c>
      <c r="AL520" s="81">
        <f t="shared" si="184"/>
        <v>22.211727222241915</v>
      </c>
      <c r="AM520" s="83">
        <v>0</v>
      </c>
      <c r="AN520" s="83">
        <f t="shared" si="185"/>
        <v>0</v>
      </c>
      <c r="AO520" s="83">
        <f t="shared" si="191"/>
        <v>2.5307606756801434E-2</v>
      </c>
      <c r="AP520" s="83">
        <f>0.15367/0.84633</f>
        <v>0.18157219996927912</v>
      </c>
      <c r="AQ520" s="83">
        <f t="shared" si="186"/>
        <v>0.15366999999999997</v>
      </c>
      <c r="AR520" s="77" t="s">
        <v>276</v>
      </c>
    </row>
    <row r="521" spans="1:44" ht="15" hidden="1" customHeight="1" x14ac:dyDescent="0.25">
      <c r="A521" s="76">
        <v>520</v>
      </c>
      <c r="B521" s="76">
        <v>2019</v>
      </c>
      <c r="C521" s="77" t="s">
        <v>260</v>
      </c>
      <c r="D521" s="76">
        <v>5</v>
      </c>
      <c r="E521" s="78">
        <v>32</v>
      </c>
      <c r="F521" s="79">
        <v>5</v>
      </c>
      <c r="G521" s="80">
        <v>70</v>
      </c>
      <c r="H521" s="80">
        <v>30</v>
      </c>
      <c r="I521" s="78">
        <v>31</v>
      </c>
      <c r="J521" s="81">
        <v>5.16E-2</v>
      </c>
      <c r="K521" s="77" t="s">
        <v>301</v>
      </c>
      <c r="L521" s="77" t="s">
        <v>36</v>
      </c>
      <c r="M521" s="77" t="s">
        <v>300</v>
      </c>
      <c r="N521" s="77" t="s">
        <v>329</v>
      </c>
      <c r="O521" s="77" t="s">
        <v>329</v>
      </c>
      <c r="P521" s="78"/>
      <c r="Q521" s="81">
        <v>20</v>
      </c>
      <c r="R521" s="82"/>
      <c r="S521" s="82">
        <v>7.3182635967058828E-3</v>
      </c>
      <c r="T521" s="82">
        <v>990000000</v>
      </c>
      <c r="U521" s="78">
        <v>1684</v>
      </c>
      <c r="V521" s="82">
        <v>1.7919999999999998E-2</v>
      </c>
      <c r="W521" s="82">
        <v>2.3040000000000001E-2</v>
      </c>
      <c r="X521" s="82">
        <v>0.249</v>
      </c>
      <c r="Y521" s="78">
        <v>29.6</v>
      </c>
      <c r="Z521" s="78">
        <v>1075</v>
      </c>
      <c r="AA521" s="78">
        <f t="shared" si="187"/>
        <v>400</v>
      </c>
      <c r="AB521" s="81">
        <f t="shared" si="188"/>
        <v>0.82189116447904176</v>
      </c>
      <c r="AC521" s="81">
        <f t="shared" si="179"/>
        <v>140.83000000000004</v>
      </c>
      <c r="AD521" s="81">
        <v>1000</v>
      </c>
      <c r="AE521" s="81">
        <f t="shared" si="180"/>
        <v>930.23255813953483</v>
      </c>
      <c r="AF521" s="81">
        <f t="shared" si="181"/>
        <v>859.17</v>
      </c>
      <c r="AG521" s="83">
        <v>1</v>
      </c>
      <c r="AH521" s="83">
        <f>85.917/14.083</f>
        <v>6.100759781296599</v>
      </c>
      <c r="AI521" s="83">
        <f t="shared" si="182"/>
        <v>0.85916999999999999</v>
      </c>
      <c r="AJ521" s="81">
        <f t="shared" si="183"/>
        <v>169.22818106442043</v>
      </c>
      <c r="AK521" s="81">
        <f t="shared" si="190"/>
        <v>131.18463648404685</v>
      </c>
      <c r="AL521" s="81">
        <f t="shared" si="184"/>
        <v>28.398181064420388</v>
      </c>
      <c r="AM521" s="83">
        <v>0</v>
      </c>
      <c r="AN521" s="83">
        <f t="shared" si="185"/>
        <v>0</v>
      </c>
      <c r="AO521" s="83">
        <f t="shared" si="191"/>
        <v>3.3053040800330995E-2</v>
      </c>
      <c r="AP521" s="83">
        <f>0.16781/0.83219</f>
        <v>0.20164866196421488</v>
      </c>
      <c r="AQ521" s="83">
        <f t="shared" si="186"/>
        <v>0.16780999999999999</v>
      </c>
      <c r="AR521" s="77" t="s">
        <v>277</v>
      </c>
    </row>
    <row r="522" spans="1:44" ht="15" hidden="1" customHeight="1" x14ac:dyDescent="0.25">
      <c r="A522" s="76">
        <v>521</v>
      </c>
      <c r="B522" s="76">
        <v>2019</v>
      </c>
      <c r="C522" s="77" t="s">
        <v>260</v>
      </c>
      <c r="D522" s="76">
        <v>6</v>
      </c>
      <c r="E522" s="78">
        <v>32</v>
      </c>
      <c r="F522" s="79">
        <v>5</v>
      </c>
      <c r="G522" s="80">
        <v>70</v>
      </c>
      <c r="H522" s="80">
        <v>30</v>
      </c>
      <c r="I522" s="78">
        <v>31</v>
      </c>
      <c r="J522" s="81">
        <v>5.5100000000000003E-2</v>
      </c>
      <c r="K522" s="77" t="s">
        <v>301</v>
      </c>
      <c r="L522" s="77" t="s">
        <v>36</v>
      </c>
      <c r="M522" s="77" t="s">
        <v>300</v>
      </c>
      <c r="N522" s="77" t="s">
        <v>329</v>
      </c>
      <c r="O522" s="77" t="s">
        <v>329</v>
      </c>
      <c r="P522" s="78"/>
      <c r="Q522" s="81">
        <v>23</v>
      </c>
      <c r="R522" s="82"/>
      <c r="S522" s="82">
        <v>7.3182635967058828E-3</v>
      </c>
      <c r="T522" s="82">
        <v>990000000</v>
      </c>
      <c r="U522" s="78">
        <v>1684</v>
      </c>
      <c r="V522" s="82">
        <v>1.7919999999999998E-2</v>
      </c>
      <c r="W522" s="82">
        <v>2.3040000000000001E-2</v>
      </c>
      <c r="X522" s="82">
        <v>0.249</v>
      </c>
      <c r="Y522" s="78">
        <v>29.6</v>
      </c>
      <c r="Z522" s="78">
        <v>1075</v>
      </c>
      <c r="AA522" s="78">
        <f t="shared" ref="AA522:AA553" si="192">AD522/2.5</f>
        <v>400</v>
      </c>
      <c r="AB522" s="81">
        <f t="shared" ref="AB522:AB553" si="193">POWER(3/(4*PI())*AE522/AA522,1/3)</f>
        <v>0.82189116447904176</v>
      </c>
      <c r="AC522" s="81">
        <f t="shared" si="179"/>
        <v>161.93000000000006</v>
      </c>
      <c r="AD522" s="81">
        <v>1000</v>
      </c>
      <c r="AE522" s="81">
        <f t="shared" si="180"/>
        <v>930.23255813953483</v>
      </c>
      <c r="AF522" s="81">
        <f t="shared" si="181"/>
        <v>838.06999999999994</v>
      </c>
      <c r="AG522" s="83">
        <v>1</v>
      </c>
      <c r="AH522" s="83">
        <f>83.807/16.193</f>
        <v>5.1755079355276967</v>
      </c>
      <c r="AI522" s="83">
        <f t="shared" si="182"/>
        <v>0.83806999999999998</v>
      </c>
      <c r="AJ522" s="81">
        <f t="shared" si="183"/>
        <v>198.59452034634165</v>
      </c>
      <c r="AK522" s="81">
        <f t="shared" si="190"/>
        <v>153.9492405785594</v>
      </c>
      <c r="AL522" s="81">
        <f t="shared" si="184"/>
        <v>36.664520346341597</v>
      </c>
      <c r="AM522" s="83">
        <v>0</v>
      </c>
      <c r="AN522" s="83">
        <f t="shared" si="185"/>
        <v>0</v>
      </c>
      <c r="AO522" s="83">
        <f t="shared" si="191"/>
        <v>4.3748756483756236E-2</v>
      </c>
      <c r="AP522" s="83">
        <f>0.18462/0.81538</f>
        <v>0.22642203635114916</v>
      </c>
      <c r="AQ522" s="83">
        <f t="shared" si="186"/>
        <v>0.18462000000000001</v>
      </c>
      <c r="AR522" s="77" t="s">
        <v>278</v>
      </c>
    </row>
    <row r="523" spans="1:44" ht="15" hidden="1" customHeight="1" x14ac:dyDescent="0.25">
      <c r="A523" s="76">
        <v>522</v>
      </c>
      <c r="B523" s="76">
        <v>2019</v>
      </c>
      <c r="C523" s="77" t="s">
        <v>260</v>
      </c>
      <c r="D523" s="76">
        <v>7</v>
      </c>
      <c r="E523" s="78">
        <v>32</v>
      </c>
      <c r="F523" s="79">
        <v>5</v>
      </c>
      <c r="G523" s="80">
        <v>70</v>
      </c>
      <c r="H523" s="80">
        <v>30</v>
      </c>
      <c r="I523" s="78">
        <v>31</v>
      </c>
      <c r="J523" s="81">
        <v>9.3299999999999994E-2</v>
      </c>
      <c r="K523" s="77" t="s">
        <v>301</v>
      </c>
      <c r="L523" s="77" t="s">
        <v>36</v>
      </c>
      <c r="M523" s="77" t="s">
        <v>300</v>
      </c>
      <c r="N523" s="77" t="s">
        <v>329</v>
      </c>
      <c r="O523" s="77" t="s">
        <v>329</v>
      </c>
      <c r="P523" s="78"/>
      <c r="Q523" s="81">
        <v>20</v>
      </c>
      <c r="R523" s="82"/>
      <c r="S523" s="82">
        <v>7.3182635967058828E-3</v>
      </c>
      <c r="T523" s="82">
        <v>990000000</v>
      </c>
      <c r="U523" s="78">
        <v>1684</v>
      </c>
      <c r="V523" s="82">
        <v>1.7919999999999998E-2</v>
      </c>
      <c r="W523" s="82">
        <v>2.3040000000000001E-2</v>
      </c>
      <c r="X523" s="82">
        <v>0.249</v>
      </c>
      <c r="Y523" s="78">
        <v>29.6</v>
      </c>
      <c r="Z523" s="78">
        <v>1075</v>
      </c>
      <c r="AA523" s="78">
        <f t="shared" si="192"/>
        <v>400</v>
      </c>
      <c r="AB523" s="81">
        <f t="shared" si="193"/>
        <v>0.82189116447904176</v>
      </c>
      <c r="AC523" s="81">
        <f t="shared" si="179"/>
        <v>132.10000000000002</v>
      </c>
      <c r="AD523" s="81">
        <v>1000</v>
      </c>
      <c r="AE523" s="81">
        <f t="shared" si="180"/>
        <v>930.23255813953483</v>
      </c>
      <c r="AF523" s="81">
        <f t="shared" si="181"/>
        <v>867.9</v>
      </c>
      <c r="AG523" s="83">
        <v>1</v>
      </c>
      <c r="AH523" s="83">
        <f>86.79/13.21</f>
        <v>6.5700227100681303</v>
      </c>
      <c r="AI523" s="83">
        <f t="shared" si="182"/>
        <v>0.8679</v>
      </c>
      <c r="AJ523" s="81">
        <f t="shared" si="183"/>
        <v>160.6196196683041</v>
      </c>
      <c r="AK523" s="81">
        <f t="shared" si="190"/>
        <v>124.51133307620472</v>
      </c>
      <c r="AL523" s="81">
        <f t="shared" si="184"/>
        <v>28.519619668304074</v>
      </c>
      <c r="AM523" s="83">
        <v>0</v>
      </c>
      <c r="AN523" s="83">
        <f t="shared" si="185"/>
        <v>0</v>
      </c>
      <c r="AO523" s="83">
        <f t="shared" si="191"/>
        <v>3.2860490457776323E-2</v>
      </c>
      <c r="AP523" s="83">
        <f>0.17756/0.82244</f>
        <v>0.21589416857156754</v>
      </c>
      <c r="AQ523" s="83">
        <f t="shared" si="186"/>
        <v>0.17756</v>
      </c>
      <c r="AR523" s="77" t="s">
        <v>279</v>
      </c>
    </row>
    <row r="524" spans="1:44" s="12" customFormat="1" ht="15" hidden="1" customHeight="1" x14ac:dyDescent="0.25">
      <c r="A524" s="3">
        <v>523</v>
      </c>
      <c r="B524" s="3">
        <v>2019</v>
      </c>
      <c r="C524" s="27" t="s">
        <v>261</v>
      </c>
      <c r="D524" s="3">
        <v>1</v>
      </c>
      <c r="E524" s="11">
        <v>21</v>
      </c>
      <c r="F524" s="74">
        <v>2.4</v>
      </c>
      <c r="G524" s="72">
        <v>30</v>
      </c>
      <c r="H524" s="72">
        <v>58</v>
      </c>
      <c r="I524" s="11">
        <v>72</v>
      </c>
      <c r="J524" s="47">
        <v>2.3999999999999998E-3</v>
      </c>
      <c r="K524" s="27" t="s">
        <v>262</v>
      </c>
      <c r="L524" s="27" t="s">
        <v>36</v>
      </c>
      <c r="M524" s="27" t="s">
        <v>34</v>
      </c>
      <c r="N524" s="27" t="s">
        <v>34</v>
      </c>
      <c r="O524" s="27" t="s">
        <v>34</v>
      </c>
      <c r="P524" s="11"/>
      <c r="Q524" s="47">
        <v>31</v>
      </c>
      <c r="R524" s="4"/>
      <c r="S524" s="4">
        <v>1.2161467070613335E-4</v>
      </c>
      <c r="T524" s="4">
        <v>810000000</v>
      </c>
      <c r="U524" s="11">
        <v>2669</v>
      </c>
      <c r="V524" s="4">
        <v>1.7919999999999998E-2</v>
      </c>
      <c r="W524" s="4">
        <v>2.3040000000000001E-2</v>
      </c>
      <c r="X524" s="4">
        <v>0.14899999999999999</v>
      </c>
      <c r="Y524" s="11">
        <v>29.6</v>
      </c>
      <c r="Z524" s="11">
        <v>1075</v>
      </c>
      <c r="AA524" s="11">
        <f t="shared" si="192"/>
        <v>400</v>
      </c>
      <c r="AB524" s="47">
        <f t="shared" si="193"/>
        <v>0.82189116447904176</v>
      </c>
      <c r="AC524" s="47">
        <f t="shared" si="179"/>
        <v>270.27027027027032</v>
      </c>
      <c r="AD524" s="47">
        <v>1000</v>
      </c>
      <c r="AE524" s="47">
        <f t="shared" si="180"/>
        <v>930.23255813953483</v>
      </c>
      <c r="AF524" s="47">
        <f t="shared" si="181"/>
        <v>729.72972972972968</v>
      </c>
      <c r="AG524" s="53">
        <v>1</v>
      </c>
      <c r="AH524" s="53">
        <v>2.7</v>
      </c>
      <c r="AI524" s="53">
        <f t="shared" si="182"/>
        <v>0.72972972972972971</v>
      </c>
      <c r="AJ524" s="47">
        <f t="shared" si="183"/>
        <v>669.13324324324333</v>
      </c>
      <c r="AK524" s="47">
        <f t="shared" si="190"/>
        <v>518.70794049863821</v>
      </c>
      <c r="AL524" s="47">
        <f t="shared" si="184"/>
        <v>398.86297297297301</v>
      </c>
      <c r="AM524" s="53">
        <v>0</v>
      </c>
      <c r="AN524" s="53">
        <f t="shared" si="185"/>
        <v>0</v>
      </c>
      <c r="AO524" s="53">
        <v>0.54659000000000002</v>
      </c>
      <c r="AP524" s="53">
        <f t="shared" ref="AP524:AP536" si="194">AO524*AH524</f>
        <v>1.4757930000000001</v>
      </c>
      <c r="AQ524" s="53">
        <f t="shared" si="186"/>
        <v>0.59608901067254005</v>
      </c>
      <c r="AR524" s="27" t="s">
        <v>34</v>
      </c>
    </row>
    <row r="525" spans="1:44" ht="15" hidden="1" customHeight="1" x14ac:dyDescent="0.25">
      <c r="A525" s="76">
        <v>524</v>
      </c>
      <c r="B525" s="76">
        <v>2019</v>
      </c>
      <c r="C525" s="77" t="s">
        <v>261</v>
      </c>
      <c r="D525" s="76">
        <v>2</v>
      </c>
      <c r="E525" s="78">
        <v>22</v>
      </c>
      <c r="F525" s="74">
        <v>1.8</v>
      </c>
      <c r="G525" s="75">
        <v>40</v>
      </c>
      <c r="H525" s="75">
        <v>33.5</v>
      </c>
      <c r="I525" s="78">
        <v>72</v>
      </c>
      <c r="J525" s="81">
        <v>7.0900000000000005E-2</v>
      </c>
      <c r="K525" s="77" t="s">
        <v>262</v>
      </c>
      <c r="L525" s="77" t="s">
        <v>36</v>
      </c>
      <c r="M525" s="77" t="s">
        <v>34</v>
      </c>
      <c r="N525" s="77" t="s">
        <v>34</v>
      </c>
      <c r="O525" s="77" t="s">
        <v>34</v>
      </c>
      <c r="P525" s="78"/>
      <c r="Q525" s="81">
        <v>19</v>
      </c>
      <c r="R525" s="82"/>
      <c r="S525" s="82">
        <v>1.6109426328957536E-4</v>
      </c>
      <c r="T525" s="82">
        <v>810000000</v>
      </c>
      <c r="U525" s="78">
        <v>2669</v>
      </c>
      <c r="V525" s="82">
        <v>1.7919999999999998E-2</v>
      </c>
      <c r="W525" s="82">
        <v>2.3040000000000001E-2</v>
      </c>
      <c r="X525" s="82">
        <v>0.14899999999999999</v>
      </c>
      <c r="Y525" s="78">
        <v>29.6</v>
      </c>
      <c r="Z525" s="78">
        <v>1075</v>
      </c>
      <c r="AA525" s="78">
        <f t="shared" si="192"/>
        <v>400</v>
      </c>
      <c r="AB525" s="81">
        <f t="shared" si="193"/>
        <v>0.82189116447904176</v>
      </c>
      <c r="AC525" s="81">
        <f t="shared" si="179"/>
        <v>270.27027027027032</v>
      </c>
      <c r="AD525" s="81">
        <v>1000</v>
      </c>
      <c r="AE525" s="81">
        <f t="shared" si="180"/>
        <v>930.23255813953483</v>
      </c>
      <c r="AF525" s="81">
        <f t="shared" si="181"/>
        <v>729.72972972972968</v>
      </c>
      <c r="AG525" s="83">
        <v>1</v>
      </c>
      <c r="AH525" s="83">
        <v>2.7</v>
      </c>
      <c r="AI525" s="83">
        <f t="shared" si="182"/>
        <v>0.72972972972972971</v>
      </c>
      <c r="AJ525" s="81">
        <f t="shared" si="183"/>
        <v>460.89756756756771</v>
      </c>
      <c r="AK525" s="81">
        <f t="shared" si="190"/>
        <v>357.28493609888966</v>
      </c>
      <c r="AL525" s="81">
        <f t="shared" si="184"/>
        <v>190.62729729729736</v>
      </c>
      <c r="AM525" s="83">
        <v>0</v>
      </c>
      <c r="AN525" s="83">
        <f t="shared" si="185"/>
        <v>0</v>
      </c>
      <c r="AO525" s="83">
        <v>0.26123000000000002</v>
      </c>
      <c r="AP525" s="83">
        <f t="shared" si="194"/>
        <v>0.70532100000000009</v>
      </c>
      <c r="AQ525" s="83">
        <f t="shared" si="186"/>
        <v>0.41360013745212781</v>
      </c>
      <c r="AR525" s="77" t="s">
        <v>34</v>
      </c>
    </row>
    <row r="526" spans="1:44" ht="15" hidden="1" customHeight="1" x14ac:dyDescent="0.25">
      <c r="A526" s="76">
        <v>525</v>
      </c>
      <c r="B526" s="76">
        <v>2019</v>
      </c>
      <c r="C526" s="77" t="s">
        <v>261</v>
      </c>
      <c r="D526" s="76">
        <v>3</v>
      </c>
      <c r="E526" s="78">
        <v>19</v>
      </c>
      <c r="F526" s="74">
        <v>1.9</v>
      </c>
      <c r="G526" s="75">
        <v>50</v>
      </c>
      <c r="H526" s="75">
        <v>20</v>
      </c>
      <c r="I526" s="78">
        <v>70</v>
      </c>
      <c r="J526" s="81">
        <v>7.7600000000000002E-2</v>
      </c>
      <c r="K526" s="77" t="s">
        <v>262</v>
      </c>
      <c r="L526" s="77" t="s">
        <v>36</v>
      </c>
      <c r="M526" s="77" t="s">
        <v>34</v>
      </c>
      <c r="N526" s="77" t="s">
        <v>34</v>
      </c>
      <c r="O526" s="77" t="s">
        <v>34</v>
      </c>
      <c r="P526" s="78"/>
      <c r="Q526" s="81">
        <v>12</v>
      </c>
      <c r="R526" s="82"/>
      <c r="S526" s="82">
        <v>2.0970940998758545E-4</v>
      </c>
      <c r="T526" s="82">
        <v>810000000</v>
      </c>
      <c r="U526" s="78">
        <v>2669</v>
      </c>
      <c r="V526" s="82">
        <v>1.7919999999999998E-2</v>
      </c>
      <c r="W526" s="82">
        <v>2.3040000000000001E-2</v>
      </c>
      <c r="X526" s="82">
        <v>0.14899999999999999</v>
      </c>
      <c r="Y526" s="78">
        <v>29.6</v>
      </c>
      <c r="Z526" s="78">
        <v>1075</v>
      </c>
      <c r="AA526" s="78">
        <f t="shared" si="192"/>
        <v>400</v>
      </c>
      <c r="AB526" s="81">
        <f t="shared" si="193"/>
        <v>0.82189116447904176</v>
      </c>
      <c r="AC526" s="81">
        <f t="shared" si="179"/>
        <v>270.27027027027032</v>
      </c>
      <c r="AD526" s="81">
        <v>1000</v>
      </c>
      <c r="AE526" s="81">
        <f t="shared" si="180"/>
        <v>930.23255813953483</v>
      </c>
      <c r="AF526" s="81">
        <f t="shared" si="181"/>
        <v>729.72972972972968</v>
      </c>
      <c r="AG526" s="83">
        <v>1</v>
      </c>
      <c r="AH526" s="83">
        <v>2.7</v>
      </c>
      <c r="AI526" s="83">
        <f t="shared" si="182"/>
        <v>0.72972972972972971</v>
      </c>
      <c r="AJ526" s="81">
        <f t="shared" si="183"/>
        <v>307.9097297297298</v>
      </c>
      <c r="AK526" s="81">
        <f t="shared" si="190"/>
        <v>238.6897129687828</v>
      </c>
      <c r="AL526" s="81">
        <f t="shared" si="184"/>
        <v>37.639459459459466</v>
      </c>
      <c r="AM526" s="83">
        <v>0</v>
      </c>
      <c r="AN526" s="83">
        <f t="shared" si="185"/>
        <v>0</v>
      </c>
      <c r="AO526" s="83">
        <v>5.1580000000000001E-2</v>
      </c>
      <c r="AP526" s="83">
        <f t="shared" si="194"/>
        <v>0.139266</v>
      </c>
      <c r="AQ526" s="83">
        <f t="shared" si="186"/>
        <v>0.1222418644987211</v>
      </c>
      <c r="AR526" s="77" t="s">
        <v>34</v>
      </c>
    </row>
    <row r="527" spans="1:44" ht="15" hidden="1" customHeight="1" x14ac:dyDescent="0.25">
      <c r="A527" s="76">
        <v>526</v>
      </c>
      <c r="B527" s="76">
        <v>2019</v>
      </c>
      <c r="C527" s="77" t="s">
        <v>261</v>
      </c>
      <c r="D527" s="76">
        <v>4</v>
      </c>
      <c r="E527" s="78">
        <v>22</v>
      </c>
      <c r="F527" s="74">
        <v>2.4</v>
      </c>
      <c r="G527" s="75">
        <v>30</v>
      </c>
      <c r="H527" s="75">
        <v>58</v>
      </c>
      <c r="I527" s="78">
        <v>72</v>
      </c>
      <c r="J527" s="81">
        <v>0.1472</v>
      </c>
      <c r="K527" s="77" t="s">
        <v>262</v>
      </c>
      <c r="L527" s="77" t="s">
        <v>36</v>
      </c>
      <c r="M527" s="77" t="s">
        <v>290</v>
      </c>
      <c r="N527" s="77" t="s">
        <v>329</v>
      </c>
      <c r="O527" s="77" t="s">
        <v>329</v>
      </c>
      <c r="P527" s="78"/>
      <c r="Q527" s="81">
        <v>79</v>
      </c>
      <c r="R527" s="82"/>
      <c r="S527" s="82">
        <v>1.2161467070613335E-4</v>
      </c>
      <c r="T527" s="82">
        <v>810000000</v>
      </c>
      <c r="U527" s="78">
        <v>2669</v>
      </c>
      <c r="V527" s="82">
        <v>1.7919999999999998E-2</v>
      </c>
      <c r="W527" s="82">
        <v>2.3040000000000001E-2</v>
      </c>
      <c r="X527" s="82">
        <v>0.14899999999999999</v>
      </c>
      <c r="Y527" s="78">
        <v>29.6</v>
      </c>
      <c r="Z527" s="78">
        <v>1075</v>
      </c>
      <c r="AA527" s="78">
        <f t="shared" si="192"/>
        <v>400</v>
      </c>
      <c r="AB527" s="81">
        <f t="shared" si="193"/>
        <v>0.82189116447904176</v>
      </c>
      <c r="AC527" s="81">
        <f t="shared" si="179"/>
        <v>270.27027027027032</v>
      </c>
      <c r="AD527" s="81">
        <v>1000</v>
      </c>
      <c r="AE527" s="81">
        <f t="shared" si="180"/>
        <v>930.23255813953483</v>
      </c>
      <c r="AF527" s="81">
        <f t="shared" si="181"/>
        <v>729.72972972972968</v>
      </c>
      <c r="AG527" s="83">
        <v>1</v>
      </c>
      <c r="AH527" s="83">
        <v>2.7</v>
      </c>
      <c r="AI527" s="83">
        <f t="shared" si="182"/>
        <v>0.72972972972972971</v>
      </c>
      <c r="AJ527" s="81">
        <f t="shared" si="183"/>
        <v>426.43243243243251</v>
      </c>
      <c r="AK527" s="81">
        <f t="shared" si="190"/>
        <v>330.56777707940506</v>
      </c>
      <c r="AL527" s="81">
        <f t="shared" si="184"/>
        <v>156.16216216216219</v>
      </c>
      <c r="AM527" s="83">
        <v>0</v>
      </c>
      <c r="AN527" s="83">
        <f t="shared" si="185"/>
        <v>0</v>
      </c>
      <c r="AO527" s="83">
        <v>0.214</v>
      </c>
      <c r="AP527" s="83">
        <f t="shared" si="194"/>
        <v>0.57779999999999998</v>
      </c>
      <c r="AQ527" s="83">
        <f t="shared" si="186"/>
        <v>0.36620610977310181</v>
      </c>
      <c r="AR527" s="77" t="s">
        <v>263</v>
      </c>
    </row>
    <row r="528" spans="1:44" ht="15" hidden="1" customHeight="1" x14ac:dyDescent="0.25">
      <c r="A528" s="76">
        <v>527</v>
      </c>
      <c r="B528" s="76">
        <v>2019</v>
      </c>
      <c r="C528" s="77" t="s">
        <v>261</v>
      </c>
      <c r="D528" s="76">
        <v>5</v>
      </c>
      <c r="E528" s="78">
        <v>21</v>
      </c>
      <c r="F528" s="74">
        <v>1.8</v>
      </c>
      <c r="G528" s="75">
        <v>40</v>
      </c>
      <c r="H528" s="75">
        <v>33.5</v>
      </c>
      <c r="I528" s="78">
        <v>72</v>
      </c>
      <c r="J528" s="81">
        <v>3.9600000000000003E-2</v>
      </c>
      <c r="K528" s="77" t="s">
        <v>262</v>
      </c>
      <c r="L528" s="77" t="s">
        <v>36</v>
      </c>
      <c r="M528" s="77" t="s">
        <v>290</v>
      </c>
      <c r="N528" s="77" t="s">
        <v>329</v>
      </c>
      <c r="O528" s="77" t="s">
        <v>329</v>
      </c>
      <c r="P528" s="78"/>
      <c r="Q528" s="81">
        <v>29</v>
      </c>
      <c r="R528" s="82"/>
      <c r="S528" s="82">
        <v>1.6109426328957536E-4</v>
      </c>
      <c r="T528" s="82">
        <v>810000000</v>
      </c>
      <c r="U528" s="78">
        <v>2669</v>
      </c>
      <c r="V528" s="82">
        <v>1.7919999999999998E-2</v>
      </c>
      <c r="W528" s="82">
        <v>2.3040000000000001E-2</v>
      </c>
      <c r="X528" s="82">
        <v>0.14899999999999999</v>
      </c>
      <c r="Y528" s="78">
        <v>29.6</v>
      </c>
      <c r="Z528" s="78">
        <v>1075</v>
      </c>
      <c r="AA528" s="78">
        <f t="shared" si="192"/>
        <v>400</v>
      </c>
      <c r="AB528" s="81">
        <f t="shared" si="193"/>
        <v>0.82189116447904176</v>
      </c>
      <c r="AC528" s="81">
        <f t="shared" si="179"/>
        <v>270.27027027027032</v>
      </c>
      <c r="AD528" s="81">
        <v>1000</v>
      </c>
      <c r="AE528" s="81">
        <f t="shared" si="180"/>
        <v>930.23255813953483</v>
      </c>
      <c r="AF528" s="81">
        <f t="shared" si="181"/>
        <v>729.72972972972968</v>
      </c>
      <c r="AG528" s="83">
        <v>1</v>
      </c>
      <c r="AH528" s="83">
        <v>2.7</v>
      </c>
      <c r="AI528" s="83">
        <f t="shared" si="182"/>
        <v>0.72972972972972971</v>
      </c>
      <c r="AJ528" s="81">
        <f t="shared" si="183"/>
        <v>342.33837837837842</v>
      </c>
      <c r="AK528" s="81">
        <f t="shared" si="190"/>
        <v>265.37858789021584</v>
      </c>
      <c r="AL528" s="81">
        <f t="shared" si="184"/>
        <v>72.06810810810812</v>
      </c>
      <c r="AM528" s="83">
        <v>0</v>
      </c>
      <c r="AN528" s="83">
        <f t="shared" si="185"/>
        <v>0</v>
      </c>
      <c r="AO528" s="83">
        <v>9.8760000000000001E-2</v>
      </c>
      <c r="AP528" s="83">
        <f t="shared" si="194"/>
        <v>0.266652</v>
      </c>
      <c r="AQ528" s="83">
        <f t="shared" si="186"/>
        <v>0.21051717440938789</v>
      </c>
      <c r="AR528" s="77" t="s">
        <v>263</v>
      </c>
    </row>
    <row r="529" spans="1:44" s="10" customFormat="1" ht="15" hidden="1" customHeight="1" x14ac:dyDescent="0.25">
      <c r="A529" s="1">
        <v>528</v>
      </c>
      <c r="B529" s="1">
        <v>2019</v>
      </c>
      <c r="C529" s="28" t="s">
        <v>261</v>
      </c>
      <c r="D529" s="1">
        <v>6</v>
      </c>
      <c r="E529" s="8">
        <v>14</v>
      </c>
      <c r="F529" s="74">
        <v>2.4</v>
      </c>
      <c r="G529" s="59">
        <v>50</v>
      </c>
      <c r="H529" s="59">
        <v>20</v>
      </c>
      <c r="I529" s="8">
        <v>48</v>
      </c>
      <c r="J529" s="51">
        <v>6.4299999999999996E-2</v>
      </c>
      <c r="K529" s="28" t="s">
        <v>262</v>
      </c>
      <c r="L529" s="28" t="s">
        <v>36</v>
      </c>
      <c r="M529" s="28" t="s">
        <v>290</v>
      </c>
      <c r="N529" s="28" t="s">
        <v>329</v>
      </c>
      <c r="O529" s="28" t="s">
        <v>329</v>
      </c>
      <c r="P529" s="8"/>
      <c r="Q529" s="51">
        <v>35</v>
      </c>
      <c r="R529" s="9"/>
      <c r="S529" s="9">
        <v>2.0970940998758545E-4</v>
      </c>
      <c r="T529" s="9">
        <v>810000000</v>
      </c>
      <c r="U529" s="8">
        <v>2669</v>
      </c>
      <c r="V529" s="9">
        <v>1.7919999999999998E-2</v>
      </c>
      <c r="W529" s="9">
        <v>2.3040000000000001E-2</v>
      </c>
      <c r="X529" s="9">
        <v>0.14899999999999999</v>
      </c>
      <c r="Y529" s="8">
        <v>29.6</v>
      </c>
      <c r="Z529" s="8">
        <v>1075</v>
      </c>
      <c r="AA529" s="8">
        <f t="shared" si="192"/>
        <v>400</v>
      </c>
      <c r="AB529" s="51">
        <f t="shared" si="193"/>
        <v>0.82189116447904176</v>
      </c>
      <c r="AC529" s="51">
        <f t="shared" si="179"/>
        <v>270.27027027027032</v>
      </c>
      <c r="AD529" s="51">
        <v>1000</v>
      </c>
      <c r="AE529" s="51">
        <f t="shared" si="180"/>
        <v>930.23255813953483</v>
      </c>
      <c r="AF529" s="51">
        <f t="shared" si="181"/>
        <v>729.72972972972968</v>
      </c>
      <c r="AG529" s="52">
        <v>1</v>
      </c>
      <c r="AH529" s="52">
        <v>2.7</v>
      </c>
      <c r="AI529" s="52">
        <f t="shared" si="182"/>
        <v>0.72972972972972971</v>
      </c>
      <c r="AJ529" s="51">
        <f t="shared" si="183"/>
        <v>277.53837837837841</v>
      </c>
      <c r="AK529" s="51">
        <f t="shared" si="190"/>
        <v>215.14602975068095</v>
      </c>
      <c r="AL529" s="51">
        <f t="shared" si="184"/>
        <v>7.2681081081081098</v>
      </c>
      <c r="AM529" s="52">
        <v>0</v>
      </c>
      <c r="AN529" s="52">
        <f t="shared" si="185"/>
        <v>0</v>
      </c>
      <c r="AO529" s="52">
        <v>9.9600000000000001E-3</v>
      </c>
      <c r="AP529" s="52">
        <f t="shared" si="194"/>
        <v>2.6892000000000003E-2</v>
      </c>
      <c r="AQ529" s="52">
        <f t="shared" si="186"/>
        <v>2.6187758790603106E-2</v>
      </c>
      <c r="AR529" s="28" t="s">
        <v>263</v>
      </c>
    </row>
    <row r="530" spans="1:44" ht="15" hidden="1" customHeight="1" x14ac:dyDescent="0.25">
      <c r="A530" s="76">
        <v>529</v>
      </c>
      <c r="B530" s="76">
        <v>2020</v>
      </c>
      <c r="C530" s="77" t="s">
        <v>264</v>
      </c>
      <c r="D530" s="76">
        <v>1</v>
      </c>
      <c r="E530" s="78">
        <v>44</v>
      </c>
      <c r="F530" s="79">
        <v>1.5</v>
      </c>
      <c r="G530" s="80">
        <v>60</v>
      </c>
      <c r="H530" s="80">
        <v>10</v>
      </c>
      <c r="I530" s="78">
        <v>43</v>
      </c>
      <c r="J530" s="81">
        <v>1.9E-3</v>
      </c>
      <c r="K530" s="77" t="s">
        <v>302</v>
      </c>
      <c r="L530" s="77" t="s">
        <v>36</v>
      </c>
      <c r="M530" s="77" t="s">
        <v>34</v>
      </c>
      <c r="N530" s="77" t="s">
        <v>34</v>
      </c>
      <c r="O530" s="77" t="s">
        <v>34</v>
      </c>
      <c r="P530" s="78"/>
      <c r="Q530" s="81">
        <v>8</v>
      </c>
      <c r="R530" s="82"/>
      <c r="S530" s="82">
        <v>1.5746792627449088E-3</v>
      </c>
      <c r="T530" s="82">
        <v>820000000</v>
      </c>
      <c r="U530" s="78">
        <v>2084</v>
      </c>
      <c r="V530" s="82">
        <v>1.7919999999999998E-2</v>
      </c>
      <c r="W530" s="82">
        <v>2.3040000000000001E-2</v>
      </c>
      <c r="X530" s="82">
        <v>0.249</v>
      </c>
      <c r="Y530" s="78">
        <v>29.6</v>
      </c>
      <c r="Z530" s="78">
        <v>1075</v>
      </c>
      <c r="AA530" s="78">
        <f t="shared" si="192"/>
        <v>20</v>
      </c>
      <c r="AB530" s="81">
        <f t="shared" si="193"/>
        <v>0.82189116447904176</v>
      </c>
      <c r="AC530" s="81">
        <f t="shared" si="179"/>
        <v>11.759999999999998</v>
      </c>
      <c r="AD530" s="81">
        <v>50</v>
      </c>
      <c r="AE530" s="81">
        <f t="shared" si="180"/>
        <v>46.511627906976742</v>
      </c>
      <c r="AF530" s="81">
        <f t="shared" si="181"/>
        <v>38.24</v>
      </c>
      <c r="AG530" s="83">
        <v>1</v>
      </c>
      <c r="AH530" s="83">
        <f>76.48/23.52</f>
        <v>3.2517006802721089</v>
      </c>
      <c r="AI530" s="83">
        <f t="shared" si="182"/>
        <v>0.76480000000000004</v>
      </c>
      <c r="AJ530" s="81">
        <f t="shared" si="183"/>
        <v>17.846660799999999</v>
      </c>
      <c r="AK530" s="81">
        <f t="shared" si="190"/>
        <v>13.834620775193796</v>
      </c>
      <c r="AL530" s="81">
        <f t="shared" si="184"/>
        <v>6.0866608000000006</v>
      </c>
      <c r="AM530" s="83">
        <v>0</v>
      </c>
      <c r="AN530" s="83">
        <f t="shared" si="185"/>
        <v>0</v>
      </c>
      <c r="AO530" s="83">
        <v>0.15917000000000001</v>
      </c>
      <c r="AP530" s="83">
        <f t="shared" si="194"/>
        <v>0.5175731972789116</v>
      </c>
      <c r="AQ530" s="83">
        <f t="shared" si="186"/>
        <v>0.34105320139216189</v>
      </c>
      <c r="AR530" s="77" t="s">
        <v>34</v>
      </c>
    </row>
    <row r="531" spans="1:44" ht="15" hidden="1" customHeight="1" x14ac:dyDescent="0.25">
      <c r="A531" s="76">
        <v>530</v>
      </c>
      <c r="B531" s="76">
        <v>2020</v>
      </c>
      <c r="C531" s="77" t="s">
        <v>264</v>
      </c>
      <c r="D531" s="76">
        <v>2</v>
      </c>
      <c r="E531" s="78">
        <v>42</v>
      </c>
      <c r="F531" s="79">
        <v>1.5</v>
      </c>
      <c r="G531" s="80">
        <v>60</v>
      </c>
      <c r="H531" s="80">
        <v>10</v>
      </c>
      <c r="I531" s="78">
        <v>41</v>
      </c>
      <c r="J531" s="81">
        <v>3.5299999999999998E-2</v>
      </c>
      <c r="K531" s="77" t="s">
        <v>302</v>
      </c>
      <c r="L531" s="77" t="s">
        <v>36</v>
      </c>
      <c r="M531" s="77" t="s">
        <v>300</v>
      </c>
      <c r="N531" s="77" t="s">
        <v>329</v>
      </c>
      <c r="O531" s="77">
        <v>10</v>
      </c>
      <c r="P531" s="78"/>
      <c r="Q531" s="81">
        <v>9</v>
      </c>
      <c r="R531" s="82"/>
      <c r="S531" s="82">
        <v>1.5746792627449088E-3</v>
      </c>
      <c r="T531" s="82">
        <v>820000000</v>
      </c>
      <c r="U531" s="78">
        <v>2084</v>
      </c>
      <c r="V531" s="82">
        <v>1.7919999999999998E-2</v>
      </c>
      <c r="W531" s="82">
        <v>2.3040000000000001E-2</v>
      </c>
      <c r="X531" s="82">
        <v>0.249</v>
      </c>
      <c r="Y531" s="78">
        <v>29.6</v>
      </c>
      <c r="Z531" s="78">
        <v>1075</v>
      </c>
      <c r="AA531" s="78">
        <f t="shared" si="192"/>
        <v>20</v>
      </c>
      <c r="AB531" s="81">
        <f t="shared" si="193"/>
        <v>0.82189116447904176</v>
      </c>
      <c r="AC531" s="81">
        <f t="shared" si="179"/>
        <v>11.759999999999998</v>
      </c>
      <c r="AD531" s="81">
        <v>50</v>
      </c>
      <c r="AE531" s="81">
        <f t="shared" si="180"/>
        <v>46.511627906976742</v>
      </c>
      <c r="AF531" s="81">
        <f t="shared" si="181"/>
        <v>38.24</v>
      </c>
      <c r="AG531" s="83">
        <v>1</v>
      </c>
      <c r="AH531" s="83">
        <f>76.48/23.52</f>
        <v>3.2517006802721089</v>
      </c>
      <c r="AI531" s="83">
        <f t="shared" si="182"/>
        <v>0.76480000000000004</v>
      </c>
      <c r="AJ531" s="81">
        <f t="shared" si="183"/>
        <v>17.7074672</v>
      </c>
      <c r="AK531" s="81">
        <f t="shared" si="190"/>
        <v>13.726718759689923</v>
      </c>
      <c r="AL531" s="81">
        <f t="shared" si="184"/>
        <v>5.9474672000000011</v>
      </c>
      <c r="AM531" s="83">
        <v>0</v>
      </c>
      <c r="AN531" s="83">
        <f t="shared" si="185"/>
        <v>0</v>
      </c>
      <c r="AO531" s="83">
        <v>0.15553</v>
      </c>
      <c r="AP531" s="83">
        <f t="shared" si="194"/>
        <v>0.50573700680272116</v>
      </c>
      <c r="AQ531" s="83">
        <f t="shared" si="186"/>
        <v>0.33587339921770409</v>
      </c>
      <c r="AR531" s="77" t="s">
        <v>280</v>
      </c>
    </row>
    <row r="532" spans="1:44" ht="15" hidden="1" customHeight="1" x14ac:dyDescent="0.25">
      <c r="A532" s="76">
        <v>531</v>
      </c>
      <c r="B532" s="76">
        <v>2020</v>
      </c>
      <c r="C532" s="77" t="s">
        <v>264</v>
      </c>
      <c r="D532" s="76">
        <v>3</v>
      </c>
      <c r="E532" s="78">
        <v>39</v>
      </c>
      <c r="F532" s="79">
        <v>1.5</v>
      </c>
      <c r="G532" s="80">
        <v>60</v>
      </c>
      <c r="H532" s="80">
        <v>10</v>
      </c>
      <c r="I532" s="78">
        <v>38</v>
      </c>
      <c r="J532" s="81">
        <v>3.0800000000000001E-2</v>
      </c>
      <c r="K532" s="77" t="s">
        <v>302</v>
      </c>
      <c r="L532" s="77" t="s">
        <v>36</v>
      </c>
      <c r="M532" s="77" t="s">
        <v>300</v>
      </c>
      <c r="N532" s="77" t="s">
        <v>329</v>
      </c>
      <c r="O532" s="77">
        <v>20</v>
      </c>
      <c r="P532" s="78"/>
      <c r="Q532" s="81">
        <v>9</v>
      </c>
      <c r="R532" s="82"/>
      <c r="S532" s="82">
        <v>1.5746792627449088E-3</v>
      </c>
      <c r="T532" s="82">
        <v>820000000</v>
      </c>
      <c r="U532" s="78">
        <v>2084</v>
      </c>
      <c r="V532" s="82">
        <v>1.7919999999999998E-2</v>
      </c>
      <c r="W532" s="82">
        <v>2.3040000000000001E-2</v>
      </c>
      <c r="X532" s="82">
        <v>0.249</v>
      </c>
      <c r="Y532" s="78">
        <v>29.6</v>
      </c>
      <c r="Z532" s="78">
        <v>1075</v>
      </c>
      <c r="AA532" s="78">
        <f t="shared" si="192"/>
        <v>20</v>
      </c>
      <c r="AB532" s="81">
        <f t="shared" si="193"/>
        <v>0.82189116447904176</v>
      </c>
      <c r="AC532" s="81">
        <f t="shared" si="179"/>
        <v>11.759999999999998</v>
      </c>
      <c r="AD532" s="81">
        <v>50</v>
      </c>
      <c r="AE532" s="81">
        <f t="shared" si="180"/>
        <v>46.511627906976742</v>
      </c>
      <c r="AF532" s="81">
        <f t="shared" si="181"/>
        <v>38.24</v>
      </c>
      <c r="AG532" s="83">
        <v>1</v>
      </c>
      <c r="AH532" s="83">
        <f>76.48/23.52</f>
        <v>3.2517006802721089</v>
      </c>
      <c r="AI532" s="83">
        <f t="shared" si="182"/>
        <v>0.76480000000000004</v>
      </c>
      <c r="AJ532" s="81">
        <f t="shared" si="183"/>
        <v>17.846660799999999</v>
      </c>
      <c r="AK532" s="81">
        <f t="shared" si="190"/>
        <v>13.834620775193796</v>
      </c>
      <c r="AL532" s="81">
        <f t="shared" si="184"/>
        <v>6.0866608000000006</v>
      </c>
      <c r="AM532" s="83">
        <v>0</v>
      </c>
      <c r="AN532" s="83">
        <f t="shared" si="185"/>
        <v>0</v>
      </c>
      <c r="AO532" s="83">
        <v>0.15917000000000001</v>
      </c>
      <c r="AP532" s="83">
        <f t="shared" si="194"/>
        <v>0.5175731972789116</v>
      </c>
      <c r="AQ532" s="83">
        <f t="shared" si="186"/>
        <v>0.34105320139216189</v>
      </c>
      <c r="AR532" s="77" t="s">
        <v>281</v>
      </c>
    </row>
    <row r="533" spans="1:44" ht="15" hidden="1" customHeight="1" x14ac:dyDescent="0.25">
      <c r="A533" s="76">
        <v>532</v>
      </c>
      <c r="B533" s="76">
        <v>2020</v>
      </c>
      <c r="C533" s="77" t="s">
        <v>264</v>
      </c>
      <c r="D533" s="76">
        <v>4</v>
      </c>
      <c r="E533" s="78">
        <v>37</v>
      </c>
      <c r="F533" s="79">
        <v>1.5</v>
      </c>
      <c r="G533" s="80">
        <v>60</v>
      </c>
      <c r="H533" s="80">
        <v>10</v>
      </c>
      <c r="I533" s="78">
        <v>36</v>
      </c>
      <c r="J533" s="81">
        <v>1.5100000000000001E-2</v>
      </c>
      <c r="K533" s="77" t="s">
        <v>302</v>
      </c>
      <c r="L533" s="77" t="s">
        <v>36</v>
      </c>
      <c r="M533" s="77" t="s">
        <v>300</v>
      </c>
      <c r="N533" s="77" t="s">
        <v>329</v>
      </c>
      <c r="O533" s="77">
        <v>30</v>
      </c>
      <c r="P533" s="78"/>
      <c r="Q533" s="81">
        <v>9</v>
      </c>
      <c r="R533" s="82"/>
      <c r="S533" s="82">
        <v>1.5746792627449088E-3</v>
      </c>
      <c r="T533" s="82">
        <v>820000000</v>
      </c>
      <c r="U533" s="78">
        <v>2084</v>
      </c>
      <c r="V533" s="82">
        <v>1.7919999999999998E-2</v>
      </c>
      <c r="W533" s="82">
        <v>2.3040000000000001E-2</v>
      </c>
      <c r="X533" s="82">
        <v>0.249</v>
      </c>
      <c r="Y533" s="78">
        <v>29.6</v>
      </c>
      <c r="Z533" s="78">
        <v>1075</v>
      </c>
      <c r="AA533" s="78">
        <f t="shared" si="192"/>
        <v>20</v>
      </c>
      <c r="AB533" s="81">
        <f t="shared" si="193"/>
        <v>0.82189116447904176</v>
      </c>
      <c r="AC533" s="81">
        <f t="shared" si="179"/>
        <v>11.759999999999998</v>
      </c>
      <c r="AD533" s="81">
        <v>50</v>
      </c>
      <c r="AE533" s="81">
        <f t="shared" si="180"/>
        <v>46.511627906976742</v>
      </c>
      <c r="AF533" s="81">
        <f t="shared" si="181"/>
        <v>38.24</v>
      </c>
      <c r="AG533" s="83">
        <v>1</v>
      </c>
      <c r="AH533" s="83">
        <f>76.48/23.52</f>
        <v>3.2517006802721089</v>
      </c>
      <c r="AI533" s="83">
        <f t="shared" si="182"/>
        <v>0.76480000000000004</v>
      </c>
      <c r="AJ533" s="81">
        <f t="shared" si="183"/>
        <v>17.7074672</v>
      </c>
      <c r="AK533" s="81">
        <f t="shared" ref="AK533:AK559" si="195">AJ533/1290*1000</f>
        <v>13.726718759689923</v>
      </c>
      <c r="AL533" s="81">
        <f t="shared" si="184"/>
        <v>5.9474672000000011</v>
      </c>
      <c r="AM533" s="83">
        <v>0</v>
      </c>
      <c r="AN533" s="83">
        <f t="shared" si="185"/>
        <v>0</v>
      </c>
      <c r="AO533" s="83">
        <v>0.15553</v>
      </c>
      <c r="AP533" s="83">
        <f t="shared" si="194"/>
        <v>0.50573700680272116</v>
      </c>
      <c r="AQ533" s="83">
        <f t="shared" si="186"/>
        <v>0.33587339921770409</v>
      </c>
      <c r="AR533" s="77" t="s">
        <v>282</v>
      </c>
    </row>
    <row r="534" spans="1:44" ht="15" hidden="1" customHeight="1" x14ac:dyDescent="0.25">
      <c r="A534" s="76">
        <v>533</v>
      </c>
      <c r="B534" s="76">
        <v>2020</v>
      </c>
      <c r="C534" s="77" t="s">
        <v>264</v>
      </c>
      <c r="D534" s="76">
        <v>5</v>
      </c>
      <c r="E534" s="78">
        <v>35</v>
      </c>
      <c r="F534" s="79">
        <v>1.5</v>
      </c>
      <c r="G534" s="80">
        <v>60</v>
      </c>
      <c r="H534" s="80">
        <v>10</v>
      </c>
      <c r="I534" s="78">
        <v>34</v>
      </c>
      <c r="J534" s="81">
        <v>1.3100000000000001E-2</v>
      </c>
      <c r="K534" s="77" t="s">
        <v>302</v>
      </c>
      <c r="L534" s="77" t="s">
        <v>36</v>
      </c>
      <c r="M534" s="77" t="s">
        <v>300</v>
      </c>
      <c r="N534" s="77" t="s">
        <v>329</v>
      </c>
      <c r="O534" s="77">
        <v>40</v>
      </c>
      <c r="P534" s="78"/>
      <c r="Q534" s="81">
        <v>10</v>
      </c>
      <c r="R534" s="82"/>
      <c r="S534" s="82">
        <v>1.5746792627449088E-3</v>
      </c>
      <c r="T534" s="82">
        <v>820000000</v>
      </c>
      <c r="U534" s="78">
        <v>2084</v>
      </c>
      <c r="V534" s="82">
        <v>1.7919999999999998E-2</v>
      </c>
      <c r="W534" s="82">
        <v>2.3040000000000001E-2</v>
      </c>
      <c r="X534" s="82">
        <v>0.249</v>
      </c>
      <c r="Y534" s="78">
        <v>29.6</v>
      </c>
      <c r="Z534" s="78">
        <v>1075</v>
      </c>
      <c r="AA534" s="78">
        <f t="shared" si="192"/>
        <v>20</v>
      </c>
      <c r="AB534" s="81">
        <f t="shared" si="193"/>
        <v>0.82189116447904176</v>
      </c>
      <c r="AC534" s="81">
        <f t="shared" si="179"/>
        <v>11.759999999999998</v>
      </c>
      <c r="AD534" s="81">
        <v>50</v>
      </c>
      <c r="AE534" s="81">
        <f t="shared" si="180"/>
        <v>46.511627906976742</v>
      </c>
      <c r="AF534" s="81">
        <f t="shared" si="181"/>
        <v>38.24</v>
      </c>
      <c r="AG534" s="83">
        <v>1</v>
      </c>
      <c r="AH534" s="83">
        <f>76.48/23.52</f>
        <v>3.2517006802721089</v>
      </c>
      <c r="AI534" s="83">
        <f t="shared" si="182"/>
        <v>0.76480000000000004</v>
      </c>
      <c r="AJ534" s="81">
        <f t="shared" si="183"/>
        <v>17.846660799999999</v>
      </c>
      <c r="AK534" s="81">
        <f t="shared" si="195"/>
        <v>13.834620775193796</v>
      </c>
      <c r="AL534" s="81">
        <f t="shared" si="184"/>
        <v>6.0866608000000006</v>
      </c>
      <c r="AM534" s="83">
        <v>0</v>
      </c>
      <c r="AN534" s="83">
        <f t="shared" si="185"/>
        <v>0</v>
      </c>
      <c r="AO534" s="83">
        <v>0.15917000000000001</v>
      </c>
      <c r="AP534" s="83">
        <f t="shared" si="194"/>
        <v>0.5175731972789116</v>
      </c>
      <c r="AQ534" s="83">
        <f t="shared" si="186"/>
        <v>0.34105320139216189</v>
      </c>
      <c r="AR534" s="77" t="s">
        <v>283</v>
      </c>
    </row>
    <row r="535" spans="1:44" ht="15" hidden="1" customHeight="1" x14ac:dyDescent="0.25">
      <c r="A535" s="76">
        <v>534</v>
      </c>
      <c r="B535" s="76">
        <v>2020</v>
      </c>
      <c r="C535" s="77" t="s">
        <v>264</v>
      </c>
      <c r="D535" s="76">
        <v>6</v>
      </c>
      <c r="E535" s="78">
        <v>33</v>
      </c>
      <c r="F535" s="79">
        <v>1.5</v>
      </c>
      <c r="G535" s="80">
        <v>60</v>
      </c>
      <c r="H535" s="80">
        <v>10</v>
      </c>
      <c r="I535" s="78">
        <v>32</v>
      </c>
      <c r="J535" s="81">
        <v>1.29E-2</v>
      </c>
      <c r="K535" s="77" t="s">
        <v>302</v>
      </c>
      <c r="L535" s="77" t="s">
        <v>36</v>
      </c>
      <c r="M535" s="77" t="s">
        <v>300</v>
      </c>
      <c r="N535" s="77" t="s">
        <v>329</v>
      </c>
      <c r="O535" s="77">
        <v>50</v>
      </c>
      <c r="P535" s="78"/>
      <c r="Q535" s="81">
        <v>11</v>
      </c>
      <c r="R535" s="82"/>
      <c r="S535" s="82">
        <v>1.5746792627449088E-3</v>
      </c>
      <c r="T535" s="82">
        <v>820000000</v>
      </c>
      <c r="U535" s="78">
        <v>2084</v>
      </c>
      <c r="V535" s="82">
        <v>1.7919999999999998E-2</v>
      </c>
      <c r="W535" s="82">
        <v>2.3040000000000001E-2</v>
      </c>
      <c r="X535" s="82">
        <v>0.249</v>
      </c>
      <c r="Y535" s="78">
        <v>29.6</v>
      </c>
      <c r="Z535" s="78">
        <v>1075</v>
      </c>
      <c r="AA535" s="78">
        <f t="shared" si="192"/>
        <v>20</v>
      </c>
      <c r="AB535" s="81">
        <f t="shared" si="193"/>
        <v>0.82189116447904176</v>
      </c>
      <c r="AC535" s="81">
        <f t="shared" si="179"/>
        <v>11.759999999999998</v>
      </c>
      <c r="AD535" s="81">
        <v>50</v>
      </c>
      <c r="AE535" s="81">
        <f t="shared" si="180"/>
        <v>46.511627906976742</v>
      </c>
      <c r="AF535" s="81">
        <f t="shared" si="181"/>
        <v>38.24</v>
      </c>
      <c r="AG535" s="83">
        <v>1</v>
      </c>
      <c r="AH535" s="83">
        <f>478/147</f>
        <v>3.2517006802721089</v>
      </c>
      <c r="AI535" s="83">
        <f t="shared" si="182"/>
        <v>0.76480000000000004</v>
      </c>
      <c r="AJ535" s="81">
        <f t="shared" si="183"/>
        <v>17.660814399999996</v>
      </c>
      <c r="AK535" s="81">
        <f t="shared" si="195"/>
        <v>13.69055379844961</v>
      </c>
      <c r="AL535" s="81">
        <f t="shared" si="184"/>
        <v>5.9008143999999998</v>
      </c>
      <c r="AM535" s="83">
        <v>0</v>
      </c>
      <c r="AN535" s="83">
        <f t="shared" si="185"/>
        <v>0</v>
      </c>
      <c r="AO535" s="83">
        <v>0.15431</v>
      </c>
      <c r="AP535" s="83">
        <f t="shared" si="194"/>
        <v>0.50176993197278918</v>
      </c>
      <c r="AQ535" s="83">
        <f t="shared" si="186"/>
        <v>0.33411904266430664</v>
      </c>
      <c r="AR535" s="77" t="s">
        <v>284</v>
      </c>
    </row>
    <row r="536" spans="1:44" ht="15" hidden="1" customHeight="1" x14ac:dyDescent="0.25">
      <c r="A536" s="76">
        <v>535</v>
      </c>
      <c r="B536" s="76">
        <v>2020</v>
      </c>
      <c r="C536" s="77" t="s">
        <v>264</v>
      </c>
      <c r="D536" s="76">
        <v>7</v>
      </c>
      <c r="E536" s="78">
        <v>34</v>
      </c>
      <c r="F536" s="79">
        <v>1.5</v>
      </c>
      <c r="G536" s="80">
        <v>60</v>
      </c>
      <c r="H536" s="80">
        <v>10</v>
      </c>
      <c r="I536" s="78">
        <v>33</v>
      </c>
      <c r="J536" s="81">
        <v>5.1000000000000004E-3</v>
      </c>
      <c r="K536" s="77" t="s">
        <v>302</v>
      </c>
      <c r="L536" s="77" t="s">
        <v>36</v>
      </c>
      <c r="M536" s="77" t="s">
        <v>300</v>
      </c>
      <c r="N536" s="77" t="s">
        <v>329</v>
      </c>
      <c r="O536" s="77">
        <v>60</v>
      </c>
      <c r="P536" s="78"/>
      <c r="Q536" s="81">
        <v>10</v>
      </c>
      <c r="R536" s="82"/>
      <c r="S536" s="82">
        <v>1.5746792627449088E-3</v>
      </c>
      <c r="T536" s="82">
        <v>820000000</v>
      </c>
      <c r="U536" s="78">
        <v>2084</v>
      </c>
      <c r="V536" s="82">
        <v>1.7919999999999998E-2</v>
      </c>
      <c r="W536" s="82">
        <v>2.3040000000000001E-2</v>
      </c>
      <c r="X536" s="82">
        <v>0.249</v>
      </c>
      <c r="Y536" s="78">
        <v>29.6</v>
      </c>
      <c r="Z536" s="78">
        <v>1075</v>
      </c>
      <c r="AA536" s="78">
        <f t="shared" si="192"/>
        <v>20</v>
      </c>
      <c r="AB536" s="81">
        <f t="shared" si="193"/>
        <v>0.82189116447904176</v>
      </c>
      <c r="AC536" s="81">
        <f t="shared" si="179"/>
        <v>11.759999999999998</v>
      </c>
      <c r="AD536" s="81">
        <v>50</v>
      </c>
      <c r="AE536" s="81">
        <f t="shared" si="180"/>
        <v>46.511627906976742</v>
      </c>
      <c r="AF536" s="81">
        <f t="shared" si="181"/>
        <v>38.24</v>
      </c>
      <c r="AG536" s="83">
        <v>1</v>
      </c>
      <c r="AH536" s="83">
        <f>478/147</f>
        <v>3.2517006802721089</v>
      </c>
      <c r="AI536" s="83">
        <f t="shared" si="182"/>
        <v>0.76480000000000004</v>
      </c>
      <c r="AJ536" s="81">
        <f t="shared" si="183"/>
        <v>17.753737599999994</v>
      </c>
      <c r="AK536" s="81">
        <f t="shared" si="195"/>
        <v>13.762587286821701</v>
      </c>
      <c r="AL536" s="81">
        <f t="shared" si="184"/>
        <v>5.9937375999999976</v>
      </c>
      <c r="AM536" s="83">
        <v>0</v>
      </c>
      <c r="AN536" s="83">
        <f t="shared" si="185"/>
        <v>0</v>
      </c>
      <c r="AO536" s="83">
        <v>0.15673999999999999</v>
      </c>
      <c r="AP536" s="83">
        <f t="shared" si="194"/>
        <v>0.50967156462585028</v>
      </c>
      <c r="AQ536" s="83">
        <f t="shared" si="186"/>
        <v>0.33760426874845778</v>
      </c>
      <c r="AR536" s="77" t="s">
        <v>285</v>
      </c>
    </row>
    <row r="537" spans="1:44" s="12" customFormat="1" ht="15" hidden="1" customHeight="1" x14ac:dyDescent="0.25">
      <c r="A537" s="3">
        <v>536</v>
      </c>
      <c r="B537" s="3">
        <v>2020</v>
      </c>
      <c r="C537" s="27" t="s">
        <v>265</v>
      </c>
      <c r="D537" s="3">
        <v>1</v>
      </c>
      <c r="E537" s="11">
        <v>22</v>
      </c>
      <c r="F537" s="30">
        <v>1.5</v>
      </c>
      <c r="G537" s="72">
        <v>70</v>
      </c>
      <c r="H537" s="72">
        <v>10</v>
      </c>
      <c r="I537" s="11">
        <v>65</v>
      </c>
      <c r="J537" s="47">
        <v>7.6700000000000004E-2</v>
      </c>
      <c r="K537" s="27" t="s">
        <v>5</v>
      </c>
      <c r="L537" s="27" t="s">
        <v>36</v>
      </c>
      <c r="M537" s="27" t="s">
        <v>34</v>
      </c>
      <c r="N537" s="27" t="s">
        <v>34</v>
      </c>
      <c r="O537" s="27" t="s">
        <v>34</v>
      </c>
      <c r="P537" s="11"/>
      <c r="Q537" s="47">
        <v>5</v>
      </c>
      <c r="R537" s="4"/>
      <c r="S537" s="4">
        <v>1.3765995198898839E-4</v>
      </c>
      <c r="T537" s="4">
        <v>830000000</v>
      </c>
      <c r="U537" s="11">
        <v>2987</v>
      </c>
      <c r="V537" s="4">
        <v>1.7919999999999998E-2</v>
      </c>
      <c r="W537" s="4">
        <v>2.3040000000000001E-2</v>
      </c>
      <c r="X537" s="4">
        <v>0.14899999999999999</v>
      </c>
      <c r="Y537" s="11">
        <v>29.6</v>
      </c>
      <c r="Z537" s="11">
        <v>1075</v>
      </c>
      <c r="AA537" s="11">
        <f t="shared" si="192"/>
        <v>40</v>
      </c>
      <c r="AB537" s="47">
        <f t="shared" si="193"/>
        <v>0.82189116447904176</v>
      </c>
      <c r="AC537" s="47">
        <f t="shared" si="179"/>
        <v>15</v>
      </c>
      <c r="AD537" s="47">
        <v>100</v>
      </c>
      <c r="AE537" s="47">
        <f t="shared" si="180"/>
        <v>93.023255813953483</v>
      </c>
      <c r="AF537" s="47">
        <f t="shared" si="181"/>
        <v>85</v>
      </c>
      <c r="AG537" s="53">
        <v>1</v>
      </c>
      <c r="AH537" s="53">
        <f>17/3</f>
        <v>5.666666666666667</v>
      </c>
      <c r="AI537" s="53">
        <f t="shared" si="182"/>
        <v>0.85</v>
      </c>
      <c r="AJ537" s="47">
        <f t="shared" si="183"/>
        <v>18.569411764705883</v>
      </c>
      <c r="AK537" s="47">
        <f t="shared" si="195"/>
        <v>14.394892840857274</v>
      </c>
      <c r="AL537" s="47">
        <f t="shared" si="184"/>
        <v>3.5694117647058827</v>
      </c>
      <c r="AM537" s="53">
        <f>3/17</f>
        <v>0.17647058823529413</v>
      </c>
      <c r="AN537" s="53">
        <f t="shared" si="185"/>
        <v>0.15</v>
      </c>
      <c r="AO537" s="53">
        <v>1.12E-2</v>
      </c>
      <c r="AP537" s="53">
        <f>AO537*(AH537-AM537)+AM537</f>
        <v>0.2379607843137255</v>
      </c>
      <c r="AQ537" s="53">
        <f t="shared" si="186"/>
        <v>0.1922199695894577</v>
      </c>
      <c r="AR537" s="27" t="s">
        <v>34</v>
      </c>
    </row>
    <row r="538" spans="1:44" ht="15" hidden="1" customHeight="1" x14ac:dyDescent="0.25">
      <c r="A538" s="76">
        <v>537</v>
      </c>
      <c r="B538" s="76">
        <v>2020</v>
      </c>
      <c r="C538" s="77" t="s">
        <v>265</v>
      </c>
      <c r="D538" s="76">
        <v>2</v>
      </c>
      <c r="E538" s="78">
        <v>18</v>
      </c>
      <c r="F538" s="79">
        <v>1.5</v>
      </c>
      <c r="G538" s="75">
        <v>70</v>
      </c>
      <c r="H538" s="75">
        <v>10</v>
      </c>
      <c r="I538" s="78">
        <v>45</v>
      </c>
      <c r="J538" s="81">
        <v>0.33639999999999998</v>
      </c>
      <c r="K538" s="77" t="s">
        <v>5</v>
      </c>
      <c r="L538" s="77" t="s">
        <v>36</v>
      </c>
      <c r="M538" s="77" t="s">
        <v>291</v>
      </c>
      <c r="N538" s="77">
        <v>-20</v>
      </c>
      <c r="O538" s="77">
        <f>24*3600</f>
        <v>86400</v>
      </c>
      <c r="P538" s="78"/>
      <c r="Q538" s="81">
        <v>6</v>
      </c>
      <c r="R538" s="82"/>
      <c r="S538" s="82">
        <v>1.3765995198898839E-4</v>
      </c>
      <c r="T538" s="82">
        <v>830000000</v>
      </c>
      <c r="U538" s="78">
        <v>2987</v>
      </c>
      <c r="V538" s="82">
        <v>1.7919999999999998E-2</v>
      </c>
      <c r="W538" s="82">
        <v>2.3040000000000001E-2</v>
      </c>
      <c r="X538" s="82">
        <v>0.14899999999999999</v>
      </c>
      <c r="Y538" s="78">
        <v>29.6</v>
      </c>
      <c r="Z538" s="78">
        <v>1075</v>
      </c>
      <c r="AA538" s="78">
        <f t="shared" si="192"/>
        <v>40</v>
      </c>
      <c r="AB538" s="81">
        <f t="shared" si="193"/>
        <v>0.82189116447904176</v>
      </c>
      <c r="AC538" s="81">
        <f t="shared" si="179"/>
        <v>15</v>
      </c>
      <c r="AD538" s="81">
        <v>100</v>
      </c>
      <c r="AE538" s="81">
        <f t="shared" si="180"/>
        <v>93.023255813953483</v>
      </c>
      <c r="AF538" s="81">
        <f t="shared" si="181"/>
        <v>85</v>
      </c>
      <c r="AG538" s="83">
        <v>1</v>
      </c>
      <c r="AH538" s="83">
        <f>17/3</f>
        <v>5.666666666666667</v>
      </c>
      <c r="AI538" s="83">
        <f t="shared" si="182"/>
        <v>0.85</v>
      </c>
      <c r="AJ538" s="81">
        <f t="shared" si="183"/>
        <v>18.569411764705883</v>
      </c>
      <c r="AK538" s="81">
        <f t="shared" si="195"/>
        <v>14.394892840857274</v>
      </c>
      <c r="AL538" s="81">
        <f t="shared" si="184"/>
        <v>3.5694117647058827</v>
      </c>
      <c r="AM538" s="83">
        <f>3/17</f>
        <v>0.17647058823529413</v>
      </c>
      <c r="AN538" s="83">
        <f t="shared" si="185"/>
        <v>0.15</v>
      </c>
      <c r="AO538" s="83">
        <v>1.12E-2</v>
      </c>
      <c r="AP538" s="83">
        <f>AO538*(AH538-AM538)+AM538</f>
        <v>0.2379607843137255</v>
      </c>
      <c r="AQ538" s="83">
        <f t="shared" si="186"/>
        <v>0.1922199695894577</v>
      </c>
      <c r="AR538" s="77" t="s">
        <v>375</v>
      </c>
    </row>
    <row r="539" spans="1:44" ht="15" hidden="1" customHeight="1" x14ac:dyDescent="0.25">
      <c r="A539" s="76">
        <v>538</v>
      </c>
      <c r="B539" s="76">
        <v>2020</v>
      </c>
      <c r="C539" s="77" t="s">
        <v>265</v>
      </c>
      <c r="D539" s="76">
        <v>3</v>
      </c>
      <c r="E539" s="78">
        <v>18</v>
      </c>
      <c r="F539" s="79">
        <v>1.5</v>
      </c>
      <c r="G539" s="75">
        <v>70</v>
      </c>
      <c r="H539" s="75">
        <v>10</v>
      </c>
      <c r="I539" s="78">
        <v>45</v>
      </c>
      <c r="J539" s="81">
        <v>6.4500000000000002E-2</v>
      </c>
      <c r="K539" s="77" t="s">
        <v>5</v>
      </c>
      <c r="L539" s="77" t="s">
        <v>36</v>
      </c>
      <c r="M539" s="77" t="s">
        <v>292</v>
      </c>
      <c r="N539" s="77">
        <v>-196</v>
      </c>
      <c r="O539" s="77">
        <v>60</v>
      </c>
      <c r="P539" s="78"/>
      <c r="Q539" s="81">
        <v>6</v>
      </c>
      <c r="R539" s="82"/>
      <c r="S539" s="82">
        <v>1.3765995198898839E-4</v>
      </c>
      <c r="T539" s="82">
        <v>830000000</v>
      </c>
      <c r="U539" s="78">
        <v>2987</v>
      </c>
      <c r="V539" s="82">
        <v>1.7919999999999998E-2</v>
      </c>
      <c r="W539" s="82">
        <v>2.3040000000000001E-2</v>
      </c>
      <c r="X539" s="82">
        <v>0.14899999999999999</v>
      </c>
      <c r="Y539" s="78">
        <v>29.6</v>
      </c>
      <c r="Z539" s="78">
        <v>1075</v>
      </c>
      <c r="AA539" s="78">
        <f t="shared" si="192"/>
        <v>40</v>
      </c>
      <c r="AB539" s="81">
        <f t="shared" si="193"/>
        <v>0.82189116447904176</v>
      </c>
      <c r="AC539" s="81">
        <f t="shared" si="179"/>
        <v>15</v>
      </c>
      <c r="AD539" s="81">
        <v>100</v>
      </c>
      <c r="AE539" s="81">
        <f t="shared" si="180"/>
        <v>93.023255813953483</v>
      </c>
      <c r="AF539" s="81">
        <f t="shared" si="181"/>
        <v>85</v>
      </c>
      <c r="AG539" s="83">
        <v>1</v>
      </c>
      <c r="AH539" s="83">
        <f>17/3</f>
        <v>5.666666666666667</v>
      </c>
      <c r="AI539" s="83">
        <f t="shared" si="182"/>
        <v>0.85</v>
      </c>
      <c r="AJ539" s="81">
        <f t="shared" si="183"/>
        <v>18.569411764705883</v>
      </c>
      <c r="AK539" s="81">
        <f t="shared" si="195"/>
        <v>14.394892840857274</v>
      </c>
      <c r="AL539" s="81">
        <f t="shared" si="184"/>
        <v>3.5694117647058827</v>
      </c>
      <c r="AM539" s="83">
        <f>3/17</f>
        <v>0.17647058823529413</v>
      </c>
      <c r="AN539" s="83">
        <f t="shared" si="185"/>
        <v>0.15</v>
      </c>
      <c r="AO539" s="83">
        <v>1.12E-2</v>
      </c>
      <c r="AP539" s="83">
        <f>AO539*(AH539-AM539)+AM539</f>
        <v>0.2379607843137255</v>
      </c>
      <c r="AQ539" s="83">
        <f t="shared" si="186"/>
        <v>0.1922199695894577</v>
      </c>
      <c r="AR539" s="77" t="s">
        <v>266</v>
      </c>
    </row>
    <row r="540" spans="1:44" ht="15" hidden="1" customHeight="1" x14ac:dyDescent="0.25">
      <c r="A540" s="76">
        <v>539</v>
      </c>
      <c r="B540" s="76">
        <v>2020</v>
      </c>
      <c r="C540" s="77" t="s">
        <v>265</v>
      </c>
      <c r="D540" s="76">
        <v>4</v>
      </c>
      <c r="E540" s="78">
        <v>19</v>
      </c>
      <c r="F540" s="79">
        <v>1.5</v>
      </c>
      <c r="G540" s="75">
        <v>60</v>
      </c>
      <c r="H540" s="75">
        <v>15.6</v>
      </c>
      <c r="I540" s="78">
        <v>50</v>
      </c>
      <c r="J540" s="81">
        <v>0.5796</v>
      </c>
      <c r="K540" s="77" t="s">
        <v>5</v>
      </c>
      <c r="L540" s="77" t="s">
        <v>36</v>
      </c>
      <c r="M540" s="77" t="s">
        <v>292</v>
      </c>
      <c r="N540" s="77">
        <v>-196</v>
      </c>
      <c r="O540" s="77">
        <v>60</v>
      </c>
      <c r="P540" s="78"/>
      <c r="Q540" s="81">
        <v>11</v>
      </c>
      <c r="R540" s="82"/>
      <c r="S540" s="82">
        <v>1.0600845291966014E-4</v>
      </c>
      <c r="T540" s="82">
        <v>830000000</v>
      </c>
      <c r="U540" s="78">
        <v>2987</v>
      </c>
      <c r="V540" s="82">
        <v>1.7919999999999998E-2</v>
      </c>
      <c r="W540" s="82">
        <v>2.3040000000000001E-2</v>
      </c>
      <c r="X540" s="82">
        <v>0.14899999999999999</v>
      </c>
      <c r="Y540" s="78">
        <v>29.6</v>
      </c>
      <c r="Z540" s="78">
        <v>1075</v>
      </c>
      <c r="AA540" s="78">
        <f t="shared" si="192"/>
        <v>40</v>
      </c>
      <c r="AB540" s="81">
        <f t="shared" si="193"/>
        <v>0.82189116447904176</v>
      </c>
      <c r="AC540" s="81">
        <f t="shared" si="179"/>
        <v>15</v>
      </c>
      <c r="AD540" s="81">
        <v>100</v>
      </c>
      <c r="AE540" s="81">
        <f t="shared" si="180"/>
        <v>93.023255813953483</v>
      </c>
      <c r="AF540" s="81">
        <f t="shared" si="181"/>
        <v>85</v>
      </c>
      <c r="AG540" s="83">
        <v>1</v>
      </c>
      <c r="AH540" s="83">
        <f>17/3</f>
        <v>5.666666666666667</v>
      </c>
      <c r="AI540" s="83">
        <f t="shared" si="182"/>
        <v>0.85</v>
      </c>
      <c r="AJ540" s="81">
        <f t="shared" si="183"/>
        <v>19.009176470588237</v>
      </c>
      <c r="AK540" s="81">
        <f t="shared" si="195"/>
        <v>14.735795713634293</v>
      </c>
      <c r="AL540" s="81">
        <f t="shared" si="184"/>
        <v>4.009176470588236</v>
      </c>
      <c r="AM540" s="83">
        <f>3/17</f>
        <v>0.17647058823529413</v>
      </c>
      <c r="AN540" s="83">
        <f t="shared" si="185"/>
        <v>0.15</v>
      </c>
      <c r="AO540" s="83">
        <v>1.6539999999999999E-2</v>
      </c>
      <c r="AP540" s="83">
        <f>AO540*(AH540-AM540)+AM540</f>
        <v>0.26727843137254903</v>
      </c>
      <c r="AQ540" s="83">
        <f t="shared" si="186"/>
        <v>0.21090742551584996</v>
      </c>
      <c r="AR540" s="77" t="s">
        <v>266</v>
      </c>
    </row>
    <row r="541" spans="1:44" s="10" customFormat="1" ht="15" hidden="1" customHeight="1" x14ac:dyDescent="0.25">
      <c r="A541" s="1">
        <v>540</v>
      </c>
      <c r="B541" s="1">
        <v>2020</v>
      </c>
      <c r="C541" s="28" t="s">
        <v>265</v>
      </c>
      <c r="D541" s="1">
        <v>5</v>
      </c>
      <c r="E541" s="8">
        <v>17</v>
      </c>
      <c r="F541" s="31">
        <v>1.5</v>
      </c>
      <c r="G541" s="59">
        <v>80</v>
      </c>
      <c r="H541" s="59">
        <v>6.6</v>
      </c>
      <c r="I541" s="8">
        <v>40</v>
      </c>
      <c r="J541" s="51">
        <v>0.3392</v>
      </c>
      <c r="K541" s="28" t="s">
        <v>5</v>
      </c>
      <c r="L541" s="28" t="s">
        <v>36</v>
      </c>
      <c r="M541" s="28" t="s">
        <v>292</v>
      </c>
      <c r="N541" s="28">
        <v>-196</v>
      </c>
      <c r="O541" s="28">
        <v>60</v>
      </c>
      <c r="P541" s="8"/>
      <c r="Q541" s="51">
        <v>5</v>
      </c>
      <c r="R541" s="9"/>
      <c r="S541" s="9">
        <v>1.7613631727460315E-4</v>
      </c>
      <c r="T541" s="9">
        <v>830000000</v>
      </c>
      <c r="U541" s="8">
        <v>2987</v>
      </c>
      <c r="V541" s="9">
        <v>1.7919999999999998E-2</v>
      </c>
      <c r="W541" s="9">
        <v>2.3040000000000001E-2</v>
      </c>
      <c r="X541" s="9">
        <v>0.14899999999999999</v>
      </c>
      <c r="Y541" s="8">
        <v>29.6</v>
      </c>
      <c r="Z541" s="8">
        <v>1075</v>
      </c>
      <c r="AA541" s="8">
        <f t="shared" si="192"/>
        <v>40</v>
      </c>
      <c r="AB541" s="51">
        <f t="shared" si="193"/>
        <v>0.82189116447904176</v>
      </c>
      <c r="AC541" s="51">
        <f t="shared" si="179"/>
        <v>15</v>
      </c>
      <c r="AD541" s="51">
        <v>100</v>
      </c>
      <c r="AE541" s="51">
        <f t="shared" si="180"/>
        <v>93.023255813953483</v>
      </c>
      <c r="AF541" s="51">
        <f t="shared" si="181"/>
        <v>85</v>
      </c>
      <c r="AG541" s="52">
        <v>1</v>
      </c>
      <c r="AH541" s="52">
        <f>17/3</f>
        <v>5.666666666666667</v>
      </c>
      <c r="AI541" s="52">
        <f t="shared" si="182"/>
        <v>0.85</v>
      </c>
      <c r="AJ541" s="51">
        <f t="shared" si="183"/>
        <v>19.009176470588237</v>
      </c>
      <c r="AK541" s="51">
        <f t="shared" si="195"/>
        <v>14.735795713634293</v>
      </c>
      <c r="AL541" s="51">
        <f t="shared" si="184"/>
        <v>4.009176470588236</v>
      </c>
      <c r="AM541" s="52">
        <f>3/17</f>
        <v>0.17647058823529413</v>
      </c>
      <c r="AN541" s="52">
        <f t="shared" si="185"/>
        <v>0.15</v>
      </c>
      <c r="AO541" s="52">
        <v>1.6539999999999999E-2</v>
      </c>
      <c r="AP541" s="52">
        <f>AO541*(AH541-AM541)+AM541</f>
        <v>0.26727843137254903</v>
      </c>
      <c r="AQ541" s="52">
        <f t="shared" si="186"/>
        <v>0.21090742551584996</v>
      </c>
      <c r="AR541" s="28" t="s">
        <v>266</v>
      </c>
    </row>
    <row r="542" spans="1:44" ht="15" customHeight="1" x14ac:dyDescent="0.25">
      <c r="A542" s="76">
        <v>541</v>
      </c>
      <c r="B542" s="76">
        <v>2021</v>
      </c>
      <c r="C542" s="77" t="s">
        <v>267</v>
      </c>
      <c r="D542" s="76">
        <v>1</v>
      </c>
      <c r="E542" s="78">
        <v>36</v>
      </c>
      <c r="F542" s="79">
        <v>2</v>
      </c>
      <c r="G542" s="80">
        <v>55</v>
      </c>
      <c r="H542" s="80">
        <v>25</v>
      </c>
      <c r="I542" s="78">
        <v>70</v>
      </c>
      <c r="J542" s="81">
        <v>9.5899999999999999E-2</v>
      </c>
      <c r="K542" s="77" t="s">
        <v>306</v>
      </c>
      <c r="L542" s="77" t="s">
        <v>36</v>
      </c>
      <c r="M542" s="77" t="s">
        <v>289</v>
      </c>
      <c r="N542" s="77">
        <v>25</v>
      </c>
      <c r="O542" s="77">
        <v>240</v>
      </c>
      <c r="P542" s="78"/>
      <c r="Q542" s="81">
        <v>12</v>
      </c>
      <c r="R542" s="82"/>
      <c r="S542" s="82">
        <v>4.7468462955838146E-4</v>
      </c>
      <c r="T542" s="82">
        <v>920000000</v>
      </c>
      <c r="U542" s="78">
        <v>2484</v>
      </c>
      <c r="V542" s="82">
        <v>1.7919999999999998E-2</v>
      </c>
      <c r="W542" s="82">
        <v>2.3040000000000001E-2</v>
      </c>
      <c r="X542" s="82">
        <v>0.249</v>
      </c>
      <c r="Y542" s="78">
        <v>29.6</v>
      </c>
      <c r="Z542" s="78">
        <v>1075</v>
      </c>
      <c r="AA542" s="78">
        <f t="shared" si="192"/>
        <v>140</v>
      </c>
      <c r="AB542" s="81">
        <f t="shared" si="193"/>
        <v>0.82189116447904176</v>
      </c>
      <c r="AC542" s="81">
        <f t="shared" si="179"/>
        <v>43.38986412773977</v>
      </c>
      <c r="AD542" s="81">
        <v>350</v>
      </c>
      <c r="AE542" s="81">
        <f t="shared" si="180"/>
        <v>325.58139534883725</v>
      </c>
      <c r="AF542" s="81">
        <f t="shared" si="181"/>
        <v>306.61013587226023</v>
      </c>
      <c r="AG542" s="83">
        <v>1</v>
      </c>
      <c r="AH542" s="83">
        <v>7.0663999999999998</v>
      </c>
      <c r="AI542" s="83">
        <f t="shared" si="182"/>
        <v>0.87602895963502925</v>
      </c>
      <c r="AJ542" s="81">
        <f t="shared" si="183"/>
        <v>62.007231577903411</v>
      </c>
      <c r="AK542" s="81">
        <f t="shared" si="195"/>
        <v>48.067621378219698</v>
      </c>
      <c r="AL542" s="81">
        <f t="shared" si="184"/>
        <v>18.617367450163645</v>
      </c>
      <c r="AM542" s="83">
        <v>0</v>
      </c>
      <c r="AN542" s="83">
        <f t="shared" si="185"/>
        <v>0</v>
      </c>
      <c r="AO542" s="83">
        <v>6.0720000000000003E-2</v>
      </c>
      <c r="AP542" s="83">
        <f t="shared" ref="AP542:AP551" si="196">AO542*AH542</f>
        <v>0.429071808</v>
      </c>
      <c r="AQ542" s="83">
        <f t="shared" si="186"/>
        <v>0.30024510006987698</v>
      </c>
      <c r="AR542" s="77" t="s">
        <v>286</v>
      </c>
    </row>
    <row r="543" spans="1:44" ht="15" hidden="1" customHeight="1" x14ac:dyDescent="0.25">
      <c r="A543" s="76">
        <v>542</v>
      </c>
      <c r="B543" s="76">
        <v>2021</v>
      </c>
      <c r="C543" s="77" t="s">
        <v>267</v>
      </c>
      <c r="D543" s="76">
        <v>2</v>
      </c>
      <c r="E543" s="78">
        <v>29</v>
      </c>
      <c r="F543" s="79">
        <v>2</v>
      </c>
      <c r="G543" s="80">
        <v>55</v>
      </c>
      <c r="H543" s="80">
        <v>25</v>
      </c>
      <c r="I543" s="78">
        <v>56</v>
      </c>
      <c r="J543" s="81">
        <v>0.21249999999999999</v>
      </c>
      <c r="K543" s="77" t="s">
        <v>306</v>
      </c>
      <c r="L543" s="77" t="s">
        <v>36</v>
      </c>
      <c r="M543" s="77" t="s">
        <v>290</v>
      </c>
      <c r="N543" s="77" t="s">
        <v>329</v>
      </c>
      <c r="O543" s="77" t="s">
        <v>329</v>
      </c>
      <c r="P543" s="78"/>
      <c r="Q543" s="81">
        <v>18</v>
      </c>
      <c r="R543" s="82"/>
      <c r="S543" s="82">
        <v>4.7468462955838146E-4</v>
      </c>
      <c r="T543" s="82">
        <v>920000000</v>
      </c>
      <c r="U543" s="78">
        <v>2484</v>
      </c>
      <c r="V543" s="82">
        <v>1.7919999999999998E-2</v>
      </c>
      <c r="W543" s="82">
        <v>2.3040000000000001E-2</v>
      </c>
      <c r="X543" s="82">
        <v>0.249</v>
      </c>
      <c r="Y543" s="78">
        <v>29.6</v>
      </c>
      <c r="Z543" s="78">
        <v>1075</v>
      </c>
      <c r="AA543" s="78">
        <f t="shared" si="192"/>
        <v>140</v>
      </c>
      <c r="AB543" s="81">
        <f t="shared" si="193"/>
        <v>0.82189116447904176</v>
      </c>
      <c r="AC543" s="81">
        <f t="shared" si="179"/>
        <v>43.47286051422185</v>
      </c>
      <c r="AD543" s="81">
        <v>350</v>
      </c>
      <c r="AE543" s="81">
        <f t="shared" si="180"/>
        <v>325.58139534883725</v>
      </c>
      <c r="AF543" s="81">
        <f t="shared" si="181"/>
        <v>306.52713948577815</v>
      </c>
      <c r="AG543" s="83">
        <v>1</v>
      </c>
      <c r="AH543" s="83">
        <v>7.0510000000000002</v>
      </c>
      <c r="AI543" s="83">
        <f t="shared" si="182"/>
        <v>0.87579182710222336</v>
      </c>
      <c r="AJ543" s="81">
        <f t="shared" si="183"/>
        <v>51.828790336604165</v>
      </c>
      <c r="AK543" s="81">
        <f t="shared" si="195"/>
        <v>40.177356850080749</v>
      </c>
      <c r="AL543" s="81">
        <f t="shared" si="184"/>
        <v>8.3559298223823149</v>
      </c>
      <c r="AM543" s="83">
        <v>0</v>
      </c>
      <c r="AN543" s="83">
        <f t="shared" si="185"/>
        <v>0</v>
      </c>
      <c r="AO543" s="83">
        <v>2.726E-2</v>
      </c>
      <c r="AP543" s="83">
        <f t="shared" si="196"/>
        <v>0.19221025999999999</v>
      </c>
      <c r="AQ543" s="83">
        <f t="shared" si="186"/>
        <v>0.16122177978907848</v>
      </c>
      <c r="AR543" s="77" t="s">
        <v>287</v>
      </c>
    </row>
    <row r="544" spans="1:44" s="12" customFormat="1" ht="15" customHeight="1" x14ac:dyDescent="0.25">
      <c r="A544" s="3">
        <v>543</v>
      </c>
      <c r="B544" s="3">
        <v>2021</v>
      </c>
      <c r="C544" s="27" t="s">
        <v>268</v>
      </c>
      <c r="D544" s="3">
        <v>1</v>
      </c>
      <c r="E544" s="11">
        <v>30</v>
      </c>
      <c r="F544" s="30">
        <v>0.1</v>
      </c>
      <c r="G544" s="58">
        <v>44.5</v>
      </c>
      <c r="H544" s="58">
        <v>17</v>
      </c>
      <c r="I544" s="11">
        <v>366</v>
      </c>
      <c r="J544" s="47">
        <v>0.79900000000000004</v>
      </c>
      <c r="K544" s="27" t="s">
        <v>296</v>
      </c>
      <c r="L544" s="27" t="s">
        <v>36</v>
      </c>
      <c r="M544" s="27" t="s">
        <v>289</v>
      </c>
      <c r="N544" s="27">
        <v>25</v>
      </c>
      <c r="O544" s="27">
        <v>180</v>
      </c>
      <c r="P544" s="11"/>
      <c r="Q544" s="47">
        <v>3.5</v>
      </c>
      <c r="R544" s="4"/>
      <c r="S544" s="4">
        <v>9.0413281165738414E-5</v>
      </c>
      <c r="T544" s="4">
        <v>630000000</v>
      </c>
      <c r="U544" s="11">
        <v>2811</v>
      </c>
      <c r="V544" s="4">
        <v>1.7919999999999998E-2</v>
      </c>
      <c r="W544" s="4">
        <v>2.3040000000000001E-2</v>
      </c>
      <c r="X544" s="4">
        <v>0.14899999999999999</v>
      </c>
      <c r="Y544" s="11">
        <v>29.6</v>
      </c>
      <c r="Z544" s="11">
        <v>1075</v>
      </c>
      <c r="AA544" s="11">
        <f t="shared" si="192"/>
        <v>400</v>
      </c>
      <c r="AB544" s="47">
        <f t="shared" si="193"/>
        <v>0.82189116447904176</v>
      </c>
      <c r="AC544" s="47">
        <f t="shared" si="179"/>
        <v>183.15018315018312</v>
      </c>
      <c r="AD544" s="47">
        <v>1000</v>
      </c>
      <c r="AE544" s="47">
        <f t="shared" si="180"/>
        <v>930.23255813953483</v>
      </c>
      <c r="AF544" s="47">
        <f t="shared" si="181"/>
        <v>816.84981684981688</v>
      </c>
      <c r="AG544" s="53">
        <v>1</v>
      </c>
      <c r="AH544" s="53">
        <v>4.46</v>
      </c>
      <c r="AI544" s="53">
        <f t="shared" si="182"/>
        <v>0.81684981684981683</v>
      </c>
      <c r="AJ544" s="47">
        <f t="shared" si="183"/>
        <v>276.71216117216113</v>
      </c>
      <c r="AK544" s="47">
        <f t="shared" si="195"/>
        <v>214.50555129624894</v>
      </c>
      <c r="AL544" s="47">
        <f t="shared" si="184"/>
        <v>93.561978021978007</v>
      </c>
      <c r="AM544" s="53">
        <v>0</v>
      </c>
      <c r="AN544" s="53">
        <f t="shared" si="185"/>
        <v>0</v>
      </c>
      <c r="AO544" s="53">
        <v>0.11454</v>
      </c>
      <c r="AP544" s="53">
        <f t="shared" si="196"/>
        <v>0.51084839999999998</v>
      </c>
      <c r="AQ544" s="53">
        <f t="shared" si="186"/>
        <v>0.33812022437194889</v>
      </c>
      <c r="AR544" s="27" t="s">
        <v>376</v>
      </c>
    </row>
    <row r="545" spans="1:44" ht="15" customHeight="1" x14ac:dyDescent="0.25">
      <c r="A545" s="76">
        <v>544</v>
      </c>
      <c r="B545" s="76">
        <v>2021</v>
      </c>
      <c r="C545" s="77" t="s">
        <v>268</v>
      </c>
      <c r="D545" s="76">
        <v>2</v>
      </c>
      <c r="E545" s="78">
        <v>32</v>
      </c>
      <c r="F545" s="79">
        <v>0.1</v>
      </c>
      <c r="G545" s="75">
        <v>42.5</v>
      </c>
      <c r="H545" s="75">
        <v>18.899999999999999</v>
      </c>
      <c r="I545" s="78">
        <v>366</v>
      </c>
      <c r="J545" s="81">
        <v>0.2414</v>
      </c>
      <c r="K545" s="77" t="s">
        <v>306</v>
      </c>
      <c r="L545" s="77" t="s">
        <v>36</v>
      </c>
      <c r="M545" s="77" t="s">
        <v>289</v>
      </c>
      <c r="N545" s="77">
        <v>25</v>
      </c>
      <c r="O545" s="77">
        <v>180</v>
      </c>
      <c r="P545" s="78"/>
      <c r="Q545" s="81">
        <v>4.5</v>
      </c>
      <c r="R545" s="82"/>
      <c r="S545" s="82">
        <v>8.5483552277343643E-5</v>
      </c>
      <c r="T545" s="82">
        <v>630000000</v>
      </c>
      <c r="U545" s="78">
        <v>2811</v>
      </c>
      <c r="V545" s="82">
        <v>1.7919999999999998E-2</v>
      </c>
      <c r="W545" s="82">
        <v>2.3040000000000001E-2</v>
      </c>
      <c r="X545" s="82">
        <v>0.14899999999999999</v>
      </c>
      <c r="Y545" s="78">
        <v>29.6</v>
      </c>
      <c r="Z545" s="78">
        <v>1075</v>
      </c>
      <c r="AA545" s="78">
        <f t="shared" si="192"/>
        <v>400</v>
      </c>
      <c r="AB545" s="81">
        <f t="shared" si="193"/>
        <v>0.82189116447904176</v>
      </c>
      <c r="AC545" s="81">
        <f t="shared" si="179"/>
        <v>169.49152542372883</v>
      </c>
      <c r="AD545" s="81">
        <v>1000</v>
      </c>
      <c r="AE545" s="81">
        <f t="shared" si="180"/>
        <v>930.23255813953483</v>
      </c>
      <c r="AF545" s="81">
        <f t="shared" si="181"/>
        <v>830.50847457627117</v>
      </c>
      <c r="AG545" s="83">
        <v>1</v>
      </c>
      <c r="AH545" s="83">
        <v>4.9000000000000004</v>
      </c>
      <c r="AI545" s="83">
        <f t="shared" si="182"/>
        <v>0.83050847457627119</v>
      </c>
      <c r="AJ545" s="81">
        <f t="shared" si="183"/>
        <v>262.06830508474576</v>
      </c>
      <c r="AK545" s="81">
        <f t="shared" si="195"/>
        <v>203.15372487189592</v>
      </c>
      <c r="AL545" s="81">
        <f t="shared" si="184"/>
        <v>92.576779661016943</v>
      </c>
      <c r="AM545" s="83">
        <v>0</v>
      </c>
      <c r="AN545" s="83">
        <f t="shared" si="185"/>
        <v>0</v>
      </c>
      <c r="AO545" s="83">
        <v>0.11147</v>
      </c>
      <c r="AP545" s="83">
        <f t="shared" si="196"/>
        <v>0.54620299999999999</v>
      </c>
      <c r="AQ545" s="83">
        <f t="shared" si="186"/>
        <v>0.35325439156436766</v>
      </c>
      <c r="AR545" s="77" t="s">
        <v>376</v>
      </c>
    </row>
    <row r="546" spans="1:44" ht="15" customHeight="1" x14ac:dyDescent="0.25">
      <c r="A546" s="76">
        <v>545</v>
      </c>
      <c r="B546" s="76">
        <v>2021</v>
      </c>
      <c r="C546" s="77" t="s">
        <v>268</v>
      </c>
      <c r="D546" s="76">
        <v>3</v>
      </c>
      <c r="E546" s="78">
        <v>35</v>
      </c>
      <c r="F546" s="79">
        <v>0.1</v>
      </c>
      <c r="G546" s="75">
        <v>42</v>
      </c>
      <c r="H546" s="75">
        <v>19.399999999999999</v>
      </c>
      <c r="I546" s="78">
        <v>390</v>
      </c>
      <c r="J546" s="81">
        <v>0.15040000000000001</v>
      </c>
      <c r="K546" s="77" t="s">
        <v>296</v>
      </c>
      <c r="L546" s="77" t="s">
        <v>36</v>
      </c>
      <c r="M546" s="77" t="s">
        <v>289</v>
      </c>
      <c r="N546" s="77">
        <v>25</v>
      </c>
      <c r="O546" s="77">
        <v>180</v>
      </c>
      <c r="P546" s="78"/>
      <c r="Q546" s="81">
        <v>4.5</v>
      </c>
      <c r="R546" s="82"/>
      <c r="S546" s="82">
        <v>8.4284333207434092E-5</v>
      </c>
      <c r="T546" s="82">
        <v>630000000</v>
      </c>
      <c r="U546" s="78">
        <v>2811</v>
      </c>
      <c r="V546" s="82">
        <v>1.7919999999999998E-2</v>
      </c>
      <c r="W546" s="82">
        <v>2.3040000000000001E-2</v>
      </c>
      <c r="X546" s="82">
        <v>0.14899999999999999</v>
      </c>
      <c r="Y546" s="78">
        <v>29.6</v>
      </c>
      <c r="Z546" s="78">
        <v>1075</v>
      </c>
      <c r="AA546" s="78">
        <f t="shared" si="192"/>
        <v>400</v>
      </c>
      <c r="AB546" s="81">
        <f t="shared" si="193"/>
        <v>0.82189116447904176</v>
      </c>
      <c r="AC546" s="81">
        <f t="shared" si="179"/>
        <v>171.23287671232879</v>
      </c>
      <c r="AD546" s="81">
        <v>1000</v>
      </c>
      <c r="AE546" s="81">
        <f t="shared" si="180"/>
        <v>930.23255813953483</v>
      </c>
      <c r="AF546" s="81">
        <f t="shared" si="181"/>
        <v>828.76712328767121</v>
      </c>
      <c r="AG546" s="83">
        <v>1</v>
      </c>
      <c r="AH546" s="83">
        <v>4.84</v>
      </c>
      <c r="AI546" s="83">
        <f t="shared" si="182"/>
        <v>0.82876712328767121</v>
      </c>
      <c r="AJ546" s="81">
        <f t="shared" si="183"/>
        <v>254.29191780821921</v>
      </c>
      <c r="AK546" s="81">
        <f t="shared" si="195"/>
        <v>197.1255176807901</v>
      </c>
      <c r="AL546" s="81">
        <f t="shared" si="184"/>
        <v>83.059041095890422</v>
      </c>
      <c r="AM546" s="83">
        <v>0</v>
      </c>
      <c r="AN546" s="83">
        <f t="shared" si="185"/>
        <v>0</v>
      </c>
      <c r="AO546" s="83">
        <v>0.10022</v>
      </c>
      <c r="AP546" s="83">
        <f t="shared" si="196"/>
        <v>0.48506480000000002</v>
      </c>
      <c r="AQ546" s="83">
        <f t="shared" si="186"/>
        <v>0.32662871007379612</v>
      </c>
      <c r="AR546" s="77" t="s">
        <v>377</v>
      </c>
    </row>
    <row r="547" spans="1:44" ht="15" customHeight="1" x14ac:dyDescent="0.25">
      <c r="A547" s="76">
        <v>546</v>
      </c>
      <c r="B547" s="76">
        <v>2021</v>
      </c>
      <c r="C547" s="77" t="s">
        <v>268</v>
      </c>
      <c r="D547" s="76">
        <v>4</v>
      </c>
      <c r="E547" s="78">
        <v>33</v>
      </c>
      <c r="F547" s="79">
        <v>0.1</v>
      </c>
      <c r="G547" s="75">
        <v>40</v>
      </c>
      <c r="H547" s="75">
        <v>21.5</v>
      </c>
      <c r="I547" s="78">
        <v>390</v>
      </c>
      <c r="J547" s="81">
        <v>4.6100000000000002E-2</v>
      </c>
      <c r="K547" s="77" t="s">
        <v>306</v>
      </c>
      <c r="L547" s="77" t="s">
        <v>36</v>
      </c>
      <c r="M547" s="77" t="s">
        <v>289</v>
      </c>
      <c r="N547" s="77">
        <v>25</v>
      </c>
      <c r="O547" s="77">
        <v>180</v>
      </c>
      <c r="P547" s="78"/>
      <c r="Q547" s="81">
        <v>4</v>
      </c>
      <c r="R547" s="82"/>
      <c r="S547" s="82">
        <v>7.9617420693944897E-5</v>
      </c>
      <c r="T547" s="82">
        <v>630000000</v>
      </c>
      <c r="U547" s="78">
        <v>2811</v>
      </c>
      <c r="V547" s="82">
        <v>1.7919999999999998E-2</v>
      </c>
      <c r="W547" s="82">
        <v>2.3040000000000001E-2</v>
      </c>
      <c r="X547" s="82">
        <v>0.14899999999999999</v>
      </c>
      <c r="Y547" s="78">
        <v>29.6</v>
      </c>
      <c r="Z547" s="78">
        <v>1075</v>
      </c>
      <c r="AA547" s="78">
        <f t="shared" si="192"/>
        <v>400</v>
      </c>
      <c r="AB547" s="81">
        <f t="shared" si="193"/>
        <v>0.82189116447904176</v>
      </c>
      <c r="AC547" s="81">
        <f t="shared" si="179"/>
        <v>207.46887966804979</v>
      </c>
      <c r="AD547" s="81">
        <v>1000</v>
      </c>
      <c r="AE547" s="81">
        <f t="shared" si="180"/>
        <v>930.23255813953483</v>
      </c>
      <c r="AF547" s="81">
        <f t="shared" si="181"/>
        <v>792.53112033195021</v>
      </c>
      <c r="AG547" s="83">
        <v>1</v>
      </c>
      <c r="AH547" s="83">
        <v>3.82</v>
      </c>
      <c r="AI547" s="83">
        <f t="shared" si="182"/>
        <v>0.79253112033195017</v>
      </c>
      <c r="AJ547" s="81">
        <f t="shared" si="183"/>
        <v>303.91991701244814</v>
      </c>
      <c r="AK547" s="81">
        <f t="shared" si="195"/>
        <v>235.59683489337067</v>
      </c>
      <c r="AL547" s="81">
        <f t="shared" si="184"/>
        <v>96.45103734439833</v>
      </c>
      <c r="AM547" s="83">
        <v>0</v>
      </c>
      <c r="AN547" s="83">
        <f t="shared" si="185"/>
        <v>0</v>
      </c>
      <c r="AO547" s="83">
        <v>0.1217</v>
      </c>
      <c r="AP547" s="83">
        <f t="shared" si="196"/>
        <v>0.46489399999999997</v>
      </c>
      <c r="AQ547" s="83">
        <f t="shared" si="186"/>
        <v>0.31735675072735636</v>
      </c>
      <c r="AR547" s="77" t="s">
        <v>377</v>
      </c>
    </row>
    <row r="548" spans="1:44" ht="15" customHeight="1" x14ac:dyDescent="0.25">
      <c r="A548" s="76">
        <v>547</v>
      </c>
      <c r="B548" s="76">
        <v>2021</v>
      </c>
      <c r="C548" s="77" t="s">
        <v>268</v>
      </c>
      <c r="D548" s="76">
        <v>5</v>
      </c>
      <c r="E548" s="78">
        <v>25</v>
      </c>
      <c r="F548" s="79">
        <v>0.1</v>
      </c>
      <c r="G548" s="75">
        <v>49.5</v>
      </c>
      <c r="H548" s="75">
        <v>13.2</v>
      </c>
      <c r="I548" s="78">
        <v>243</v>
      </c>
      <c r="J548" s="81">
        <v>0.7137</v>
      </c>
      <c r="K548" s="77" t="s">
        <v>296</v>
      </c>
      <c r="L548" s="77" t="s">
        <v>36</v>
      </c>
      <c r="M548" s="77" t="s">
        <v>289</v>
      </c>
      <c r="N548" s="77">
        <v>25</v>
      </c>
      <c r="O548" s="77">
        <v>180</v>
      </c>
      <c r="P548" s="78"/>
      <c r="Q548" s="81">
        <v>6</v>
      </c>
      <c r="R548" s="82"/>
      <c r="S548" s="82">
        <v>1.0370167212614845E-4</v>
      </c>
      <c r="T548" s="82">
        <v>630000000</v>
      </c>
      <c r="U548" s="78">
        <v>2811</v>
      </c>
      <c r="V548" s="82">
        <v>1.7919999999999998E-2</v>
      </c>
      <c r="W548" s="82">
        <v>2.3040000000000001E-2</v>
      </c>
      <c r="X548" s="82">
        <v>0.14899999999999999</v>
      </c>
      <c r="Y548" s="78">
        <v>29.6</v>
      </c>
      <c r="Z548" s="78">
        <v>1075</v>
      </c>
      <c r="AA548" s="78">
        <f t="shared" si="192"/>
        <v>400</v>
      </c>
      <c r="AB548" s="81">
        <f t="shared" si="193"/>
        <v>0.82189116447904176</v>
      </c>
      <c r="AC548" s="81">
        <f t="shared" si="179"/>
        <v>197.23865877712035</v>
      </c>
      <c r="AD548" s="81">
        <v>1000</v>
      </c>
      <c r="AE548" s="81">
        <f t="shared" si="180"/>
        <v>930.23255813953483</v>
      </c>
      <c r="AF548" s="81">
        <f t="shared" si="181"/>
        <v>802.76134122287965</v>
      </c>
      <c r="AG548" s="83">
        <v>1</v>
      </c>
      <c r="AH548" s="83">
        <v>4.07</v>
      </c>
      <c r="AI548" s="83">
        <f t="shared" si="182"/>
        <v>0.80276134122287968</v>
      </c>
      <c r="AJ548" s="81">
        <f t="shared" si="183"/>
        <v>250.31723865877717</v>
      </c>
      <c r="AK548" s="81">
        <f t="shared" si="195"/>
        <v>194.04437105331561</v>
      </c>
      <c r="AL548" s="81">
        <f t="shared" si="184"/>
        <v>53.078579881656829</v>
      </c>
      <c r="AM548" s="83">
        <v>0</v>
      </c>
      <c r="AN548" s="83">
        <f t="shared" si="185"/>
        <v>0</v>
      </c>
      <c r="AO548" s="83">
        <v>6.6119999999999998E-2</v>
      </c>
      <c r="AP548" s="83">
        <f t="shared" si="196"/>
        <v>0.26910840000000003</v>
      </c>
      <c r="AQ548" s="83">
        <f t="shared" si="186"/>
        <v>0.21204524373174116</v>
      </c>
      <c r="AR548" s="77" t="s">
        <v>376</v>
      </c>
    </row>
    <row r="549" spans="1:44" ht="15" customHeight="1" x14ac:dyDescent="0.25">
      <c r="A549" s="76">
        <v>548</v>
      </c>
      <c r="B549" s="76">
        <v>2021</v>
      </c>
      <c r="C549" s="77" t="s">
        <v>268</v>
      </c>
      <c r="D549" s="76">
        <v>6</v>
      </c>
      <c r="E549" s="78">
        <v>22</v>
      </c>
      <c r="F549" s="79">
        <v>0.1</v>
      </c>
      <c r="G549" s="75">
        <v>47</v>
      </c>
      <c r="H549" s="75">
        <v>15</v>
      </c>
      <c r="I549" s="78">
        <v>390</v>
      </c>
      <c r="J549" s="81">
        <v>1.5347999999999999</v>
      </c>
      <c r="K549" s="77" t="s">
        <v>306</v>
      </c>
      <c r="L549" s="77" t="s">
        <v>36</v>
      </c>
      <c r="M549" s="77" t="s">
        <v>289</v>
      </c>
      <c r="N549" s="77">
        <v>25</v>
      </c>
      <c r="O549" s="77">
        <v>180</v>
      </c>
      <c r="P549" s="78"/>
      <c r="Q549" s="81">
        <v>6.5</v>
      </c>
      <c r="R549" s="82"/>
      <c r="S549" s="82">
        <v>9.6881646162773159E-5</v>
      </c>
      <c r="T549" s="82">
        <v>630000000</v>
      </c>
      <c r="U549" s="78">
        <v>2811</v>
      </c>
      <c r="V549" s="82">
        <v>1.7919999999999998E-2</v>
      </c>
      <c r="W549" s="82">
        <v>2.3040000000000001E-2</v>
      </c>
      <c r="X549" s="82">
        <v>0.14899999999999999</v>
      </c>
      <c r="Y549" s="78">
        <v>29.6</v>
      </c>
      <c r="Z549" s="78">
        <v>1075</v>
      </c>
      <c r="AA549" s="78">
        <f t="shared" si="192"/>
        <v>400</v>
      </c>
      <c r="AB549" s="81">
        <f t="shared" si="193"/>
        <v>0.82189116447904176</v>
      </c>
      <c r="AC549" s="81">
        <f t="shared" si="179"/>
        <v>191.20458891013379</v>
      </c>
      <c r="AD549" s="81">
        <v>1000</v>
      </c>
      <c r="AE549" s="81">
        <f t="shared" si="180"/>
        <v>930.23255813953483</v>
      </c>
      <c r="AF549" s="81">
        <f t="shared" si="181"/>
        <v>808.79541108986621</v>
      </c>
      <c r="AG549" s="83">
        <v>1</v>
      </c>
      <c r="AH549" s="83">
        <v>4.2300000000000004</v>
      </c>
      <c r="AI549" s="83">
        <f t="shared" si="182"/>
        <v>0.80879541108986619</v>
      </c>
      <c r="AJ549" s="81">
        <f t="shared" si="183"/>
        <v>258.6743021032504</v>
      </c>
      <c r="AK549" s="81">
        <f t="shared" si="195"/>
        <v>200.52271480872125</v>
      </c>
      <c r="AL549" s="81">
        <f t="shared" si="184"/>
        <v>67.469713193116618</v>
      </c>
      <c r="AM549" s="83">
        <v>0</v>
      </c>
      <c r="AN549" s="83">
        <f t="shared" si="185"/>
        <v>0</v>
      </c>
      <c r="AO549" s="83">
        <v>8.3419999999999994E-2</v>
      </c>
      <c r="AP549" s="83">
        <f t="shared" si="196"/>
        <v>0.35286660000000003</v>
      </c>
      <c r="AQ549" s="83">
        <f t="shared" si="186"/>
        <v>0.26082882081647962</v>
      </c>
      <c r="AR549" s="77" t="s">
        <v>376</v>
      </c>
    </row>
    <row r="550" spans="1:44" ht="15" customHeight="1" x14ac:dyDescent="0.25">
      <c r="A550" s="76">
        <v>549</v>
      </c>
      <c r="B550" s="76">
        <v>2021</v>
      </c>
      <c r="C550" s="77" t="s">
        <v>268</v>
      </c>
      <c r="D550" s="76">
        <v>7</v>
      </c>
      <c r="E550" s="78">
        <v>34</v>
      </c>
      <c r="F550" s="79">
        <v>0.1</v>
      </c>
      <c r="G550" s="75">
        <v>48.5</v>
      </c>
      <c r="H550" s="75">
        <v>13.9</v>
      </c>
      <c r="I550" s="78">
        <v>390</v>
      </c>
      <c r="J550" s="81">
        <v>2.2069000000000001</v>
      </c>
      <c r="K550" s="77" t="s">
        <v>296</v>
      </c>
      <c r="L550" s="77" t="s">
        <v>36</v>
      </c>
      <c r="M550" s="77" t="s">
        <v>289</v>
      </c>
      <c r="N550" s="77">
        <v>25</v>
      </c>
      <c r="O550" s="77">
        <v>180</v>
      </c>
      <c r="P550" s="78"/>
      <c r="Q550" s="81">
        <v>5</v>
      </c>
      <c r="R550" s="82"/>
      <c r="S550" s="82">
        <v>1.0093067294945004E-4</v>
      </c>
      <c r="T550" s="82">
        <v>630000000</v>
      </c>
      <c r="U550" s="78">
        <v>2811</v>
      </c>
      <c r="V550" s="82">
        <v>1.7919999999999998E-2</v>
      </c>
      <c r="W550" s="82">
        <v>2.3040000000000001E-2</v>
      </c>
      <c r="X550" s="82">
        <v>0.14899999999999999</v>
      </c>
      <c r="Y550" s="78">
        <v>29.6</v>
      </c>
      <c r="Z550" s="78">
        <v>1075</v>
      </c>
      <c r="AA550" s="78">
        <f t="shared" si="192"/>
        <v>400</v>
      </c>
      <c r="AB550" s="81">
        <f t="shared" si="193"/>
        <v>0.82189116447904176</v>
      </c>
      <c r="AC550" s="81">
        <f t="shared" ref="AC550:AC559" si="197">AD550-AF550</f>
        <v>189.75332068311207</v>
      </c>
      <c r="AD550" s="81">
        <v>1000</v>
      </c>
      <c r="AE550" s="81">
        <f t="shared" ref="AE550:AE559" si="198">AD550/Z550*1000</f>
        <v>930.23255813953483</v>
      </c>
      <c r="AF550" s="81">
        <f t="shared" ref="AF550:AF559" si="199">AD550*AI550</f>
        <v>810.24667931688793</v>
      </c>
      <c r="AG550" s="83">
        <v>1</v>
      </c>
      <c r="AH550" s="83">
        <v>4.2699999999999996</v>
      </c>
      <c r="AI550" s="83">
        <f t="shared" ref="AI550:AI559" si="200">AH550/(AH550+1)</f>
        <v>0.81024667931688799</v>
      </c>
      <c r="AJ550" s="81">
        <f t="shared" ref="AJ550:AJ559" si="201">AC550/(1-AQ550)</f>
        <v>246.62453510436447</v>
      </c>
      <c r="AK550" s="81">
        <f t="shared" si="195"/>
        <v>191.18181015842205</v>
      </c>
      <c r="AL550" s="81">
        <f t="shared" ref="AL550:AL559" si="202">AJ550*AQ550</f>
        <v>56.871214421252397</v>
      </c>
      <c r="AM550" s="83">
        <v>0</v>
      </c>
      <c r="AN550" s="83">
        <f t="shared" ref="AN550:AN559" si="203">AM550/(AM550+1)</f>
        <v>0</v>
      </c>
      <c r="AO550" s="83">
        <v>7.0190000000000002E-2</v>
      </c>
      <c r="AP550" s="83">
        <f t="shared" si="196"/>
        <v>0.29971129999999996</v>
      </c>
      <c r="AQ550" s="83">
        <f t="shared" ref="AQ550:AQ559" si="204">AP550/(AP550+1)</f>
        <v>0.23059836442139109</v>
      </c>
      <c r="AR550" s="77" t="s">
        <v>377</v>
      </c>
    </row>
    <row r="551" spans="1:44" s="10" customFormat="1" ht="15" customHeight="1" x14ac:dyDescent="0.25">
      <c r="A551" s="1">
        <v>550</v>
      </c>
      <c r="B551" s="1">
        <v>2021</v>
      </c>
      <c r="C551" s="28" t="s">
        <v>268</v>
      </c>
      <c r="D551" s="1">
        <v>8</v>
      </c>
      <c r="E551" s="8">
        <v>38</v>
      </c>
      <c r="F551" s="31">
        <v>0.1</v>
      </c>
      <c r="G551" s="59">
        <v>48</v>
      </c>
      <c r="H551" s="59">
        <v>14.2</v>
      </c>
      <c r="I551" s="8">
        <v>390</v>
      </c>
      <c r="J551" s="51">
        <v>1.0443</v>
      </c>
      <c r="K551" s="28" t="s">
        <v>306</v>
      </c>
      <c r="L551" s="28" t="s">
        <v>36</v>
      </c>
      <c r="M551" s="28" t="s">
        <v>289</v>
      </c>
      <c r="N551" s="28">
        <v>25</v>
      </c>
      <c r="O551" s="28">
        <v>180</v>
      </c>
      <c r="P551" s="8"/>
      <c r="Q551" s="51">
        <v>5</v>
      </c>
      <c r="R551" s="9"/>
      <c r="S551" s="9">
        <v>9.9566766824938998E-5</v>
      </c>
      <c r="T551" s="9">
        <v>630000000</v>
      </c>
      <c r="U551" s="8">
        <v>2811</v>
      </c>
      <c r="V551" s="9">
        <v>1.7919999999999998E-2</v>
      </c>
      <c r="W551" s="9">
        <v>2.3040000000000001E-2</v>
      </c>
      <c r="X551" s="9">
        <v>0.14899999999999999</v>
      </c>
      <c r="Y551" s="8">
        <v>29.6</v>
      </c>
      <c r="Z551" s="8">
        <v>1075</v>
      </c>
      <c r="AA551" s="8">
        <f t="shared" si="192"/>
        <v>400</v>
      </c>
      <c r="AB551" s="51">
        <f t="shared" si="193"/>
        <v>0.82189116447904176</v>
      </c>
      <c r="AC551" s="51">
        <f t="shared" si="197"/>
        <v>196.85039370078744</v>
      </c>
      <c r="AD551" s="51">
        <v>1000</v>
      </c>
      <c r="AE551" s="51">
        <f t="shared" si="198"/>
        <v>930.23255813953483</v>
      </c>
      <c r="AF551" s="51">
        <f t="shared" si="199"/>
        <v>803.14960629921256</v>
      </c>
      <c r="AG551" s="52">
        <v>1</v>
      </c>
      <c r="AH551" s="52">
        <v>4.08</v>
      </c>
      <c r="AI551" s="52">
        <f t="shared" si="200"/>
        <v>0.80314960629921262</v>
      </c>
      <c r="AJ551" s="51">
        <f t="shared" si="201"/>
        <v>256.49228346456698</v>
      </c>
      <c r="AK551" s="51">
        <f t="shared" si="195"/>
        <v>198.83122749191239</v>
      </c>
      <c r="AL551" s="51">
        <f t="shared" si="202"/>
        <v>59.641889763779545</v>
      </c>
      <c r="AM551" s="52">
        <v>0</v>
      </c>
      <c r="AN551" s="52">
        <f t="shared" si="203"/>
        <v>0</v>
      </c>
      <c r="AO551" s="52">
        <v>7.4260000000000007E-2</v>
      </c>
      <c r="AP551" s="52">
        <f t="shared" si="196"/>
        <v>0.30298080000000005</v>
      </c>
      <c r="AQ551" s="52">
        <f t="shared" si="204"/>
        <v>0.2325289827754945</v>
      </c>
      <c r="AR551" s="28" t="s">
        <v>377</v>
      </c>
    </row>
    <row r="552" spans="1:44" s="12" customFormat="1" ht="15" hidden="1" customHeight="1" x14ac:dyDescent="0.25">
      <c r="A552" s="3">
        <v>551</v>
      </c>
      <c r="B552" s="3">
        <v>2021</v>
      </c>
      <c r="C552" s="27" t="s">
        <v>269</v>
      </c>
      <c r="D552" s="3">
        <v>1</v>
      </c>
      <c r="E552" s="11">
        <v>15</v>
      </c>
      <c r="F552" s="79">
        <v>0.01</v>
      </c>
      <c r="G552" s="45">
        <v>24</v>
      </c>
      <c r="H552" s="45">
        <v>0</v>
      </c>
      <c r="I552" s="11">
        <v>912</v>
      </c>
      <c r="J552" s="47">
        <v>5.5098000000000003</v>
      </c>
      <c r="K552" s="27" t="s">
        <v>306</v>
      </c>
      <c r="L552" s="27" t="s">
        <v>305</v>
      </c>
      <c r="M552" s="27" t="s">
        <v>34</v>
      </c>
      <c r="N552" s="27" t="s">
        <v>34</v>
      </c>
      <c r="O552" s="27" t="s">
        <v>34</v>
      </c>
      <c r="P552" s="11"/>
      <c r="Q552" s="47">
        <v>9</v>
      </c>
      <c r="R552" s="4"/>
      <c r="S552" s="4">
        <v>6.8423785781673304E-6</v>
      </c>
      <c r="T552" s="4">
        <v>220000000</v>
      </c>
      <c r="U552" s="11">
        <v>3084</v>
      </c>
      <c r="V552" s="4">
        <v>1.7919999999999998E-2</v>
      </c>
      <c r="W552" s="4">
        <v>2.3040000000000001E-2</v>
      </c>
      <c r="X552" s="4">
        <v>0.249</v>
      </c>
      <c r="Y552" s="11">
        <v>29.6</v>
      </c>
      <c r="Z552" s="11">
        <v>1075</v>
      </c>
      <c r="AA552" s="11">
        <f t="shared" si="192"/>
        <v>400</v>
      </c>
      <c r="AB552" s="47">
        <f t="shared" si="193"/>
        <v>0.82189116447904176</v>
      </c>
      <c r="AC552" s="47">
        <f t="shared" si="197"/>
        <v>222.22000000000003</v>
      </c>
      <c r="AD552" s="47">
        <v>1000</v>
      </c>
      <c r="AE552" s="47">
        <f t="shared" si="198"/>
        <v>930.23255813953483</v>
      </c>
      <c r="AF552" s="47">
        <f t="shared" si="199"/>
        <v>777.78</v>
      </c>
      <c r="AG552" s="53">
        <v>1</v>
      </c>
      <c r="AH552" s="53">
        <f>77.778/22.222</f>
        <v>3.5000450004500046</v>
      </c>
      <c r="AI552" s="53">
        <f t="shared" si="200"/>
        <v>0.77778000000000003</v>
      </c>
      <c r="AJ552" s="47">
        <f t="shared" si="201"/>
        <v>245.90018811552511</v>
      </c>
      <c r="AK552" s="47">
        <f t="shared" si="195"/>
        <v>190.62030086474815</v>
      </c>
      <c r="AL552" s="47">
        <f t="shared" si="202"/>
        <v>23.680188115525066</v>
      </c>
      <c r="AM552" s="53">
        <v>0</v>
      </c>
      <c r="AN552" s="53">
        <f t="shared" si="203"/>
        <v>0</v>
      </c>
      <c r="AO552" s="53">
        <f t="shared" ref="AO552:AO559" si="205">AP552/AH552</f>
        <v>3.0445869160334624E-2</v>
      </c>
      <c r="AP552" s="53">
        <f>9.63/90.37</f>
        <v>0.10656191213898418</v>
      </c>
      <c r="AQ552" s="53">
        <f t="shared" si="204"/>
        <v>9.6299999999999997E-2</v>
      </c>
      <c r="AR552" s="27" t="s">
        <v>34</v>
      </c>
    </row>
    <row r="553" spans="1:44" ht="15" customHeight="1" x14ac:dyDescent="0.25">
      <c r="A553" s="76">
        <v>552</v>
      </c>
      <c r="B553" s="76">
        <v>2021</v>
      </c>
      <c r="C553" s="77" t="s">
        <v>269</v>
      </c>
      <c r="D553" s="76">
        <v>2</v>
      </c>
      <c r="E553" s="78">
        <v>14</v>
      </c>
      <c r="F553" s="79">
        <v>0.2</v>
      </c>
      <c r="G553" s="80">
        <v>24</v>
      </c>
      <c r="H553" s="80">
        <v>0</v>
      </c>
      <c r="I553" s="78">
        <v>432</v>
      </c>
      <c r="J553" s="81">
        <v>1.0929</v>
      </c>
      <c r="K553" s="77" t="s">
        <v>306</v>
      </c>
      <c r="L553" s="77" t="s">
        <v>36</v>
      </c>
      <c r="M553" s="77" t="s">
        <v>289</v>
      </c>
      <c r="N553" s="77">
        <v>25</v>
      </c>
      <c r="O553" s="77">
        <v>180</v>
      </c>
      <c r="P553" s="78"/>
      <c r="Q553" s="81">
        <v>22</v>
      </c>
      <c r="R553" s="82"/>
      <c r="S553" s="82">
        <v>6.8423785781673304E-6</v>
      </c>
      <c r="T553" s="82">
        <v>220000000</v>
      </c>
      <c r="U553" s="78">
        <v>3084</v>
      </c>
      <c r="V553" s="82">
        <v>1.7919999999999998E-2</v>
      </c>
      <c r="W553" s="82">
        <v>2.3040000000000001E-2</v>
      </c>
      <c r="X553" s="82">
        <v>0.249</v>
      </c>
      <c r="Y553" s="78">
        <v>29.6</v>
      </c>
      <c r="Z553" s="78">
        <v>1075</v>
      </c>
      <c r="AA553" s="78">
        <f t="shared" si="192"/>
        <v>400</v>
      </c>
      <c r="AB553" s="81">
        <f t="shared" si="193"/>
        <v>0.82189116447904176</v>
      </c>
      <c r="AC553" s="81">
        <f t="shared" si="197"/>
        <v>222.22000000000003</v>
      </c>
      <c r="AD553" s="81">
        <v>1000</v>
      </c>
      <c r="AE553" s="81">
        <f t="shared" si="198"/>
        <v>930.23255813953483</v>
      </c>
      <c r="AF553" s="81">
        <f t="shared" si="199"/>
        <v>777.78</v>
      </c>
      <c r="AG553" s="83">
        <v>1</v>
      </c>
      <c r="AH553" s="83">
        <f>77.778/22.222</f>
        <v>3.5000450004500046</v>
      </c>
      <c r="AI553" s="83">
        <f t="shared" si="200"/>
        <v>0.77778000000000003</v>
      </c>
      <c r="AJ553" s="81">
        <f t="shared" si="201"/>
        <v>251.3943096328978</v>
      </c>
      <c r="AK553" s="81">
        <f t="shared" si="195"/>
        <v>194.87930979294404</v>
      </c>
      <c r="AL553" s="81">
        <f t="shared" si="202"/>
        <v>29.174309632897792</v>
      </c>
      <c r="AM553" s="83">
        <v>0</v>
      </c>
      <c r="AN553" s="83">
        <f t="shared" si="203"/>
        <v>0</v>
      </c>
      <c r="AO553" s="83">
        <f t="shared" si="205"/>
        <v>3.7509719500241442E-2</v>
      </c>
      <c r="AP553" s="83">
        <f>11.605/88.395</f>
        <v>0.1312857062051021</v>
      </c>
      <c r="AQ553" s="83">
        <f t="shared" si="204"/>
        <v>0.11605000000000001</v>
      </c>
      <c r="AR553" s="77" t="s">
        <v>378</v>
      </c>
    </row>
    <row r="554" spans="1:44" ht="15" hidden="1" customHeight="1" x14ac:dyDescent="0.25">
      <c r="A554" s="76">
        <v>553</v>
      </c>
      <c r="B554" s="76">
        <v>2021</v>
      </c>
      <c r="C554" s="77" t="s">
        <v>269</v>
      </c>
      <c r="D554" s="76">
        <v>3</v>
      </c>
      <c r="E554" s="78">
        <v>11</v>
      </c>
      <c r="F554" s="79">
        <v>0.01</v>
      </c>
      <c r="G554" s="80">
        <v>24</v>
      </c>
      <c r="H554" s="80">
        <v>0</v>
      </c>
      <c r="I554" s="78">
        <v>480</v>
      </c>
      <c r="J554" s="81">
        <v>1.5183</v>
      </c>
      <c r="K554" s="77" t="s">
        <v>306</v>
      </c>
      <c r="L554" s="77" t="s">
        <v>305</v>
      </c>
      <c r="M554" s="77" t="s">
        <v>34</v>
      </c>
      <c r="N554" s="77" t="s">
        <v>34</v>
      </c>
      <c r="O554" s="77" t="s">
        <v>34</v>
      </c>
      <c r="P554" s="78"/>
      <c r="Q554" s="81">
        <v>18</v>
      </c>
      <c r="R554" s="82"/>
      <c r="S554" s="82">
        <v>6.8423785781673304E-6</v>
      </c>
      <c r="T554" s="82">
        <v>220000000</v>
      </c>
      <c r="U554" s="78">
        <v>3084</v>
      </c>
      <c r="V554" s="82">
        <v>1.7919999999999998E-2</v>
      </c>
      <c r="W554" s="82">
        <v>2.3040000000000001E-2</v>
      </c>
      <c r="X554" s="82">
        <v>0.249</v>
      </c>
      <c r="Y554" s="78">
        <v>29.6</v>
      </c>
      <c r="Z554" s="78">
        <v>1075</v>
      </c>
      <c r="AA554" s="78">
        <f t="shared" ref="AA554:AA559" si="206">AD554/2.5</f>
        <v>400</v>
      </c>
      <c r="AB554" s="81">
        <f t="shared" ref="AB554:AB559" si="207">POWER(3/(4*PI())*AE554/AA554,1/3)</f>
        <v>0.82189116447904176</v>
      </c>
      <c r="AC554" s="81">
        <f t="shared" si="197"/>
        <v>222.22000000000003</v>
      </c>
      <c r="AD554" s="81">
        <v>1000</v>
      </c>
      <c r="AE554" s="81">
        <f t="shared" si="198"/>
        <v>930.23255813953483</v>
      </c>
      <c r="AF554" s="81">
        <f t="shared" si="199"/>
        <v>777.78</v>
      </c>
      <c r="AG554" s="83">
        <v>1</v>
      </c>
      <c r="AH554" s="83">
        <f>77.778/22.222</f>
        <v>3.5000450004500046</v>
      </c>
      <c r="AI554" s="83">
        <f t="shared" si="200"/>
        <v>0.77778000000000003</v>
      </c>
      <c r="AJ554" s="81">
        <f t="shared" si="201"/>
        <v>241.93267430213825</v>
      </c>
      <c r="AK554" s="81">
        <f t="shared" si="195"/>
        <v>187.54470876134749</v>
      </c>
      <c r="AL554" s="81">
        <f t="shared" si="202"/>
        <v>19.712674302138222</v>
      </c>
      <c r="AM554" s="83">
        <v>0</v>
      </c>
      <c r="AN554" s="83">
        <f t="shared" si="203"/>
        <v>0</v>
      </c>
      <c r="AO554" s="83">
        <f t="shared" si="205"/>
        <v>2.5344794546193292E-2</v>
      </c>
      <c r="AP554" s="83">
        <f>8.148/91.852</f>
        <v>8.8707921438836379E-2</v>
      </c>
      <c r="AQ554" s="83">
        <f t="shared" si="204"/>
        <v>8.1479999999999983E-2</v>
      </c>
      <c r="AR554" s="77" t="s">
        <v>34</v>
      </c>
    </row>
    <row r="555" spans="1:44" ht="15" customHeight="1" x14ac:dyDescent="0.25">
      <c r="A555" s="76">
        <v>554</v>
      </c>
      <c r="B555" s="76">
        <v>2021</v>
      </c>
      <c r="C555" s="77" t="s">
        <v>269</v>
      </c>
      <c r="D555" s="76">
        <v>4</v>
      </c>
      <c r="E555" s="78">
        <v>9</v>
      </c>
      <c r="F555" s="79">
        <v>0.2</v>
      </c>
      <c r="G555" s="80">
        <v>24</v>
      </c>
      <c r="H555" s="80">
        <v>0</v>
      </c>
      <c r="I555" s="78">
        <v>240</v>
      </c>
      <c r="J555" s="81">
        <v>2.7989000000000002</v>
      </c>
      <c r="K555" s="77" t="s">
        <v>306</v>
      </c>
      <c r="L555" s="77" t="s">
        <v>36</v>
      </c>
      <c r="M555" s="77" t="s">
        <v>289</v>
      </c>
      <c r="N555" s="77">
        <v>25</v>
      </c>
      <c r="O555" s="77">
        <v>180</v>
      </c>
      <c r="P555" s="78"/>
      <c r="Q555" s="81">
        <v>39</v>
      </c>
      <c r="R555" s="82"/>
      <c r="S555" s="82">
        <v>6.8423785781673304E-6</v>
      </c>
      <c r="T555" s="82">
        <v>220000000</v>
      </c>
      <c r="U555" s="78">
        <v>3084</v>
      </c>
      <c r="V555" s="82">
        <v>1.7919999999999998E-2</v>
      </c>
      <c r="W555" s="82">
        <v>2.3040000000000001E-2</v>
      </c>
      <c r="X555" s="82">
        <v>0.249</v>
      </c>
      <c r="Y555" s="78">
        <v>29.6</v>
      </c>
      <c r="Z555" s="78">
        <v>1075</v>
      </c>
      <c r="AA555" s="78">
        <f t="shared" si="206"/>
        <v>400</v>
      </c>
      <c r="AB555" s="81">
        <f t="shared" si="207"/>
        <v>0.82189116447904176</v>
      </c>
      <c r="AC555" s="81">
        <f t="shared" si="197"/>
        <v>222.22000000000003</v>
      </c>
      <c r="AD555" s="81">
        <v>1000</v>
      </c>
      <c r="AE555" s="81">
        <f t="shared" si="198"/>
        <v>930.23255813953483</v>
      </c>
      <c r="AF555" s="81">
        <f t="shared" si="199"/>
        <v>777.78</v>
      </c>
      <c r="AG555" s="83">
        <v>1</v>
      </c>
      <c r="AH555" s="83">
        <f>77.778/22.222</f>
        <v>3.5000450004500046</v>
      </c>
      <c r="AI555" s="83">
        <f t="shared" si="200"/>
        <v>0.77778000000000003</v>
      </c>
      <c r="AJ555" s="81">
        <f t="shared" si="201"/>
        <v>243.32610647570246</v>
      </c>
      <c r="AK555" s="81">
        <f t="shared" si="195"/>
        <v>188.62488874085463</v>
      </c>
      <c r="AL555" s="81">
        <f t="shared" si="202"/>
        <v>21.106106475702429</v>
      </c>
      <c r="AM555" s="83">
        <v>0</v>
      </c>
      <c r="AN555" s="83">
        <f t="shared" si="203"/>
        <v>0</v>
      </c>
      <c r="AO555" s="83">
        <f t="shared" si="205"/>
        <v>2.7136345079202893E-2</v>
      </c>
      <c r="AP555" s="83">
        <f>8.674/91.326</f>
        <v>9.4978428924950176E-2</v>
      </c>
      <c r="AQ555" s="83">
        <f t="shared" si="204"/>
        <v>8.6739999999999998E-2</v>
      </c>
      <c r="AR555" s="77" t="s">
        <v>378</v>
      </c>
    </row>
    <row r="556" spans="1:44" ht="15" hidden="1" customHeight="1" x14ac:dyDescent="0.25">
      <c r="A556" s="76">
        <v>555</v>
      </c>
      <c r="B556" s="76">
        <v>2021</v>
      </c>
      <c r="C556" s="77" t="s">
        <v>269</v>
      </c>
      <c r="D556" s="76">
        <v>5</v>
      </c>
      <c r="E556" s="78">
        <v>14</v>
      </c>
      <c r="F556" s="79">
        <v>0.01</v>
      </c>
      <c r="G556" s="80">
        <v>24</v>
      </c>
      <c r="H556" s="80">
        <v>0</v>
      </c>
      <c r="I556" s="78">
        <v>1032</v>
      </c>
      <c r="J556" s="81">
        <v>0.5827</v>
      </c>
      <c r="K556" s="77" t="s">
        <v>303</v>
      </c>
      <c r="L556" s="77" t="s">
        <v>305</v>
      </c>
      <c r="M556" s="77" t="s">
        <v>34</v>
      </c>
      <c r="N556" s="77" t="s">
        <v>34</v>
      </c>
      <c r="O556" s="77" t="s">
        <v>34</v>
      </c>
      <c r="P556" s="78"/>
      <c r="Q556" s="81">
        <v>5</v>
      </c>
      <c r="R556" s="82"/>
      <c r="S556" s="82">
        <v>6.8423785781673304E-6</v>
      </c>
      <c r="T556" s="82">
        <v>220000000</v>
      </c>
      <c r="U556" s="78">
        <v>3084</v>
      </c>
      <c r="V556" s="82">
        <v>1.7919999999999998E-2</v>
      </c>
      <c r="W556" s="82">
        <v>2.3040000000000001E-2</v>
      </c>
      <c r="X556" s="82">
        <v>0.249</v>
      </c>
      <c r="Y556" s="78">
        <v>29.6</v>
      </c>
      <c r="Z556" s="78">
        <v>1075</v>
      </c>
      <c r="AA556" s="78">
        <f t="shared" si="206"/>
        <v>400</v>
      </c>
      <c r="AB556" s="81">
        <f t="shared" si="207"/>
        <v>0.82189116447904176</v>
      </c>
      <c r="AC556" s="81">
        <f t="shared" si="197"/>
        <v>192.94000000000005</v>
      </c>
      <c r="AD556" s="81">
        <v>1000</v>
      </c>
      <c r="AE556" s="81">
        <f t="shared" si="198"/>
        <v>930.23255813953483</v>
      </c>
      <c r="AF556" s="81">
        <f t="shared" si="199"/>
        <v>807.06</v>
      </c>
      <c r="AG556" s="83">
        <v>1</v>
      </c>
      <c r="AH556" s="83">
        <f>80.706/19.294</f>
        <v>4.1829584326733702</v>
      </c>
      <c r="AI556" s="83">
        <f t="shared" si="200"/>
        <v>0.80706</v>
      </c>
      <c r="AJ556" s="81">
        <f t="shared" si="201"/>
        <v>217.15983657298509</v>
      </c>
      <c r="AK556" s="81">
        <f t="shared" si="195"/>
        <v>168.34095858370938</v>
      </c>
      <c r="AL556" s="81">
        <f t="shared" si="202"/>
        <v>24.219836572985031</v>
      </c>
      <c r="AM556" s="83">
        <v>0</v>
      </c>
      <c r="AN556" s="83">
        <f t="shared" si="203"/>
        <v>0</v>
      </c>
      <c r="AO556" s="83">
        <f t="shared" si="205"/>
        <v>3.0009957838308204E-2</v>
      </c>
      <c r="AP556" s="83">
        <f>11.153/88.847</f>
        <v>0.12553040620392361</v>
      </c>
      <c r="AQ556" s="83">
        <f t="shared" si="204"/>
        <v>0.11153000000000002</v>
      </c>
      <c r="AR556" s="77" t="s">
        <v>34</v>
      </c>
    </row>
    <row r="557" spans="1:44" ht="15" customHeight="1" x14ac:dyDescent="0.25">
      <c r="A557" s="76">
        <v>556</v>
      </c>
      <c r="B557" s="76">
        <v>2021</v>
      </c>
      <c r="C557" s="77" t="s">
        <v>269</v>
      </c>
      <c r="D557" s="76">
        <v>6</v>
      </c>
      <c r="E557" s="78">
        <v>13</v>
      </c>
      <c r="F557" s="79">
        <v>0.2</v>
      </c>
      <c r="G557" s="80">
        <v>24</v>
      </c>
      <c r="H557" s="80">
        <v>0</v>
      </c>
      <c r="I557" s="78">
        <v>336</v>
      </c>
      <c r="J557" s="81">
        <v>2.1819999999999999</v>
      </c>
      <c r="K557" s="77" t="s">
        <v>303</v>
      </c>
      <c r="L557" s="77" t="s">
        <v>36</v>
      </c>
      <c r="M557" s="77" t="s">
        <v>289</v>
      </c>
      <c r="N557" s="77">
        <v>25</v>
      </c>
      <c r="O557" s="77">
        <v>180</v>
      </c>
      <c r="P557" s="78"/>
      <c r="Q557" s="81">
        <v>28</v>
      </c>
      <c r="R557" s="82"/>
      <c r="S557" s="82">
        <v>6.8423785781673304E-6</v>
      </c>
      <c r="T557" s="82">
        <v>220000000</v>
      </c>
      <c r="U557" s="78">
        <v>3084</v>
      </c>
      <c r="V557" s="82">
        <v>1.7919999999999998E-2</v>
      </c>
      <c r="W557" s="82">
        <v>2.3040000000000001E-2</v>
      </c>
      <c r="X557" s="82">
        <v>0.249</v>
      </c>
      <c r="Y557" s="78">
        <v>29.6</v>
      </c>
      <c r="Z557" s="78">
        <v>1075</v>
      </c>
      <c r="AA557" s="78">
        <f t="shared" si="206"/>
        <v>400</v>
      </c>
      <c r="AB557" s="81">
        <f t="shared" si="207"/>
        <v>0.82189116447904176</v>
      </c>
      <c r="AC557" s="81">
        <f t="shared" si="197"/>
        <v>192.94000000000005</v>
      </c>
      <c r="AD557" s="81">
        <v>1000</v>
      </c>
      <c r="AE557" s="81">
        <f t="shared" si="198"/>
        <v>930.23255813953483</v>
      </c>
      <c r="AF557" s="81">
        <f t="shared" si="199"/>
        <v>807.06</v>
      </c>
      <c r="AG557" s="83">
        <v>1</v>
      </c>
      <c r="AH557" s="83">
        <f>80.706/19.294</f>
        <v>4.1829584326733702</v>
      </c>
      <c r="AI557" s="83">
        <f t="shared" si="200"/>
        <v>0.80706</v>
      </c>
      <c r="AJ557" s="81">
        <f t="shared" si="201"/>
        <v>212.07557954208212</v>
      </c>
      <c r="AK557" s="81">
        <f t="shared" si="195"/>
        <v>164.39967406362953</v>
      </c>
      <c r="AL557" s="81">
        <f t="shared" si="202"/>
        <v>19.13557954208207</v>
      </c>
      <c r="AM557" s="83">
        <v>0</v>
      </c>
      <c r="AN557" s="83">
        <f t="shared" si="203"/>
        <v>0</v>
      </c>
      <c r="AO557" s="83">
        <f t="shared" si="205"/>
        <v>2.3710231633437492E-2</v>
      </c>
      <c r="AP557" s="83">
        <f>9.023/90.977</f>
        <v>9.9178913351726253E-2</v>
      </c>
      <c r="AQ557" s="83">
        <f t="shared" si="204"/>
        <v>9.0229999999999991E-2</v>
      </c>
      <c r="AR557" s="77" t="s">
        <v>378</v>
      </c>
    </row>
    <row r="558" spans="1:44" ht="15" hidden="1" customHeight="1" x14ac:dyDescent="0.25">
      <c r="A558" s="76">
        <v>557</v>
      </c>
      <c r="B558" s="76">
        <v>2021</v>
      </c>
      <c r="C558" s="77" t="s">
        <v>269</v>
      </c>
      <c r="D558" s="76">
        <v>7</v>
      </c>
      <c r="E558" s="78">
        <v>12</v>
      </c>
      <c r="F558" s="79">
        <v>0.01</v>
      </c>
      <c r="G558" s="80">
        <v>24</v>
      </c>
      <c r="H558" s="80">
        <v>0</v>
      </c>
      <c r="I558" s="78">
        <v>432</v>
      </c>
      <c r="J558" s="81">
        <v>1.0049999999999999</v>
      </c>
      <c r="K558" s="77" t="s">
        <v>303</v>
      </c>
      <c r="L558" s="77" t="s">
        <v>305</v>
      </c>
      <c r="M558" s="77" t="s">
        <v>34</v>
      </c>
      <c r="N558" s="77" t="s">
        <v>34</v>
      </c>
      <c r="O558" s="77" t="s">
        <v>34</v>
      </c>
      <c r="P558" s="78"/>
      <c r="Q558" s="81">
        <v>19</v>
      </c>
      <c r="R558" s="82"/>
      <c r="S558" s="82">
        <v>6.8423785781673304E-6</v>
      </c>
      <c r="T558" s="82">
        <v>220000000</v>
      </c>
      <c r="U558" s="78">
        <v>3084</v>
      </c>
      <c r="V558" s="82">
        <v>1.7919999999999998E-2</v>
      </c>
      <c r="W558" s="82">
        <v>2.3040000000000001E-2</v>
      </c>
      <c r="X558" s="82">
        <v>0.249</v>
      </c>
      <c r="Y558" s="78">
        <v>29.6</v>
      </c>
      <c r="Z558" s="78">
        <v>1075</v>
      </c>
      <c r="AA558" s="78">
        <f t="shared" si="206"/>
        <v>400</v>
      </c>
      <c r="AB558" s="81">
        <f t="shared" si="207"/>
        <v>0.82189116447904176</v>
      </c>
      <c r="AC558" s="81">
        <f t="shared" si="197"/>
        <v>192.94000000000005</v>
      </c>
      <c r="AD558" s="81">
        <v>1000</v>
      </c>
      <c r="AE558" s="81">
        <f t="shared" si="198"/>
        <v>930.23255813953483</v>
      </c>
      <c r="AF558" s="81">
        <f t="shared" si="199"/>
        <v>807.06</v>
      </c>
      <c r="AG558" s="83">
        <v>1</v>
      </c>
      <c r="AH558" s="83">
        <f>80.706/19.294</f>
        <v>4.1829584326733702</v>
      </c>
      <c r="AI558" s="83">
        <f t="shared" si="200"/>
        <v>0.80706</v>
      </c>
      <c r="AJ558" s="81">
        <f t="shared" si="201"/>
        <v>210.3828413787088</v>
      </c>
      <c r="AK558" s="81">
        <f t="shared" si="195"/>
        <v>163.08747393698357</v>
      </c>
      <c r="AL558" s="81">
        <f t="shared" si="202"/>
        <v>17.442841378708749</v>
      </c>
      <c r="AM558" s="83">
        <v>0</v>
      </c>
      <c r="AN558" s="83">
        <f t="shared" si="203"/>
        <v>0</v>
      </c>
      <c r="AO558" s="83">
        <f t="shared" si="205"/>
        <v>2.1612818599247567E-2</v>
      </c>
      <c r="AP558" s="83">
        <f>8.291/91.709</f>
        <v>9.040552181356247E-2</v>
      </c>
      <c r="AQ558" s="83">
        <f t="shared" si="204"/>
        <v>8.2910000000000011E-2</v>
      </c>
      <c r="AR558" s="77" t="s">
        <v>34</v>
      </c>
    </row>
    <row r="559" spans="1:44" s="10" customFormat="1" ht="15" customHeight="1" x14ac:dyDescent="0.25">
      <c r="A559" s="1">
        <v>558</v>
      </c>
      <c r="B559" s="1">
        <v>2021</v>
      </c>
      <c r="C559" s="28" t="s">
        <v>269</v>
      </c>
      <c r="D559" s="1">
        <v>8</v>
      </c>
      <c r="E559" s="8">
        <v>10</v>
      </c>
      <c r="F559" s="79">
        <v>0.2</v>
      </c>
      <c r="G559" s="49">
        <v>24</v>
      </c>
      <c r="H559" s="49">
        <v>0</v>
      </c>
      <c r="I559" s="8">
        <v>240</v>
      </c>
      <c r="J559" s="51">
        <v>1.9063000000000001</v>
      </c>
      <c r="K559" s="28" t="s">
        <v>303</v>
      </c>
      <c r="L559" s="28" t="s">
        <v>36</v>
      </c>
      <c r="M559" s="28" t="s">
        <v>289</v>
      </c>
      <c r="N559" s="28">
        <v>25</v>
      </c>
      <c r="O559" s="28">
        <v>180</v>
      </c>
      <c r="P559" s="8"/>
      <c r="Q559" s="51">
        <v>35</v>
      </c>
      <c r="R559" s="9"/>
      <c r="S559" s="9">
        <v>6.8423785781673304E-6</v>
      </c>
      <c r="T559" s="9">
        <v>220000000</v>
      </c>
      <c r="U559" s="8">
        <v>3084</v>
      </c>
      <c r="V559" s="9">
        <v>1.7919999999999998E-2</v>
      </c>
      <c r="W559" s="9">
        <v>2.3040000000000001E-2</v>
      </c>
      <c r="X559" s="9">
        <v>0.249</v>
      </c>
      <c r="Y559" s="8">
        <v>29.6</v>
      </c>
      <c r="Z559" s="8">
        <v>1075</v>
      </c>
      <c r="AA559" s="8">
        <f t="shared" si="206"/>
        <v>400</v>
      </c>
      <c r="AB559" s="51">
        <f t="shared" si="207"/>
        <v>0.82189116447904176</v>
      </c>
      <c r="AC559" s="51">
        <f t="shared" si="197"/>
        <v>192.94000000000005</v>
      </c>
      <c r="AD559" s="51">
        <v>1000</v>
      </c>
      <c r="AE559" s="51">
        <f t="shared" si="198"/>
        <v>930.23255813953483</v>
      </c>
      <c r="AF559" s="51">
        <f t="shared" si="199"/>
        <v>807.06</v>
      </c>
      <c r="AG559" s="52">
        <v>1</v>
      </c>
      <c r="AH559" s="52">
        <f>80.706/19.294</f>
        <v>4.1829584326733702</v>
      </c>
      <c r="AI559" s="52">
        <f t="shared" si="200"/>
        <v>0.80706</v>
      </c>
      <c r="AJ559" s="51">
        <f t="shared" si="201"/>
        <v>214.19927837912854</v>
      </c>
      <c r="AK559" s="51">
        <f t="shared" si="195"/>
        <v>166.04595223188258</v>
      </c>
      <c r="AL559" s="51">
        <f t="shared" si="202"/>
        <v>21.259278379128506</v>
      </c>
      <c r="AM559" s="52">
        <v>0</v>
      </c>
      <c r="AN559" s="52">
        <f t="shared" si="203"/>
        <v>0</v>
      </c>
      <c r="AO559" s="52">
        <f t="shared" si="205"/>
        <v>2.6341633062137267E-2</v>
      </c>
      <c r="AP559" s="52">
        <f>9.925/90.075</f>
        <v>0.11018595614765474</v>
      </c>
      <c r="AQ559" s="52">
        <f t="shared" si="204"/>
        <v>9.9249999999999991E-2</v>
      </c>
      <c r="AR559" s="28" t="s">
        <v>378</v>
      </c>
    </row>
  </sheetData>
  <autoFilter ref="A1:AR559" xr:uid="{00000000-0001-0000-0100-000000000000}">
    <filterColumn colId="12">
      <filters>
        <filter val="Chemical"/>
      </filters>
    </filterColumn>
  </autoFilter>
  <conditionalFormatting sqref="J2:J5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9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55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Ameya Kulkarni</cp:lastModifiedBy>
  <dcterms:created xsi:type="dcterms:W3CDTF">2022-07-07T05:16:07Z</dcterms:created>
  <dcterms:modified xsi:type="dcterms:W3CDTF">2022-11-25T12:15:28Z</dcterms:modified>
</cp:coreProperties>
</file>