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xWindow="740" yWindow="100" windowWidth="25600" windowHeight="16060" tabRatio="579"/>
  </bookViews>
  <sheets>
    <sheet name="Cross Validation" sheetId="1" r:id="rId1"/>
    <sheet name="NaiveBayes" sheetId="2" r:id="rId2"/>
    <sheet name="J48" sheetId="3" r:id="rId3"/>
    <sheet name="MLP" sheetId="4" r:id="rId4"/>
    <sheet name="IBk" sheetId="12" r:id="rId5"/>
    <sheet name="Dados" sheetId="11" r:id="rId6"/>
  </sheets>
  <definedNames>
    <definedName name="_10" localSheetId="5">Dados!$A$4:$V$26</definedName>
    <definedName name="_120645_Screen_20Shot_202016_11_20_20at_2017.06.29" localSheetId="5">Dados!$A$30:$V$51</definedName>
    <definedName name="_123453_Screen_20Shot_202016_11_20_20at_2017.34.37" localSheetId="5">Dados!$X$30:$AS$51</definedName>
    <definedName name="_2" localSheetId="5">Dados!$A$56:$V$77</definedName>
    <definedName name="_3" localSheetId="5">Dados!$X$4:$AS$25</definedName>
    <definedName name="_3_1" localSheetId="5">Dados!#REF!</definedName>
    <definedName name="_3_2" localSheetId="5">Dados!#REF!</definedName>
    <definedName name="_5" localSheetId="5">Dados!$X$56:$AS$77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9" i="12" l="1"/>
  <c r="F168" i="12"/>
  <c r="F167" i="12"/>
  <c r="D169" i="12"/>
  <c r="D168" i="12"/>
  <c r="D167" i="12"/>
  <c r="C169" i="12"/>
  <c r="C168" i="12"/>
  <c r="C167" i="12"/>
  <c r="F163" i="12"/>
  <c r="F162" i="12"/>
  <c r="F161" i="12"/>
  <c r="D163" i="12"/>
  <c r="D162" i="12"/>
  <c r="D161" i="12"/>
  <c r="C162" i="12"/>
  <c r="C163" i="12"/>
  <c r="C161" i="12"/>
  <c r="G157" i="12"/>
  <c r="G156" i="12"/>
  <c r="G155" i="12"/>
  <c r="G154" i="12"/>
  <c r="F157" i="12"/>
  <c r="F156" i="12"/>
  <c r="F155" i="12"/>
  <c r="F154" i="12"/>
  <c r="D157" i="12"/>
  <c r="D156" i="12"/>
  <c r="D155" i="12"/>
  <c r="D154" i="12"/>
  <c r="C156" i="12"/>
  <c r="C155" i="12"/>
  <c r="C154" i="12"/>
  <c r="G150" i="12"/>
  <c r="G149" i="12"/>
  <c r="G148" i="12"/>
  <c r="G147" i="12"/>
  <c r="F150" i="12"/>
  <c r="F149" i="12"/>
  <c r="F148" i="12"/>
  <c r="F147" i="12"/>
  <c r="D150" i="12"/>
  <c r="D149" i="12"/>
  <c r="D148" i="12"/>
  <c r="D147" i="12"/>
  <c r="C150" i="12"/>
  <c r="C149" i="12"/>
  <c r="C148" i="12"/>
  <c r="C147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23" i="12"/>
  <c r="C122" i="12"/>
  <c r="C97" i="12"/>
  <c r="C98" i="12"/>
  <c r="F93" i="12"/>
  <c r="F92" i="12"/>
  <c r="D93" i="12"/>
  <c r="D92" i="12"/>
  <c r="F87" i="12"/>
  <c r="D87" i="12"/>
  <c r="F80" i="12"/>
  <c r="F79" i="12"/>
  <c r="F78" i="12"/>
  <c r="D80" i="12"/>
  <c r="D79" i="12"/>
  <c r="D78" i="12"/>
  <c r="C80" i="12"/>
  <c r="C79" i="12"/>
  <c r="C78" i="12"/>
  <c r="G71" i="12"/>
  <c r="F71" i="12"/>
  <c r="F73" i="12"/>
  <c r="F72" i="12"/>
  <c r="D73" i="12"/>
  <c r="D72" i="12"/>
  <c r="D71" i="12"/>
  <c r="C73" i="12"/>
  <c r="C72" i="12"/>
  <c r="C71" i="12"/>
  <c r="D67" i="12"/>
  <c r="D66" i="12"/>
  <c r="C67" i="12"/>
  <c r="C66" i="12"/>
  <c r="D62" i="12"/>
  <c r="D61" i="12"/>
  <c r="C62" i="12"/>
  <c r="C61" i="12"/>
  <c r="I56" i="12"/>
  <c r="I52" i="12"/>
  <c r="H57" i="12"/>
  <c r="H56" i="12"/>
  <c r="H55" i="12"/>
  <c r="H52" i="12"/>
  <c r="F53" i="12"/>
  <c r="F52" i="12"/>
  <c r="F51" i="12"/>
  <c r="D55" i="12"/>
  <c r="D53" i="12"/>
  <c r="D52" i="12"/>
  <c r="D51" i="12"/>
  <c r="C53" i="12"/>
  <c r="C52" i="12"/>
  <c r="C51" i="12"/>
  <c r="J57" i="12"/>
  <c r="I57" i="12"/>
  <c r="D57" i="12"/>
  <c r="D56" i="12"/>
  <c r="J55" i="12"/>
  <c r="J52" i="12"/>
  <c r="J47" i="12"/>
  <c r="I47" i="12"/>
  <c r="I46" i="12"/>
  <c r="I42" i="12"/>
  <c r="H47" i="12"/>
  <c r="H46" i="12"/>
  <c r="H45" i="12"/>
  <c r="H42" i="12"/>
  <c r="F44" i="12"/>
  <c r="F43" i="12"/>
  <c r="F42" i="12"/>
  <c r="F41" i="12"/>
  <c r="D47" i="12"/>
  <c r="D46" i="12"/>
  <c r="D45" i="12"/>
  <c r="D43" i="12"/>
  <c r="D42" i="12"/>
  <c r="D41" i="12"/>
  <c r="C46" i="12"/>
  <c r="C43" i="12"/>
  <c r="C42" i="12"/>
  <c r="C41" i="12"/>
  <c r="D37" i="12"/>
  <c r="D36" i="12"/>
  <c r="C37" i="12"/>
  <c r="C36" i="12"/>
  <c r="D32" i="12"/>
  <c r="D31" i="12"/>
  <c r="C32" i="12"/>
  <c r="C31" i="12"/>
  <c r="I27" i="12"/>
  <c r="H26" i="12"/>
  <c r="H23" i="12"/>
  <c r="H22" i="12"/>
  <c r="G25" i="12"/>
  <c r="G23" i="12"/>
  <c r="F24" i="12"/>
  <c r="D25" i="12"/>
  <c r="D23" i="12"/>
  <c r="C23" i="12"/>
  <c r="C22" i="12"/>
  <c r="D26" i="12"/>
  <c r="I18" i="12"/>
  <c r="H17" i="12"/>
  <c r="H13" i="12"/>
  <c r="G18" i="12"/>
  <c r="G17" i="12"/>
  <c r="G16" i="12"/>
  <c r="G15" i="12"/>
  <c r="G14" i="12"/>
  <c r="G13" i="12"/>
  <c r="F15" i="12"/>
  <c r="D18" i="12"/>
  <c r="D17" i="12"/>
  <c r="D14" i="12"/>
  <c r="D13" i="12"/>
  <c r="C13" i="12"/>
  <c r="D9" i="12"/>
  <c r="D8" i="12"/>
  <c r="C9" i="12"/>
  <c r="C8" i="12"/>
  <c r="D4" i="12"/>
  <c r="D3" i="12"/>
  <c r="C4" i="12"/>
  <c r="C3" i="12"/>
  <c r="B166" i="12"/>
  <c r="A165" i="12"/>
  <c r="E165" i="12"/>
  <c r="B169" i="12"/>
  <c r="B168" i="12"/>
  <c r="B167" i="12"/>
  <c r="B153" i="12"/>
  <c r="A152" i="12"/>
  <c r="E152" i="12"/>
  <c r="C157" i="12"/>
  <c r="B157" i="12"/>
  <c r="B156" i="12"/>
  <c r="B155" i="12"/>
  <c r="B154" i="12"/>
  <c r="B2" i="12"/>
  <c r="B121" i="12"/>
  <c r="A1" i="12"/>
  <c r="A120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G120" i="12"/>
  <c r="B90" i="12"/>
  <c r="A89" i="12"/>
  <c r="E89" i="12"/>
  <c r="B93" i="12"/>
  <c r="B92" i="12"/>
  <c r="C91" i="12"/>
  <c r="B91" i="12"/>
  <c r="B77" i="12"/>
  <c r="A76" i="12"/>
  <c r="E76" i="12"/>
  <c r="C81" i="12"/>
  <c r="B81" i="12"/>
  <c r="B80" i="12"/>
  <c r="B79" i="12"/>
  <c r="B78" i="12"/>
  <c r="B70" i="12"/>
  <c r="A64" i="12"/>
  <c r="E64" i="12"/>
  <c r="B67" i="12"/>
  <c r="B66" i="12"/>
  <c r="B7" i="12"/>
  <c r="B65" i="12"/>
  <c r="B50" i="12"/>
  <c r="A49" i="12"/>
  <c r="G49" i="12"/>
  <c r="B57" i="12"/>
  <c r="B56" i="12"/>
  <c r="B55" i="12"/>
  <c r="B54" i="12"/>
  <c r="B53" i="12"/>
  <c r="B52" i="12"/>
  <c r="B51" i="12"/>
  <c r="B35" i="12"/>
  <c r="A6" i="12"/>
  <c r="A34" i="12"/>
  <c r="E34" i="12"/>
  <c r="B37" i="12"/>
  <c r="B36" i="12"/>
  <c r="B21" i="12"/>
  <c r="A20" i="12"/>
  <c r="G20" i="12"/>
  <c r="B27" i="12"/>
  <c r="B26" i="12"/>
  <c r="B25" i="12"/>
  <c r="B24" i="12"/>
  <c r="B23" i="12"/>
  <c r="B22" i="12"/>
  <c r="E6" i="12"/>
  <c r="B9" i="12"/>
  <c r="B8" i="12"/>
  <c r="A39" i="12"/>
  <c r="B2" i="2"/>
  <c r="B2" i="3"/>
  <c r="B2" i="4"/>
  <c r="B160" i="12"/>
  <c r="B146" i="12"/>
  <c r="B96" i="12"/>
  <c r="B84" i="12"/>
  <c r="B60" i="12"/>
  <c r="B40" i="12"/>
  <c r="B30" i="12"/>
  <c r="B12" i="12"/>
  <c r="B81" i="4"/>
  <c r="B74" i="4"/>
  <c r="B49" i="4"/>
  <c r="B43" i="4"/>
  <c r="B36" i="4"/>
  <c r="B31" i="4"/>
  <c r="B21" i="4"/>
  <c r="B16" i="4"/>
  <c r="B7" i="4"/>
  <c r="B81" i="3"/>
  <c r="B74" i="3"/>
  <c r="B49" i="3"/>
  <c r="B43" i="3"/>
  <c r="B36" i="3"/>
  <c r="B31" i="3"/>
  <c r="B21" i="3"/>
  <c r="B16" i="3"/>
  <c r="B7" i="3"/>
  <c r="B139" i="2"/>
  <c r="B132" i="2"/>
  <c r="B107" i="2"/>
  <c r="B82" i="2"/>
  <c r="B76" i="2"/>
  <c r="B70" i="2"/>
  <c r="B63" i="2"/>
  <c r="B56" i="2"/>
  <c r="B51" i="2"/>
  <c r="B46" i="2"/>
  <c r="B36" i="2"/>
  <c r="B26" i="2"/>
  <c r="B21" i="2"/>
  <c r="B16" i="2"/>
  <c r="B7" i="2"/>
  <c r="B81" i="1"/>
  <c r="B74" i="1"/>
  <c r="B49" i="1"/>
  <c r="B43" i="1"/>
  <c r="B36" i="1"/>
  <c r="B31" i="1"/>
  <c r="B21" i="1"/>
  <c r="B16" i="1"/>
  <c r="B7" i="1"/>
  <c r="A159" i="12"/>
  <c r="A145" i="12"/>
  <c r="A95" i="12"/>
  <c r="A83" i="12"/>
  <c r="A69" i="12"/>
  <c r="A59" i="12"/>
  <c r="A29" i="12"/>
  <c r="A11" i="12"/>
  <c r="A1" i="4"/>
  <c r="A80" i="4"/>
  <c r="A73" i="4"/>
  <c r="A48" i="4"/>
  <c r="A42" i="4"/>
  <c r="A35" i="4"/>
  <c r="A30" i="4"/>
  <c r="A20" i="4"/>
  <c r="A15" i="4"/>
  <c r="A6" i="4"/>
  <c r="A1" i="3"/>
  <c r="A80" i="3"/>
  <c r="A73" i="3"/>
  <c r="A48" i="3"/>
  <c r="A42" i="3"/>
  <c r="A35" i="3"/>
  <c r="A30" i="3"/>
  <c r="A20" i="3"/>
  <c r="A15" i="3"/>
  <c r="A6" i="3"/>
  <c r="A1" i="2"/>
  <c r="A138" i="2"/>
  <c r="A131" i="2"/>
  <c r="A106" i="2"/>
  <c r="A81" i="2"/>
  <c r="A75" i="2"/>
  <c r="A69" i="2"/>
  <c r="A62" i="2"/>
  <c r="A55" i="2"/>
  <c r="A50" i="2"/>
  <c r="A45" i="2"/>
  <c r="A35" i="2"/>
  <c r="A25" i="2"/>
  <c r="A20" i="2"/>
  <c r="A15" i="2"/>
  <c r="A6" i="2"/>
  <c r="A80" i="1"/>
  <c r="A73" i="1"/>
  <c r="A48" i="1"/>
  <c r="A42" i="1"/>
  <c r="A35" i="1"/>
  <c r="A30" i="1"/>
  <c r="A20" i="1"/>
  <c r="A15" i="1"/>
  <c r="A6" i="1"/>
  <c r="E159" i="12"/>
  <c r="B163" i="12"/>
  <c r="B162" i="12"/>
  <c r="B161" i="12"/>
  <c r="E145" i="12"/>
  <c r="B150" i="12"/>
  <c r="B149" i="12"/>
  <c r="B148" i="12"/>
  <c r="B147" i="12"/>
  <c r="G95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E83" i="12"/>
  <c r="B87" i="12"/>
  <c r="F86" i="12"/>
  <c r="D86" i="12"/>
  <c r="B86" i="12"/>
  <c r="C85" i="12"/>
  <c r="B85" i="12"/>
  <c r="E69" i="12"/>
  <c r="C74" i="12"/>
  <c r="B74" i="12"/>
  <c r="B73" i="12"/>
  <c r="B72" i="12"/>
  <c r="B71" i="12"/>
  <c r="E59" i="12"/>
  <c r="B62" i="12"/>
  <c r="B61" i="12"/>
  <c r="G39" i="12"/>
  <c r="B47" i="12"/>
  <c r="B46" i="12"/>
  <c r="J45" i="12"/>
  <c r="I45" i="12"/>
  <c r="B45" i="12"/>
  <c r="B44" i="12"/>
  <c r="B43" i="12"/>
  <c r="J42" i="12"/>
  <c r="B42" i="12"/>
  <c r="B41" i="12"/>
  <c r="E29" i="12"/>
  <c r="B32" i="12"/>
  <c r="B31" i="12"/>
  <c r="G11" i="12"/>
  <c r="B18" i="12"/>
  <c r="B17" i="12"/>
  <c r="D16" i="12"/>
  <c r="B16" i="12"/>
  <c r="B15" i="12"/>
  <c r="B14" i="12"/>
  <c r="B13" i="12"/>
  <c r="E1" i="12"/>
  <c r="B4" i="12"/>
  <c r="B3" i="12"/>
  <c r="F84" i="4"/>
  <c r="F83" i="4"/>
  <c r="F82" i="4"/>
  <c r="D84" i="4"/>
  <c r="D83" i="4"/>
  <c r="D82" i="4"/>
  <c r="C84" i="4"/>
  <c r="C83" i="4"/>
  <c r="C82" i="4"/>
  <c r="G78" i="4"/>
  <c r="G77" i="4"/>
  <c r="G76" i="4"/>
  <c r="G75" i="4"/>
  <c r="F78" i="4"/>
  <c r="F77" i="4"/>
  <c r="F76" i="4"/>
  <c r="F75" i="4"/>
  <c r="D78" i="4"/>
  <c r="D77" i="4"/>
  <c r="D76" i="4"/>
  <c r="D75" i="4"/>
  <c r="C78" i="4"/>
  <c r="C77" i="4"/>
  <c r="C76" i="4"/>
  <c r="C75" i="4"/>
  <c r="E52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D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51" i="4"/>
  <c r="C50" i="4"/>
  <c r="C50" i="3"/>
  <c r="F46" i="4"/>
  <c r="F45" i="4"/>
  <c r="D46" i="4"/>
  <c r="D45" i="4"/>
  <c r="C44" i="4"/>
  <c r="F39" i="4"/>
  <c r="F38" i="4"/>
  <c r="F37" i="4"/>
  <c r="D39" i="4"/>
  <c r="D38" i="4"/>
  <c r="D37" i="4"/>
  <c r="C39" i="4"/>
  <c r="C38" i="4"/>
  <c r="C37" i="4"/>
  <c r="D33" i="4"/>
  <c r="D32" i="4"/>
  <c r="C33" i="4"/>
  <c r="C32" i="4"/>
  <c r="J28" i="4"/>
  <c r="J26" i="4"/>
  <c r="J23" i="4"/>
  <c r="J22" i="4"/>
  <c r="I27" i="4"/>
  <c r="I26" i="4"/>
  <c r="I23" i="4"/>
  <c r="H28" i="4"/>
  <c r="H27" i="4"/>
  <c r="H26" i="4"/>
  <c r="H23" i="4"/>
  <c r="F27" i="4"/>
  <c r="F24" i="4"/>
  <c r="F23" i="4"/>
  <c r="F22" i="4"/>
  <c r="D28" i="4"/>
  <c r="D27" i="4"/>
  <c r="D26" i="4"/>
  <c r="D24" i="4"/>
  <c r="D23" i="4"/>
  <c r="D22" i="4"/>
  <c r="C28" i="4"/>
  <c r="C24" i="4"/>
  <c r="C23" i="4"/>
  <c r="C22" i="4"/>
  <c r="D18" i="4"/>
  <c r="D17" i="4"/>
  <c r="C18" i="4"/>
  <c r="C17" i="4"/>
  <c r="I13" i="4"/>
  <c r="H12" i="4"/>
  <c r="G11" i="4"/>
  <c r="G9" i="4"/>
  <c r="F10" i="4"/>
  <c r="D11" i="4"/>
  <c r="D9" i="4"/>
  <c r="C9" i="4"/>
  <c r="D4" i="4"/>
  <c r="D3" i="4"/>
  <c r="C4" i="4"/>
  <c r="C3" i="4"/>
  <c r="G78" i="3"/>
  <c r="G77" i="3"/>
  <c r="G76" i="3"/>
  <c r="G75" i="3"/>
  <c r="F78" i="3"/>
  <c r="F77" i="3"/>
  <c r="F76" i="3"/>
  <c r="F75" i="3"/>
  <c r="D78" i="3"/>
  <c r="D77" i="3"/>
  <c r="D76" i="3"/>
  <c r="D75" i="3"/>
  <c r="C78" i="3"/>
  <c r="C77" i="3"/>
  <c r="C76" i="3"/>
  <c r="C75" i="3"/>
  <c r="F84" i="3"/>
  <c r="F83" i="3"/>
  <c r="F82" i="3"/>
  <c r="D84" i="3"/>
  <c r="D83" i="3"/>
  <c r="D82" i="3"/>
  <c r="C84" i="3"/>
  <c r="C83" i="3"/>
  <c r="C82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G48" i="3"/>
  <c r="E52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D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83" i="2"/>
  <c r="E42" i="3"/>
  <c r="F46" i="3"/>
  <c r="F45" i="3"/>
  <c r="D46" i="3"/>
  <c r="D45" i="3"/>
  <c r="D44" i="3"/>
  <c r="C44" i="3"/>
  <c r="E35" i="3"/>
  <c r="F39" i="3"/>
  <c r="F38" i="3"/>
  <c r="F37" i="3"/>
  <c r="D39" i="3"/>
  <c r="D38" i="3"/>
  <c r="D37" i="3"/>
  <c r="C40" i="3"/>
  <c r="C39" i="3"/>
  <c r="C37" i="3"/>
  <c r="E30" i="3"/>
  <c r="D33" i="3"/>
  <c r="D32" i="3"/>
  <c r="C33" i="3"/>
  <c r="C32" i="3"/>
  <c r="G20" i="3"/>
  <c r="J28" i="3"/>
  <c r="J26" i="3"/>
  <c r="J23" i="3"/>
  <c r="I28" i="3"/>
  <c r="I27" i="3"/>
  <c r="I23" i="3"/>
  <c r="H28" i="3"/>
  <c r="H26" i="3"/>
  <c r="H23" i="3"/>
  <c r="F28" i="3"/>
  <c r="F24" i="3"/>
  <c r="F23" i="3"/>
  <c r="F22" i="3"/>
  <c r="D26" i="3"/>
  <c r="D24" i="3"/>
  <c r="D23" i="3"/>
  <c r="D22" i="3"/>
  <c r="C27" i="3"/>
  <c r="C24" i="3"/>
  <c r="C23" i="3"/>
  <c r="C22" i="3"/>
  <c r="D28" i="3"/>
  <c r="C28" i="3"/>
  <c r="H27" i="3"/>
  <c r="J22" i="3"/>
  <c r="E15" i="3"/>
  <c r="D18" i="3"/>
  <c r="D17" i="3"/>
  <c r="C17" i="3"/>
  <c r="C18" i="3"/>
  <c r="G6" i="3"/>
  <c r="I13" i="3"/>
  <c r="I9" i="3"/>
  <c r="H12" i="3"/>
  <c r="H10" i="3"/>
  <c r="G11" i="3"/>
  <c r="G10" i="3"/>
  <c r="G9" i="3"/>
  <c r="F10" i="3"/>
  <c r="D11" i="3"/>
  <c r="D9" i="3"/>
  <c r="D8" i="3"/>
  <c r="C9" i="3"/>
  <c r="C13" i="3"/>
  <c r="C11" i="3"/>
  <c r="C10" i="3"/>
  <c r="C8" i="3"/>
  <c r="E1" i="3"/>
  <c r="D4" i="3"/>
  <c r="D3" i="3"/>
  <c r="C3" i="3"/>
  <c r="C4" i="3"/>
  <c r="F142" i="2"/>
  <c r="F141" i="2"/>
  <c r="F140" i="2"/>
  <c r="D142" i="2"/>
  <c r="D141" i="2"/>
  <c r="D140" i="2"/>
  <c r="C142" i="2"/>
  <c r="C141" i="2"/>
  <c r="C140" i="2"/>
  <c r="G136" i="2"/>
  <c r="G135" i="2"/>
  <c r="G134" i="2"/>
  <c r="G133" i="2"/>
  <c r="F136" i="2"/>
  <c r="F135" i="2"/>
  <c r="F134" i="2"/>
  <c r="F133" i="2"/>
  <c r="D136" i="2"/>
  <c r="D134" i="2"/>
  <c r="D133" i="2"/>
  <c r="C136" i="2"/>
  <c r="C135" i="2"/>
  <c r="C134" i="2"/>
  <c r="C13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09" i="2"/>
  <c r="G106" i="2"/>
  <c r="E69" i="2"/>
  <c r="F72" i="2"/>
  <c r="D72" i="2"/>
  <c r="F73" i="2"/>
  <c r="D73" i="2"/>
  <c r="C71" i="2"/>
  <c r="E75" i="2"/>
  <c r="F79" i="2"/>
  <c r="F78" i="2"/>
  <c r="D79" i="2"/>
  <c r="D78" i="2"/>
  <c r="C77" i="2"/>
  <c r="B79" i="2"/>
  <c r="B78" i="2"/>
  <c r="B77" i="2"/>
  <c r="E55" i="2"/>
  <c r="F58" i="2"/>
  <c r="F57" i="2"/>
  <c r="D59" i="2"/>
  <c r="D58" i="2"/>
  <c r="D57" i="2"/>
  <c r="C59" i="2"/>
  <c r="C58" i="2"/>
  <c r="C57" i="2"/>
  <c r="C60" i="2"/>
  <c r="F59" i="2"/>
  <c r="E62" i="2"/>
  <c r="G64" i="2"/>
  <c r="F66" i="2"/>
  <c r="F65" i="2"/>
  <c r="F64" i="2"/>
  <c r="D66" i="2"/>
  <c r="D65" i="2"/>
  <c r="D64" i="2"/>
  <c r="C65" i="2"/>
  <c r="C66" i="2"/>
  <c r="C64" i="2"/>
  <c r="C67" i="2"/>
  <c r="B67" i="2"/>
  <c r="B66" i="2"/>
  <c r="B65" i="2"/>
  <c r="B64" i="2"/>
  <c r="E45" i="2"/>
  <c r="D48" i="2"/>
  <c r="D47" i="2"/>
  <c r="C48" i="2"/>
  <c r="C47" i="2"/>
  <c r="E50" i="2"/>
  <c r="D53" i="2"/>
  <c r="D52" i="2"/>
  <c r="C53" i="2"/>
  <c r="C52" i="2"/>
  <c r="B53" i="2"/>
  <c r="B52" i="2"/>
  <c r="G35" i="2"/>
  <c r="J43" i="2"/>
  <c r="I42" i="2"/>
  <c r="I39" i="2"/>
  <c r="I38" i="2"/>
  <c r="I37" i="2"/>
  <c r="H43" i="2"/>
  <c r="H41" i="2"/>
  <c r="F39" i="2"/>
  <c r="F38" i="2"/>
  <c r="F37" i="2"/>
  <c r="D41" i="2"/>
  <c r="D38" i="2"/>
  <c r="D37" i="2"/>
  <c r="C43" i="2"/>
  <c r="C39" i="2"/>
  <c r="C38" i="2"/>
  <c r="C37" i="2"/>
  <c r="D43" i="2"/>
  <c r="J42" i="2"/>
  <c r="H42" i="2"/>
  <c r="J41" i="2"/>
  <c r="J38" i="2"/>
  <c r="H38" i="2"/>
  <c r="J37" i="2"/>
  <c r="G25" i="2"/>
  <c r="J33" i="2"/>
  <c r="J32" i="2"/>
  <c r="J31" i="2"/>
  <c r="J28" i="2"/>
  <c r="J27" i="2"/>
  <c r="I32" i="2"/>
  <c r="I29" i="2"/>
  <c r="I28" i="2"/>
  <c r="I27" i="2"/>
  <c r="H33" i="2"/>
  <c r="H32" i="2"/>
  <c r="H31" i="2"/>
  <c r="H28" i="2"/>
  <c r="F29" i="2"/>
  <c r="F28" i="2"/>
  <c r="F27" i="2"/>
  <c r="D33" i="2"/>
  <c r="D31" i="2"/>
  <c r="D29" i="2"/>
  <c r="D28" i="2"/>
  <c r="D27" i="2"/>
  <c r="C27" i="2"/>
  <c r="C33" i="2"/>
  <c r="C29" i="2"/>
  <c r="C28" i="2"/>
  <c r="B43" i="2"/>
  <c r="B42" i="2"/>
  <c r="B41" i="2"/>
  <c r="B40" i="2"/>
  <c r="B39" i="2"/>
  <c r="B38" i="2"/>
  <c r="B37" i="2"/>
  <c r="E20" i="2"/>
  <c r="D22" i="2"/>
  <c r="C22" i="2"/>
  <c r="D23" i="2"/>
  <c r="C23" i="2"/>
  <c r="E15" i="2"/>
  <c r="D18" i="2"/>
  <c r="D17" i="2"/>
  <c r="C17" i="2"/>
  <c r="C18" i="2"/>
  <c r="B23" i="2"/>
  <c r="B22" i="2"/>
  <c r="B3" i="2"/>
  <c r="B4" i="2"/>
  <c r="B8" i="2"/>
  <c r="B9" i="2"/>
  <c r="B10" i="2"/>
  <c r="B11" i="2"/>
  <c r="B12" i="2"/>
  <c r="B13" i="2"/>
  <c r="B17" i="2"/>
  <c r="B18" i="2"/>
  <c r="B27" i="2"/>
  <c r="B28" i="2"/>
  <c r="B29" i="2"/>
  <c r="B30" i="2"/>
  <c r="B31" i="2"/>
  <c r="B32" i="2"/>
  <c r="B33" i="2"/>
  <c r="B47" i="2"/>
  <c r="B48" i="2"/>
  <c r="B57" i="2"/>
  <c r="B58" i="2"/>
  <c r="B59" i="2"/>
  <c r="B60" i="2"/>
  <c r="B71" i="2"/>
  <c r="B72" i="2"/>
  <c r="B73" i="2"/>
  <c r="B133" i="2"/>
  <c r="B134" i="2"/>
  <c r="B135" i="2"/>
  <c r="B136" i="2"/>
  <c r="B140" i="2"/>
  <c r="B141" i="2"/>
  <c r="B142" i="2"/>
  <c r="G6" i="2"/>
  <c r="I13" i="2"/>
  <c r="H12" i="2"/>
  <c r="G13" i="2"/>
  <c r="G9" i="2"/>
  <c r="G11" i="2"/>
  <c r="F10" i="2"/>
  <c r="D11" i="2"/>
  <c r="D9" i="2"/>
  <c r="E138" i="2"/>
  <c r="D4" i="2"/>
  <c r="D3" i="2"/>
  <c r="E1" i="2"/>
  <c r="C3" i="2"/>
  <c r="C4" i="2"/>
  <c r="E80" i="4"/>
  <c r="B84" i="4"/>
  <c r="B83" i="4"/>
  <c r="B82" i="4"/>
  <c r="E73" i="4"/>
  <c r="B78" i="4"/>
  <c r="B77" i="4"/>
  <c r="B76" i="4"/>
  <c r="B75" i="4"/>
  <c r="G48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E42" i="4"/>
  <c r="B46" i="4"/>
  <c r="B45" i="4"/>
  <c r="B44" i="4"/>
  <c r="E35" i="4"/>
  <c r="C40" i="4"/>
  <c r="B40" i="4"/>
  <c r="B39" i="4"/>
  <c r="B38" i="4"/>
  <c r="B37" i="4"/>
  <c r="E30" i="4"/>
  <c r="B33" i="4"/>
  <c r="B32" i="4"/>
  <c r="G20" i="4"/>
  <c r="B28" i="4"/>
  <c r="B27" i="4"/>
  <c r="B26" i="4"/>
  <c r="B25" i="4"/>
  <c r="B24" i="4"/>
  <c r="B23" i="4"/>
  <c r="B22" i="4"/>
  <c r="E15" i="4"/>
  <c r="B18" i="4"/>
  <c r="B17" i="4"/>
  <c r="G6" i="4"/>
  <c r="B13" i="4"/>
  <c r="B12" i="4"/>
  <c r="B11" i="4"/>
  <c r="B10" i="4"/>
  <c r="B9" i="4"/>
  <c r="C8" i="4"/>
  <c r="B8" i="4"/>
  <c r="E1" i="4"/>
  <c r="B4" i="4"/>
  <c r="B3" i="4"/>
  <c r="E80" i="3"/>
  <c r="B84" i="3"/>
  <c r="B83" i="3"/>
  <c r="B82" i="3"/>
  <c r="E73" i="3"/>
  <c r="B78" i="3"/>
  <c r="B77" i="3"/>
  <c r="B76" i="3"/>
  <c r="B75" i="3"/>
  <c r="B46" i="3"/>
  <c r="B45" i="3"/>
  <c r="B44" i="3"/>
  <c r="B40" i="3"/>
  <c r="B39" i="3"/>
  <c r="B38" i="3"/>
  <c r="B37" i="3"/>
  <c r="B33" i="3"/>
  <c r="B32" i="3"/>
  <c r="B28" i="3"/>
  <c r="B27" i="3"/>
  <c r="B26" i="3"/>
  <c r="B25" i="3"/>
  <c r="B24" i="3"/>
  <c r="B23" i="3"/>
  <c r="B22" i="3"/>
  <c r="B18" i="3"/>
  <c r="B17" i="3"/>
  <c r="B13" i="3"/>
  <c r="B12" i="3"/>
  <c r="B11" i="3"/>
  <c r="B10" i="3"/>
  <c r="B9" i="3"/>
  <c r="B8" i="3"/>
  <c r="B4" i="3"/>
  <c r="B3" i="3"/>
  <c r="E131" i="2"/>
  <c r="D135" i="2"/>
  <c r="G81" i="2"/>
  <c r="C32" i="2"/>
  <c r="C31" i="2"/>
  <c r="C8" i="2"/>
  <c r="E80" i="1"/>
  <c r="F84" i="1"/>
  <c r="F82" i="1"/>
  <c r="F83" i="1"/>
  <c r="B84" i="1"/>
  <c r="B83" i="1"/>
  <c r="B82" i="1"/>
  <c r="E73" i="1"/>
  <c r="F78" i="1"/>
  <c r="F77" i="1"/>
  <c r="F76" i="1"/>
  <c r="F75" i="1"/>
  <c r="D78" i="1"/>
  <c r="D77" i="1"/>
  <c r="D76" i="1"/>
  <c r="D75" i="1"/>
  <c r="G48" i="1"/>
  <c r="C50" i="1"/>
  <c r="B78" i="1"/>
  <c r="B77" i="1"/>
  <c r="B76" i="1"/>
  <c r="B75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2" i="1"/>
  <c r="B56" i="1"/>
  <c r="B55" i="1"/>
  <c r="B54" i="1"/>
  <c r="B53" i="1"/>
  <c r="B51" i="1"/>
  <c r="B50" i="1"/>
  <c r="E42" i="1"/>
  <c r="C46" i="1"/>
  <c r="C45" i="1"/>
  <c r="C44" i="1"/>
  <c r="B46" i="1"/>
  <c r="B45" i="1"/>
  <c r="B44" i="1"/>
  <c r="E35" i="1"/>
  <c r="C40" i="1"/>
  <c r="C39" i="1"/>
  <c r="C38" i="1"/>
  <c r="C37" i="1"/>
  <c r="B40" i="1"/>
  <c r="B39" i="1"/>
  <c r="B38" i="1"/>
  <c r="B37" i="1"/>
  <c r="E30" i="1"/>
  <c r="D33" i="1"/>
  <c r="D32" i="1"/>
  <c r="B33" i="1"/>
  <c r="B32" i="1"/>
  <c r="G20" i="1"/>
  <c r="C28" i="1"/>
  <c r="C27" i="1"/>
  <c r="C26" i="1"/>
  <c r="C24" i="1"/>
  <c r="C23" i="1"/>
  <c r="C22" i="1"/>
  <c r="B28" i="1"/>
  <c r="B27" i="1"/>
  <c r="B26" i="1"/>
  <c r="B25" i="1"/>
  <c r="B24" i="1"/>
  <c r="B23" i="1"/>
  <c r="B22" i="1"/>
  <c r="B18" i="1"/>
  <c r="B17" i="1"/>
  <c r="B13" i="1"/>
  <c r="B12" i="1"/>
  <c r="B11" i="1"/>
  <c r="B10" i="1"/>
  <c r="B9" i="1"/>
  <c r="B8" i="1"/>
  <c r="B4" i="1"/>
  <c r="B3" i="1"/>
  <c r="E15" i="1"/>
  <c r="C18" i="1"/>
  <c r="C17" i="1"/>
  <c r="G6" i="1"/>
  <c r="C13" i="1"/>
  <c r="C12" i="1"/>
  <c r="C11" i="1"/>
  <c r="C10" i="1"/>
  <c r="C9" i="1"/>
  <c r="C8" i="1"/>
  <c r="E1" i="1"/>
  <c r="C4" i="1"/>
  <c r="C3" i="1"/>
</calcChain>
</file>

<file path=xl/connections.xml><?xml version="1.0" encoding="utf-8"?>
<connections xmlns="http://schemas.openxmlformats.org/spreadsheetml/2006/main">
  <connection id="1" name="10.txt" type="6" refreshedVersion="0" background="1" saveData="1">
    <textPr fileType="mac" sourceFile="MAC:Users:amiltonjunior:Desktop:10.txt" tab="0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20645_Screen%20Shot%202016-11-20%20at%2017.06.29.txt" type="6" refreshedVersion="0" background="1" saveData="1">
    <textPr fileType="mac" sourceFile="MAC:Users:amiltonjunior:Desktop:120645_Screen%20Shot%202016-11-20%20at%2017.06.29.txt" tab="0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3453_Screen%20Shot%202016-11-20%20at%2017.34.37.txt" type="6" refreshedVersion="0" background="1" saveData="1">
    <textPr fileType="mac" sourceFile="MAC:Users:amiltonjunior:Desktop:123453_Screen%20Shot%202016-11-20%20at%2017.34.37.txt" tab="0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.txt" type="6" refreshedVersion="0" background="1" saveData="1">
    <textPr fileType="mac" sourceFile="MAC:Users:amiltonjunior:Desktop:2.txt" tab="0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3.txt" type="6" refreshedVersion="0" background="1" saveData="1">
    <textPr fileType="mac" sourceFile="MAC:Users:amiltonjunior:Desktop:3.txt" tab="0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.txt" type="6" refreshedVersion="0" background="1" saveData="1">
    <textPr fileType="mac" sourceFile="MAC:Users:amiltonjunior:Desktop:5.txt" tab="0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<sst xmlns="http://schemas.openxmlformats.org/spreadsheetml/2006/main" count="660" uniqueCount="96">
  <si>
    <t>Conjunto: collic.arff</t>
  </si>
  <si>
    <t>Classe: surgical_lesion</t>
  </si>
  <si>
    <t>Amostras:</t>
  </si>
  <si>
    <t>yes</t>
  </si>
  <si>
    <t>no</t>
  </si>
  <si>
    <t>Conjunto: dermatology.arff</t>
  </si>
  <si>
    <t>Classe: class</t>
  </si>
  <si>
    <t>Conjunto: diabetes.arff</t>
  </si>
  <si>
    <t>tested_negative</t>
  </si>
  <si>
    <t>tested_positive</t>
  </si>
  <si>
    <t>Conjunto: glass.arff</t>
  </si>
  <si>
    <t>Classe: Type</t>
  </si>
  <si>
    <t>build wind float</t>
  </si>
  <si>
    <t>build wind non-float</t>
  </si>
  <si>
    <t>vehic wind float</t>
  </si>
  <si>
    <t>vehic wind non-float</t>
  </si>
  <si>
    <t>containers</t>
  </si>
  <si>
    <t>tableware</t>
  </si>
  <si>
    <t>headlamps</t>
  </si>
  <si>
    <t>Conjunto: hepatitis.arff</t>
  </si>
  <si>
    <t>Classe: Class</t>
  </si>
  <si>
    <t>DIE</t>
  </si>
  <si>
    <t>LIVE</t>
  </si>
  <si>
    <t>Conjunto: hypothyroid.arff</t>
  </si>
  <si>
    <t>negative</t>
  </si>
  <si>
    <t>compensated_hypothyroid</t>
  </si>
  <si>
    <t>primary_hypothyroid</t>
  </si>
  <si>
    <t>secondary_hypothyroid</t>
  </si>
  <si>
    <t>Conjunto: iris.arff</t>
  </si>
  <si>
    <t>Iris-setosa</t>
  </si>
  <si>
    <t>Iris-versicolor</t>
  </si>
  <si>
    <t>Iris-virginica</t>
  </si>
  <si>
    <t>Conjunto: primary-tumor.arff</t>
  </si>
  <si>
    <t>lung</t>
  </si>
  <si>
    <t>head and neck</t>
  </si>
  <si>
    <t>esophagus</t>
  </si>
  <si>
    <t>thyroid</t>
  </si>
  <si>
    <t>stomach</t>
  </si>
  <si>
    <t>duoden and sm.int</t>
  </si>
  <si>
    <t>colon</t>
  </si>
  <si>
    <t>rectum</t>
  </si>
  <si>
    <t>anus</t>
  </si>
  <si>
    <t>salivary glands</t>
  </si>
  <si>
    <t>pancreas</t>
  </si>
  <si>
    <t>gallbladder</t>
  </si>
  <si>
    <t>liver</t>
  </si>
  <si>
    <t>kidney</t>
  </si>
  <si>
    <t>bladder</t>
  </si>
  <si>
    <t>testis</t>
  </si>
  <si>
    <t>prostate</t>
  </si>
  <si>
    <t>ovary</t>
  </si>
  <si>
    <t>corpus uteri</t>
  </si>
  <si>
    <t>cervix uteri</t>
  </si>
  <si>
    <t>vagina</t>
  </si>
  <si>
    <t>breast</t>
  </si>
  <si>
    <t>Conjunto: vehicle.arff</t>
  </si>
  <si>
    <t>opel</t>
  </si>
  <si>
    <t>saab</t>
  </si>
  <si>
    <t>bus</t>
  </si>
  <si>
    <t>van</t>
  </si>
  <si>
    <t>Conjunto: tae.arff</t>
  </si>
  <si>
    <t>Classe: Class_attribute</t>
  </si>
  <si>
    <t>_x000C_</t>
  </si>
  <si>
    <t>k=10</t>
  </si>
  <si>
    <t>k=3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</si>
  <si>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</si>
  <si>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</si>
  <si>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</si>
  <si>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</si>
  <si>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</si>
  <si>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</si>
  <si>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</si>
  <si>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</si>
  <si>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</si>
  <si>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</si>
  <si>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</si>
  <si>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</si>
  <si>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</si>
  <si>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</si>
  <si>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</si>
  <si>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</si>
  <si>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</si>
  <si>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</si>
  <si>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</si>
  <si>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</si>
  <si>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</si>
  <si>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</si>
  <si>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Naïve Bayes - primary-tumor.arff</t>
  </si>
  <si>
    <t>J48 - primary-tumor.arff</t>
  </si>
  <si>
    <t>k=5</t>
  </si>
  <si>
    <t>NÃO APAGUE ESTA PASTA!</t>
  </si>
  <si>
    <t>MLP - primary-tumor.arff</t>
  </si>
  <si>
    <r>
      <rPr>
        <b/>
        <sz val="12"/>
        <color theme="1"/>
        <rFont val="Arial"/>
        <family val="2"/>
      </rPr>
      <t xml:space="preserve">↓ </t>
    </r>
    <r>
      <rPr>
        <b/>
        <sz val="12"/>
        <color theme="1"/>
        <rFont val="Calibri"/>
        <family val="2"/>
        <scheme val="minor"/>
      </rPr>
      <t>Real      Escolhido →</t>
    </r>
  </si>
  <si>
    <t>k-folds</t>
  </si>
  <si>
    <t>IBk - primary-tumor.arff</t>
  </si>
  <si>
    <t>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</si>
</sst>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FF66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left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5" borderId="2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right"/>
    </xf>
    <xf numFmtId="10" fontId="0" fillId="5" borderId="1" xfId="0" applyNumberForma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0645_Screen%20Shot%202016-11-20%20at%2017.06.29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23453_Screen%20Shot%202016-11-20%20at%2017.34.37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84"/>
  <sheetViews>
    <sheetView showGridLines="0" tabSelected="1" workbookViewId="0"/>
  </sheetViews>
  <sheetFormatPr baseColWidth="10" defaultRowHeight="15" x14ac:dyDescent="0"/>
  <cols>
    <col min="2" max="2" width="25.5" customWidth="1"/>
    <col min="3" max="3" width="19.6640625" bestFit="1" customWidth="1"/>
    <col min="4" max="4" width="9.6640625" bestFit="1" customWidth="1"/>
    <col min="5" max="5" width="14" customWidth="1"/>
    <col min="6" max="6" width="18.33203125" customWidth="1"/>
    <col min="7" max="7" width="18" bestFit="1" customWidth="1"/>
    <col min="9" max="9" width="16.5" bestFit="1" customWidth="1"/>
    <col min="13" max="13" width="13.1640625" bestFit="1" customWidth="1"/>
  </cols>
  <sheetData>
    <row r="1" spans="1:9">
      <c r="A1" s="22" t="s">
        <v>93</v>
      </c>
      <c r="B1" s="5" t="s">
        <v>0</v>
      </c>
      <c r="C1" s="7" t="s">
        <v>1</v>
      </c>
      <c r="D1" s="11" t="s">
        <v>2</v>
      </c>
      <c r="E1" s="2">
        <f>232+136</f>
        <v>368</v>
      </c>
    </row>
    <row r="2" spans="1:9">
      <c r="A2" s="37">
        <v>10</v>
      </c>
      <c r="B2" s="6" t="s">
        <v>92</v>
      </c>
      <c r="C2" s="9" t="s">
        <v>3</v>
      </c>
      <c r="D2" s="30" t="s">
        <v>4</v>
      </c>
      <c r="E2" s="30"/>
    </row>
    <row r="3" spans="1:9">
      <c r="A3" s="37"/>
      <c r="B3" s="1" t="str">
        <f>C2</f>
        <v>yes</v>
      </c>
      <c r="C3" s="12">
        <f>(((232)*100)/E1)/100</f>
        <v>0.63043478260869568</v>
      </c>
      <c r="D3" s="31">
        <v>0</v>
      </c>
      <c r="E3" s="31"/>
    </row>
    <row r="4" spans="1:9">
      <c r="A4" s="38"/>
      <c r="B4" s="1" t="str">
        <f>D2</f>
        <v>no</v>
      </c>
      <c r="C4" s="3">
        <f>(((136)*100)/E1)/100</f>
        <v>0.36956521739130438</v>
      </c>
      <c r="D4" s="32">
        <v>0</v>
      </c>
      <c r="E4" s="32"/>
    </row>
    <row r="6" spans="1:9">
      <c r="A6" s="22" t="str">
        <f>A1</f>
        <v>k-folds</v>
      </c>
      <c r="B6" s="5" t="s">
        <v>5</v>
      </c>
      <c r="C6" s="7" t="s">
        <v>6</v>
      </c>
      <c r="D6" s="35" t="s">
        <v>2</v>
      </c>
      <c r="E6" s="35"/>
      <c r="F6" s="35"/>
      <c r="G6" s="33">
        <f>112+254</f>
        <v>366</v>
      </c>
      <c r="H6" s="33"/>
      <c r="I6" s="34"/>
    </row>
    <row r="7" spans="1:9">
      <c r="A7" s="39">
        <v>10</v>
      </c>
      <c r="B7" s="10" t="str">
        <f>B2</f>
        <v>↓ Real      Escolhido →</v>
      </c>
      <c r="C7" s="9">
        <v>1</v>
      </c>
      <c r="D7" s="30">
        <v>2</v>
      </c>
      <c r="E7" s="30"/>
      <c r="F7" s="9">
        <v>3</v>
      </c>
      <c r="G7" s="1">
        <v>4</v>
      </c>
      <c r="H7" s="1">
        <v>5</v>
      </c>
      <c r="I7" s="1">
        <v>6</v>
      </c>
    </row>
    <row r="8" spans="1:9">
      <c r="A8" s="39"/>
      <c r="B8" s="1">
        <f>C7</f>
        <v>1</v>
      </c>
      <c r="C8" s="12">
        <f>(((112)*100)/G6)/100</f>
        <v>0.30601092896174864</v>
      </c>
      <c r="D8" s="31">
        <v>0</v>
      </c>
      <c r="E8" s="31"/>
      <c r="F8" s="3">
        <v>0</v>
      </c>
      <c r="G8" s="3">
        <v>0</v>
      </c>
      <c r="H8" s="3">
        <v>0</v>
      </c>
      <c r="I8" s="3">
        <v>0</v>
      </c>
    </row>
    <row r="9" spans="1:9">
      <c r="A9" s="39"/>
      <c r="B9" s="1">
        <f>D7</f>
        <v>2</v>
      </c>
      <c r="C9" s="3">
        <f>(((61)*100)/G6)/100</f>
        <v>0.16666666666666669</v>
      </c>
      <c r="D9" s="32">
        <v>0</v>
      </c>
      <c r="E9" s="32"/>
      <c r="F9" s="3">
        <v>0</v>
      </c>
      <c r="G9" s="3">
        <v>0</v>
      </c>
      <c r="H9" s="3">
        <v>0</v>
      </c>
      <c r="I9" s="3">
        <v>0</v>
      </c>
    </row>
    <row r="10" spans="1:9">
      <c r="A10" s="39"/>
      <c r="B10" s="1">
        <f>F7</f>
        <v>3</v>
      </c>
      <c r="C10" s="3">
        <f>(((72)*100)/G6)/100</f>
        <v>0.19672131147540983</v>
      </c>
      <c r="D10" s="31">
        <v>0</v>
      </c>
      <c r="E10" s="31"/>
      <c r="F10" s="12">
        <v>0</v>
      </c>
      <c r="G10" s="3">
        <v>0</v>
      </c>
      <c r="H10" s="3">
        <v>0</v>
      </c>
      <c r="I10" s="3">
        <v>0</v>
      </c>
    </row>
    <row r="11" spans="1:9">
      <c r="A11" s="39"/>
      <c r="B11" s="1">
        <f>G7</f>
        <v>4</v>
      </c>
      <c r="C11" s="3">
        <f>(((49)*100)/G6)/100</f>
        <v>0.13387978142076501</v>
      </c>
      <c r="D11" s="31">
        <v>0</v>
      </c>
      <c r="E11" s="31"/>
      <c r="F11" s="3">
        <v>0</v>
      </c>
      <c r="G11" s="12">
        <v>0</v>
      </c>
      <c r="H11" s="3">
        <v>0</v>
      </c>
      <c r="I11" s="3">
        <v>0</v>
      </c>
    </row>
    <row r="12" spans="1:9">
      <c r="A12" s="39"/>
      <c r="B12" s="1">
        <f>H7</f>
        <v>5</v>
      </c>
      <c r="C12" s="3">
        <f>(((52)*100)/G6)/100</f>
        <v>0.14207650273224043</v>
      </c>
      <c r="D12" s="31">
        <v>0</v>
      </c>
      <c r="E12" s="31"/>
      <c r="F12" s="3">
        <v>0</v>
      </c>
      <c r="G12" s="3">
        <v>0</v>
      </c>
      <c r="H12" s="12">
        <v>0</v>
      </c>
      <c r="I12" s="3">
        <v>0</v>
      </c>
    </row>
    <row r="13" spans="1:9">
      <c r="A13" s="39"/>
      <c r="B13" s="1">
        <f>I7</f>
        <v>6</v>
      </c>
      <c r="C13" s="3">
        <f>(((20)*100)/G6)/100</f>
        <v>5.4644808743169397E-2</v>
      </c>
      <c r="D13" s="31">
        <v>0</v>
      </c>
      <c r="E13" s="31"/>
      <c r="F13" s="3">
        <v>0</v>
      </c>
      <c r="G13" s="3">
        <v>0</v>
      </c>
      <c r="H13" s="3">
        <v>0</v>
      </c>
      <c r="I13" s="12">
        <v>0</v>
      </c>
    </row>
    <row r="15" spans="1:9">
      <c r="A15" s="22" t="str">
        <f>A1</f>
        <v>k-folds</v>
      </c>
      <c r="B15" s="5" t="s">
        <v>7</v>
      </c>
      <c r="C15" s="7" t="s">
        <v>6</v>
      </c>
      <c r="D15" s="11" t="s">
        <v>2</v>
      </c>
      <c r="E15" s="2">
        <f>500+268</f>
        <v>768</v>
      </c>
    </row>
    <row r="16" spans="1:9">
      <c r="A16" s="37">
        <v>10</v>
      </c>
      <c r="B16" s="6" t="str">
        <f>B2</f>
        <v>↓ Real      Escolhido →</v>
      </c>
      <c r="C16" s="9" t="s">
        <v>8</v>
      </c>
      <c r="D16" s="30" t="s">
        <v>9</v>
      </c>
      <c r="E16" s="30"/>
    </row>
    <row r="17" spans="1:10">
      <c r="A17" s="37"/>
      <c r="B17" s="1" t="str">
        <f>C16</f>
        <v>tested_negative</v>
      </c>
      <c r="C17" s="3">
        <f>(((500)*100)/E15)/100</f>
        <v>0.65104166666666674</v>
      </c>
      <c r="D17" s="31">
        <v>0</v>
      </c>
      <c r="E17" s="31"/>
    </row>
    <row r="18" spans="1:10">
      <c r="A18" s="38"/>
      <c r="B18" s="1" t="str">
        <f>D16</f>
        <v>tested_positive</v>
      </c>
      <c r="C18" s="3">
        <f>(((268)*100)/E15)/100</f>
        <v>0.34895833333333337</v>
      </c>
      <c r="D18" s="31">
        <v>0</v>
      </c>
      <c r="E18" s="31"/>
    </row>
    <row r="20" spans="1:10">
      <c r="A20" s="22" t="str">
        <f>A1</f>
        <v>k-folds</v>
      </c>
      <c r="B20" s="5" t="s">
        <v>10</v>
      </c>
      <c r="C20" s="7" t="s">
        <v>11</v>
      </c>
      <c r="D20" s="35" t="s">
        <v>2</v>
      </c>
      <c r="E20" s="35"/>
      <c r="F20" s="35"/>
      <c r="G20" s="33">
        <f>76+138</f>
        <v>214</v>
      </c>
      <c r="H20" s="33"/>
      <c r="I20" s="33"/>
      <c r="J20" s="34"/>
    </row>
    <row r="21" spans="1:10">
      <c r="A21" s="39">
        <v>10</v>
      </c>
      <c r="B21" s="10" t="str">
        <f>B2</f>
        <v>↓ Real      Escolhido →</v>
      </c>
      <c r="C21" s="9" t="s">
        <v>12</v>
      </c>
      <c r="D21" s="30" t="s">
        <v>13</v>
      </c>
      <c r="E21" s="30"/>
      <c r="F21" s="9" t="s">
        <v>14</v>
      </c>
      <c r="G21" s="1" t="s">
        <v>15</v>
      </c>
      <c r="H21" s="1" t="s">
        <v>16</v>
      </c>
      <c r="I21" s="1" t="s">
        <v>17</v>
      </c>
      <c r="J21" s="1" t="s">
        <v>18</v>
      </c>
    </row>
    <row r="22" spans="1:10">
      <c r="A22" s="39"/>
      <c r="B22" s="1" t="str">
        <f>C21</f>
        <v>build wind float</v>
      </c>
      <c r="C22" s="12">
        <f>(((70)*100)/G20)/100</f>
        <v>0.32710280373831779</v>
      </c>
      <c r="D22" s="31">
        <v>0</v>
      </c>
      <c r="E22" s="31"/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>
      <c r="A23" s="39"/>
      <c r="B23" s="1" t="str">
        <f>D21</f>
        <v>build wind non-float</v>
      </c>
      <c r="C23" s="3">
        <f>(((76)*100)/G20)/100</f>
        <v>0.35514018691588789</v>
      </c>
      <c r="D23" s="32">
        <v>0</v>
      </c>
      <c r="E23" s="32"/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>
      <c r="A24" s="39"/>
      <c r="B24" s="1" t="str">
        <f>F21</f>
        <v>vehic wind float</v>
      </c>
      <c r="C24" s="3">
        <f>(((17)*100)/G20)/100</f>
        <v>7.9439252336448607E-2</v>
      </c>
      <c r="D24" s="31">
        <v>0</v>
      </c>
      <c r="E24" s="31"/>
      <c r="F24" s="12">
        <v>0</v>
      </c>
      <c r="G24" s="3">
        <v>0</v>
      </c>
      <c r="H24" s="3">
        <v>0</v>
      </c>
      <c r="I24" s="3">
        <v>0</v>
      </c>
      <c r="J24" s="3">
        <v>0</v>
      </c>
    </row>
    <row r="25" spans="1:10">
      <c r="A25" s="39"/>
      <c r="B25" s="1" t="str">
        <f>G21</f>
        <v>vehic wind non-float</v>
      </c>
      <c r="C25" s="3">
        <v>0</v>
      </c>
      <c r="D25" s="31">
        <v>0</v>
      </c>
      <c r="E25" s="31"/>
      <c r="F25" s="3">
        <v>0</v>
      </c>
      <c r="G25" s="12">
        <v>0</v>
      </c>
      <c r="H25" s="3">
        <v>0</v>
      </c>
      <c r="I25" s="3">
        <v>0</v>
      </c>
      <c r="J25" s="3">
        <v>0</v>
      </c>
    </row>
    <row r="26" spans="1:10">
      <c r="A26" s="39"/>
      <c r="B26" s="1" t="str">
        <f>H21</f>
        <v>containers</v>
      </c>
      <c r="C26" s="3">
        <f>(((13)*100)/G20)/100</f>
        <v>6.0747663551401869E-2</v>
      </c>
      <c r="D26" s="31">
        <v>0</v>
      </c>
      <c r="E26" s="31"/>
      <c r="F26" s="3">
        <v>0</v>
      </c>
      <c r="G26" s="3">
        <v>0</v>
      </c>
      <c r="H26" s="12">
        <v>0</v>
      </c>
      <c r="I26" s="3">
        <v>0</v>
      </c>
      <c r="J26" s="3">
        <v>0</v>
      </c>
    </row>
    <row r="27" spans="1:10">
      <c r="A27" s="39"/>
      <c r="B27" s="1" t="str">
        <f>I21</f>
        <v>tableware</v>
      </c>
      <c r="C27" s="3">
        <f>(((9)*100)/G20)/100</f>
        <v>4.2056074766355138E-2</v>
      </c>
      <c r="D27" s="31">
        <v>0</v>
      </c>
      <c r="E27" s="31"/>
      <c r="F27" s="3">
        <v>0</v>
      </c>
      <c r="G27" s="3">
        <v>0</v>
      </c>
      <c r="H27" s="3">
        <v>0</v>
      </c>
      <c r="I27" s="12">
        <v>0</v>
      </c>
      <c r="J27" s="3">
        <v>0</v>
      </c>
    </row>
    <row r="28" spans="1:10">
      <c r="A28" s="39"/>
      <c r="B28" s="1" t="str">
        <f>J21</f>
        <v>headlamps</v>
      </c>
      <c r="C28" s="3">
        <f>(((29)*100)/G20)/100</f>
        <v>0.13551401869158877</v>
      </c>
      <c r="D28" s="31">
        <v>0</v>
      </c>
      <c r="E28" s="31"/>
      <c r="F28" s="3">
        <v>0</v>
      </c>
      <c r="G28" s="3">
        <v>0</v>
      </c>
      <c r="H28" s="3">
        <v>0</v>
      </c>
      <c r="I28" s="3">
        <v>0</v>
      </c>
      <c r="J28" s="12">
        <v>0</v>
      </c>
    </row>
    <row r="30" spans="1:10">
      <c r="A30" s="22" t="str">
        <f>A1</f>
        <v>k-folds</v>
      </c>
      <c r="B30" s="5" t="s">
        <v>19</v>
      </c>
      <c r="C30" s="7" t="s">
        <v>20</v>
      </c>
      <c r="D30" s="11" t="s">
        <v>2</v>
      </c>
      <c r="E30" s="2">
        <f>123+32</f>
        <v>155</v>
      </c>
    </row>
    <row r="31" spans="1:10">
      <c r="A31" s="37">
        <v>10</v>
      </c>
      <c r="B31" s="6" t="str">
        <f>B2</f>
        <v>↓ Real      Escolhido →</v>
      </c>
      <c r="C31" s="9" t="s">
        <v>21</v>
      </c>
      <c r="D31" s="30" t="s">
        <v>22</v>
      </c>
      <c r="E31" s="30"/>
    </row>
    <row r="32" spans="1:10">
      <c r="A32" s="37"/>
      <c r="B32" s="1" t="str">
        <f>C31</f>
        <v>DIE</v>
      </c>
      <c r="C32" s="12">
        <v>0</v>
      </c>
      <c r="D32" s="31">
        <f>(((32)*100)/E30)/100</f>
        <v>0.20645161290322581</v>
      </c>
      <c r="E32" s="31"/>
    </row>
    <row r="33" spans="1:25">
      <c r="A33" s="38"/>
      <c r="B33" s="1" t="str">
        <f>D31</f>
        <v>LIVE</v>
      </c>
      <c r="C33" s="3">
        <v>0</v>
      </c>
      <c r="D33" s="32">
        <f>(((123)*100)/E30)/100</f>
        <v>0.79354838709677422</v>
      </c>
      <c r="E33" s="32"/>
    </row>
    <row r="35" spans="1:25">
      <c r="A35" s="22" t="str">
        <f>A1</f>
        <v>k-folds</v>
      </c>
      <c r="B35" s="5" t="s">
        <v>23</v>
      </c>
      <c r="C35" s="7" t="s">
        <v>20</v>
      </c>
      <c r="D35" s="11" t="s">
        <v>2</v>
      </c>
      <c r="E35" s="33">
        <f>3481+291</f>
        <v>3772</v>
      </c>
      <c r="F35" s="33"/>
      <c r="G35" s="33"/>
      <c r="H35" s="34"/>
    </row>
    <row r="36" spans="1:25">
      <c r="A36" s="39">
        <v>10</v>
      </c>
      <c r="B36" s="6" t="str">
        <f>B2</f>
        <v>↓ Real      Escolhido →</v>
      </c>
      <c r="C36" s="9" t="s">
        <v>24</v>
      </c>
      <c r="D36" s="30" t="s">
        <v>25</v>
      </c>
      <c r="E36" s="30"/>
      <c r="F36" s="9" t="s">
        <v>26</v>
      </c>
      <c r="G36" s="30" t="s">
        <v>27</v>
      </c>
      <c r="H36" s="30"/>
    </row>
    <row r="37" spans="1:25">
      <c r="A37" s="39"/>
      <c r="B37" s="1" t="str">
        <f>C36</f>
        <v>negative</v>
      </c>
      <c r="C37" s="12">
        <f>(((3481)*100)/E35)/100</f>
        <v>0.92285259809119835</v>
      </c>
      <c r="D37" s="31">
        <v>0</v>
      </c>
      <c r="E37" s="31"/>
      <c r="F37" s="14">
        <v>0</v>
      </c>
      <c r="G37" s="31">
        <v>0</v>
      </c>
      <c r="H37" s="31"/>
    </row>
    <row r="38" spans="1:25">
      <c r="A38" s="39"/>
      <c r="B38" s="1" t="str">
        <f>D36</f>
        <v>compensated_hypothyroid</v>
      </c>
      <c r="C38" s="3">
        <f>(((194)*100)/E35)/100</f>
        <v>5.1431601272534468E-2</v>
      </c>
      <c r="D38" s="32">
        <v>0</v>
      </c>
      <c r="E38" s="32"/>
      <c r="F38" s="3">
        <v>0</v>
      </c>
      <c r="G38" s="36">
        <v>0</v>
      </c>
      <c r="H38" s="36"/>
    </row>
    <row r="39" spans="1:25">
      <c r="A39" s="39"/>
      <c r="B39" s="1" t="str">
        <f>F36</f>
        <v>primary_hypothyroid</v>
      </c>
      <c r="C39" s="14">
        <f>(((95)*100)/E35)/100</f>
        <v>2.5185577942735949E-2</v>
      </c>
      <c r="D39" s="31">
        <v>0</v>
      </c>
      <c r="E39" s="31"/>
      <c r="F39" s="12">
        <v>0</v>
      </c>
      <c r="G39" s="31">
        <v>0</v>
      </c>
      <c r="H39" s="31"/>
    </row>
    <row r="40" spans="1:25">
      <c r="A40" s="39"/>
      <c r="B40" s="1" t="str">
        <f>G36</f>
        <v>secondary_hypothyroid</v>
      </c>
      <c r="C40" s="3">
        <f>(((2)*100)/E35)/100</f>
        <v>5.3022269353128319E-4</v>
      </c>
      <c r="D40" s="36">
        <v>0</v>
      </c>
      <c r="E40" s="36"/>
      <c r="F40" s="3">
        <v>0</v>
      </c>
      <c r="G40" s="32">
        <v>0</v>
      </c>
      <c r="H40" s="32"/>
    </row>
    <row r="42" spans="1:25">
      <c r="A42" s="22" t="str">
        <f>A1</f>
        <v>k-folds</v>
      </c>
      <c r="B42" s="5" t="s">
        <v>28</v>
      </c>
      <c r="C42" s="7" t="s">
        <v>6</v>
      </c>
      <c r="D42" s="11" t="s">
        <v>2</v>
      </c>
      <c r="E42" s="33">
        <f>50+100</f>
        <v>150</v>
      </c>
      <c r="F42" s="34"/>
    </row>
    <row r="43" spans="1:25">
      <c r="A43" s="39">
        <v>10</v>
      </c>
      <c r="B43" s="6" t="str">
        <f>B2</f>
        <v>↓ Real      Escolhido →</v>
      </c>
      <c r="C43" s="9" t="s">
        <v>29</v>
      </c>
      <c r="D43" s="30" t="s">
        <v>30</v>
      </c>
      <c r="E43" s="30"/>
      <c r="F43" s="9" t="s">
        <v>31</v>
      </c>
    </row>
    <row r="44" spans="1:25">
      <c r="A44" s="39"/>
      <c r="B44" s="1" t="str">
        <f>C43</f>
        <v>Iris-setosa</v>
      </c>
      <c r="C44" s="12">
        <f>(((50)*100)/E42)/100</f>
        <v>0.33333333333333337</v>
      </c>
      <c r="D44" s="31">
        <v>0</v>
      </c>
      <c r="E44" s="31"/>
      <c r="F44" s="14">
        <v>0</v>
      </c>
    </row>
    <row r="45" spans="1:25">
      <c r="A45" s="39"/>
      <c r="B45" s="1" t="str">
        <f>D43</f>
        <v>Iris-versicolor</v>
      </c>
      <c r="C45" s="3">
        <f>(((50)*100)/E42)/100</f>
        <v>0.33333333333333337</v>
      </c>
      <c r="D45" s="32">
        <v>0</v>
      </c>
      <c r="E45" s="32"/>
      <c r="F45" s="3">
        <v>0</v>
      </c>
    </row>
    <row r="46" spans="1:25">
      <c r="A46" s="39"/>
      <c r="B46" s="1" t="str">
        <f>F43</f>
        <v>Iris-virginica</v>
      </c>
      <c r="C46" s="14">
        <f>(((50)*100)/E42)/100</f>
        <v>0.33333333333333337</v>
      </c>
      <c r="D46" s="31">
        <v>0</v>
      </c>
      <c r="E46" s="31"/>
      <c r="F46" s="12">
        <v>0</v>
      </c>
    </row>
    <row r="48" spans="1:25">
      <c r="A48" s="22" t="str">
        <f>A1</f>
        <v>k-folds</v>
      </c>
      <c r="B48" s="5" t="s">
        <v>32</v>
      </c>
      <c r="C48" s="7" t="s">
        <v>11</v>
      </c>
      <c r="D48" s="35" t="s">
        <v>2</v>
      </c>
      <c r="E48" s="35"/>
      <c r="F48" s="35"/>
      <c r="G48" s="33">
        <f>255+84</f>
        <v>339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</row>
    <row r="49" spans="1:25">
      <c r="A49" s="39">
        <v>10</v>
      </c>
      <c r="B49" s="10" t="str">
        <f>B2</f>
        <v>↓ Real      Escolhido →</v>
      </c>
      <c r="C49" s="16" t="s">
        <v>33</v>
      </c>
      <c r="D49" s="40" t="s">
        <v>34</v>
      </c>
      <c r="E49" s="40"/>
      <c r="F49" s="16" t="s">
        <v>35</v>
      </c>
      <c r="G49" s="16" t="s">
        <v>36</v>
      </c>
      <c r="H49" s="16" t="s">
        <v>37</v>
      </c>
      <c r="I49" s="16" t="s">
        <v>38</v>
      </c>
      <c r="J49" s="16" t="s">
        <v>39</v>
      </c>
      <c r="K49" s="16" t="s">
        <v>40</v>
      </c>
      <c r="L49" s="16" t="s">
        <v>41</v>
      </c>
      <c r="M49" s="16" t="s">
        <v>42</v>
      </c>
      <c r="N49" s="16" t="s">
        <v>43</v>
      </c>
      <c r="O49" s="16" t="s">
        <v>44</v>
      </c>
      <c r="P49" s="16" t="s">
        <v>45</v>
      </c>
      <c r="Q49" s="16" t="s">
        <v>46</v>
      </c>
      <c r="R49" s="18" t="s">
        <v>47</v>
      </c>
      <c r="S49" s="18" t="s">
        <v>48</v>
      </c>
      <c r="T49" s="18" t="s">
        <v>49</v>
      </c>
      <c r="U49" s="18" t="s">
        <v>50</v>
      </c>
      <c r="V49" s="18" t="s">
        <v>51</v>
      </c>
      <c r="W49" s="18" t="s">
        <v>52</v>
      </c>
      <c r="X49" s="18" t="s">
        <v>53</v>
      </c>
      <c r="Y49" s="18" t="s">
        <v>54</v>
      </c>
    </row>
    <row r="50" spans="1:25">
      <c r="A50" s="39"/>
      <c r="B50" s="1" t="str">
        <f>C49</f>
        <v>lung</v>
      </c>
      <c r="C50" s="12">
        <f>(((84)*100)/G48)/100</f>
        <v>0.24778761061946902</v>
      </c>
      <c r="D50" s="36">
        <v>0</v>
      </c>
      <c r="E50" s="36"/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9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</row>
    <row r="51" spans="1:25">
      <c r="A51" s="39"/>
      <c r="B51" s="1" t="str">
        <f>D49</f>
        <v>head and neck</v>
      </c>
      <c r="C51" s="14">
        <f>(((20)*100)/G48)/100</f>
        <v>5.8997050147492625E-2</v>
      </c>
      <c r="D51" s="32">
        <v>0</v>
      </c>
      <c r="E51" s="32"/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20">
        <v>0</v>
      </c>
      <c r="S51" s="19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</row>
    <row r="52" spans="1:25">
      <c r="A52" s="39"/>
      <c r="B52" s="1" t="str">
        <f>F49</f>
        <v>esophagus</v>
      </c>
      <c r="C52" s="14">
        <f>(((9)*100)/G48)/100</f>
        <v>2.6548672566371681E-2</v>
      </c>
      <c r="D52" s="36">
        <v>0</v>
      </c>
      <c r="E52" s="36"/>
      <c r="F52" s="12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20">
        <v>0</v>
      </c>
      <c r="S52" s="20">
        <v>0</v>
      </c>
      <c r="T52" s="19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</row>
    <row r="53" spans="1:25">
      <c r="A53" s="39"/>
      <c r="B53" s="1" t="str">
        <f>G49</f>
        <v>thyroid</v>
      </c>
      <c r="C53" s="14">
        <f>(((14)*100)/G48)/100</f>
        <v>4.1297935103244837E-2</v>
      </c>
      <c r="D53" s="36">
        <v>0</v>
      </c>
      <c r="E53" s="36"/>
      <c r="F53" s="14">
        <v>0</v>
      </c>
      <c r="G53" s="12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20">
        <v>0</v>
      </c>
      <c r="S53" s="20">
        <v>0</v>
      </c>
      <c r="T53" s="20">
        <v>0</v>
      </c>
      <c r="U53" s="19">
        <v>0</v>
      </c>
      <c r="V53" s="20">
        <v>0</v>
      </c>
      <c r="W53" s="20">
        <v>0</v>
      </c>
      <c r="X53" s="20">
        <v>0</v>
      </c>
      <c r="Y53" s="20">
        <v>0</v>
      </c>
    </row>
    <row r="54" spans="1:25">
      <c r="A54" s="39"/>
      <c r="B54" s="1" t="str">
        <f>H49</f>
        <v>stomach</v>
      </c>
      <c r="C54" s="14">
        <f>(((39)*100)/G48)/100</f>
        <v>0.11504424778761062</v>
      </c>
      <c r="D54" s="36">
        <v>0</v>
      </c>
      <c r="E54" s="36"/>
      <c r="F54" s="14">
        <v>0</v>
      </c>
      <c r="G54" s="14">
        <v>0</v>
      </c>
      <c r="H54" s="12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20">
        <v>0</v>
      </c>
      <c r="X54" s="20">
        <v>0</v>
      </c>
      <c r="Y54" s="20">
        <v>0</v>
      </c>
    </row>
    <row r="55" spans="1:25">
      <c r="A55" s="39"/>
      <c r="B55" s="1" t="str">
        <f>I49</f>
        <v>duoden and sm.int</v>
      </c>
      <c r="C55" s="14">
        <f>(((1)*100)/G48)/100</f>
        <v>2.9498525073746312E-3</v>
      </c>
      <c r="D55" s="36">
        <v>0</v>
      </c>
      <c r="E55" s="36"/>
      <c r="F55" s="14">
        <v>0</v>
      </c>
      <c r="G55" s="14">
        <v>0</v>
      </c>
      <c r="H55" s="14">
        <v>0</v>
      </c>
      <c r="I55" s="12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19">
        <v>0</v>
      </c>
      <c r="X55" s="20">
        <v>0</v>
      </c>
      <c r="Y55" s="20">
        <v>0</v>
      </c>
    </row>
    <row r="56" spans="1:25">
      <c r="A56" s="39"/>
      <c r="B56" s="1" t="str">
        <f>J49</f>
        <v>colon</v>
      </c>
      <c r="C56" s="14">
        <f>(((14)*100)/G48)/100</f>
        <v>4.1297935103244837E-2</v>
      </c>
      <c r="D56" s="36">
        <v>0</v>
      </c>
      <c r="E56" s="36"/>
      <c r="F56" s="14">
        <v>0</v>
      </c>
      <c r="G56" s="14">
        <v>0</v>
      </c>
      <c r="H56" s="14">
        <v>0</v>
      </c>
      <c r="I56" s="14">
        <v>0</v>
      </c>
      <c r="J56" s="12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19">
        <v>0</v>
      </c>
      <c r="Y56" s="19">
        <v>0</v>
      </c>
    </row>
    <row r="57" spans="1:25">
      <c r="A57" s="39"/>
      <c r="B57" s="1" t="str">
        <f>K49</f>
        <v>rectum</v>
      </c>
      <c r="C57" s="14">
        <f>(((6)*100)/G48)/100</f>
        <v>1.7699115044247787E-2</v>
      </c>
      <c r="D57" s="36">
        <v>0</v>
      </c>
      <c r="E57" s="36"/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9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</row>
    <row r="58" spans="1:25">
      <c r="A58" s="39"/>
      <c r="B58" s="1" t="str">
        <f>L49</f>
        <v>anus</v>
      </c>
      <c r="C58" s="14">
        <f>(((0)*100)/G48)/100</f>
        <v>0</v>
      </c>
      <c r="D58" s="36">
        <v>0</v>
      </c>
      <c r="E58" s="36"/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2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20">
        <v>0</v>
      </c>
      <c r="S58" s="19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</row>
    <row r="59" spans="1:25">
      <c r="A59" s="39"/>
      <c r="B59" s="1" t="str">
        <f>M49</f>
        <v>salivary glands</v>
      </c>
      <c r="C59" s="14">
        <f>(((2)*100)/G48)/100</f>
        <v>5.8997050147492625E-3</v>
      </c>
      <c r="D59" s="36">
        <v>0</v>
      </c>
      <c r="E59" s="36"/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2">
        <v>0</v>
      </c>
      <c r="N59" s="14">
        <v>0</v>
      </c>
      <c r="O59" s="14">
        <v>0</v>
      </c>
      <c r="P59" s="14">
        <v>0</v>
      </c>
      <c r="Q59" s="14">
        <v>0</v>
      </c>
      <c r="R59" s="20">
        <v>0</v>
      </c>
      <c r="S59" s="20">
        <v>0</v>
      </c>
      <c r="T59" s="19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</row>
    <row r="60" spans="1:25">
      <c r="A60" s="39"/>
      <c r="B60" s="1" t="str">
        <f>N49</f>
        <v>pancreas</v>
      </c>
      <c r="C60" s="14">
        <f>(((28)*100)/G48)/100</f>
        <v>8.2595870206489674E-2</v>
      </c>
      <c r="D60" s="36">
        <v>0</v>
      </c>
      <c r="E60" s="36"/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2">
        <v>0</v>
      </c>
      <c r="O60" s="14">
        <v>0</v>
      </c>
      <c r="P60" s="14">
        <v>0</v>
      </c>
      <c r="Q60" s="14">
        <v>0</v>
      </c>
      <c r="R60" s="20">
        <v>0</v>
      </c>
      <c r="S60" s="20">
        <v>0</v>
      </c>
      <c r="T60" s="20">
        <v>0</v>
      </c>
      <c r="U60" s="19">
        <v>0</v>
      </c>
      <c r="V60" s="20">
        <v>0</v>
      </c>
      <c r="W60" s="20">
        <v>0</v>
      </c>
      <c r="X60" s="20">
        <v>0</v>
      </c>
      <c r="Y60" s="20">
        <v>0</v>
      </c>
    </row>
    <row r="61" spans="1:25">
      <c r="A61" s="39"/>
      <c r="B61" s="1" t="str">
        <f>O49</f>
        <v>gallbladder</v>
      </c>
      <c r="C61" s="14">
        <f>(((16)*100)/G48)/100</f>
        <v>4.71976401179941E-2</v>
      </c>
      <c r="D61" s="36">
        <v>0</v>
      </c>
      <c r="E61" s="36"/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2">
        <v>0</v>
      </c>
      <c r="P61" s="14">
        <v>0</v>
      </c>
      <c r="Q61" s="14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20">
        <v>0</v>
      </c>
      <c r="X61" s="20">
        <v>0</v>
      </c>
      <c r="Y61" s="20">
        <v>0</v>
      </c>
    </row>
    <row r="62" spans="1:25">
      <c r="A62" s="39"/>
      <c r="B62" s="1" t="str">
        <f>P49</f>
        <v>liver</v>
      </c>
      <c r="C62" s="14">
        <f>(((7)*100)/G48)/100</f>
        <v>2.0648967551622419E-2</v>
      </c>
      <c r="D62" s="36">
        <v>0</v>
      </c>
      <c r="E62" s="36"/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4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19">
        <v>0</v>
      </c>
      <c r="X62" s="20">
        <v>0</v>
      </c>
      <c r="Y62" s="20">
        <v>0</v>
      </c>
    </row>
    <row r="63" spans="1:25">
      <c r="A63" s="39"/>
      <c r="B63" s="1" t="str">
        <f>Q49</f>
        <v>kidney</v>
      </c>
      <c r="C63" s="14">
        <f>(((24)*100)/G48)/100</f>
        <v>7.0796460176991149E-2</v>
      </c>
      <c r="D63" s="36">
        <v>0</v>
      </c>
      <c r="E63" s="36"/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2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19">
        <v>0</v>
      </c>
      <c r="Y63" s="19">
        <v>0</v>
      </c>
    </row>
    <row r="64" spans="1:25">
      <c r="A64" s="39"/>
      <c r="B64" s="1" t="str">
        <f>R49</f>
        <v>bladder</v>
      </c>
      <c r="C64" s="14">
        <f>(((2)*100)/G48)/100</f>
        <v>5.8997050147492625E-3</v>
      </c>
      <c r="D64" s="36">
        <v>0</v>
      </c>
      <c r="E64" s="36"/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21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</row>
    <row r="65" spans="1:25">
      <c r="A65" s="39"/>
      <c r="B65" s="1" t="str">
        <f>S49</f>
        <v>testis</v>
      </c>
      <c r="C65" s="14">
        <f>(((1)*100)/G48)/100</f>
        <v>2.9498525073746312E-3</v>
      </c>
      <c r="D65" s="36">
        <v>0</v>
      </c>
      <c r="E65" s="36"/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20">
        <v>0</v>
      </c>
      <c r="S65" s="21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</row>
    <row r="66" spans="1:25">
      <c r="A66" s="39"/>
      <c r="B66" s="1" t="str">
        <f>T49</f>
        <v>prostate</v>
      </c>
      <c r="C66" s="14">
        <f>(((10)*100)/G48)/100</f>
        <v>2.9498525073746312E-2</v>
      </c>
      <c r="D66" s="36">
        <v>0</v>
      </c>
      <c r="E66" s="36"/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20">
        <v>0</v>
      </c>
      <c r="S66" s="20">
        <v>0</v>
      </c>
      <c r="T66" s="21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</row>
    <row r="67" spans="1:25">
      <c r="A67" s="39"/>
      <c r="B67" s="1" t="str">
        <f>U49</f>
        <v>ovary</v>
      </c>
      <c r="C67" s="14">
        <f>(((29)*100)/G48)/100</f>
        <v>8.5545722713864306E-2</v>
      </c>
      <c r="D67" s="36">
        <v>0</v>
      </c>
      <c r="E67" s="36"/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20">
        <v>0</v>
      </c>
      <c r="S67" s="20">
        <v>0</v>
      </c>
      <c r="T67" s="20">
        <v>0</v>
      </c>
      <c r="U67" s="21">
        <v>0</v>
      </c>
      <c r="V67" s="20">
        <v>0</v>
      </c>
      <c r="W67" s="20">
        <v>0</v>
      </c>
      <c r="X67" s="20">
        <v>0</v>
      </c>
      <c r="Y67" s="20">
        <v>0</v>
      </c>
    </row>
    <row r="68" spans="1:25">
      <c r="A68" s="39"/>
      <c r="B68" s="1" t="str">
        <f>V49</f>
        <v>corpus uteri</v>
      </c>
      <c r="C68" s="14">
        <f>(((6)*100)/G48)/100</f>
        <v>1.7699115044247787E-2</v>
      </c>
      <c r="D68" s="36">
        <v>0</v>
      </c>
      <c r="E68" s="36"/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20">
        <v>0</v>
      </c>
      <c r="S68" s="20">
        <v>0</v>
      </c>
      <c r="T68" s="20">
        <v>0</v>
      </c>
      <c r="U68" s="20">
        <v>0</v>
      </c>
      <c r="V68" s="21">
        <v>0</v>
      </c>
      <c r="W68" s="20">
        <v>0</v>
      </c>
      <c r="X68" s="20">
        <v>0</v>
      </c>
      <c r="Y68" s="20">
        <v>0</v>
      </c>
    </row>
    <row r="69" spans="1:25">
      <c r="A69" s="39"/>
      <c r="B69" s="1" t="str">
        <f>W49</f>
        <v>cervix uteri</v>
      </c>
      <c r="C69" s="14">
        <f>(((2)*100)/G48)/100</f>
        <v>5.8997050147492625E-3</v>
      </c>
      <c r="D69" s="36">
        <v>0</v>
      </c>
      <c r="E69" s="36"/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1">
        <v>0</v>
      </c>
      <c r="X69" s="20">
        <v>0</v>
      </c>
      <c r="Y69" s="20">
        <v>0</v>
      </c>
    </row>
    <row r="70" spans="1:25">
      <c r="A70" s="39"/>
      <c r="B70" s="1" t="str">
        <f>X49</f>
        <v>vagina</v>
      </c>
      <c r="C70" s="14">
        <f>(((1)*100)/G48)/100</f>
        <v>2.9498525073746312E-3</v>
      </c>
      <c r="D70" s="36">
        <v>0</v>
      </c>
      <c r="E70" s="36"/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1">
        <v>0</v>
      </c>
      <c r="Y70" s="19">
        <v>0</v>
      </c>
    </row>
    <row r="71" spans="1:25">
      <c r="A71" s="39"/>
      <c r="B71" s="1" t="str">
        <f>Y49</f>
        <v>breast</v>
      </c>
      <c r="C71" s="14">
        <f>(((24)*100)/G48)/100</f>
        <v>7.0796460176991149E-2</v>
      </c>
      <c r="D71" s="36">
        <v>0</v>
      </c>
      <c r="E71" s="36"/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19">
        <v>0</v>
      </c>
      <c r="Y71" s="21">
        <v>0</v>
      </c>
    </row>
    <row r="73" spans="1:25">
      <c r="A73" s="22" t="str">
        <f>A1</f>
        <v>k-folds</v>
      </c>
      <c r="B73" s="5" t="s">
        <v>55</v>
      </c>
      <c r="C73" s="7" t="s">
        <v>20</v>
      </c>
      <c r="D73" s="11" t="s">
        <v>2</v>
      </c>
      <c r="E73" s="33">
        <f>629+217</f>
        <v>846</v>
      </c>
      <c r="F73" s="33"/>
      <c r="G73" s="33"/>
      <c r="H73" s="34"/>
    </row>
    <row r="74" spans="1:25">
      <c r="A74" s="39">
        <v>10</v>
      </c>
      <c r="B74" s="6" t="str">
        <f>B2</f>
        <v>↓ Real      Escolhido →</v>
      </c>
      <c r="C74" s="9" t="s">
        <v>56</v>
      </c>
      <c r="D74" s="30" t="s">
        <v>57</v>
      </c>
      <c r="E74" s="30"/>
      <c r="F74" s="9" t="s">
        <v>58</v>
      </c>
      <c r="G74" s="30" t="s">
        <v>59</v>
      </c>
      <c r="H74" s="30"/>
    </row>
    <row r="75" spans="1:25">
      <c r="A75" s="39"/>
      <c r="B75" s="1" t="str">
        <f>C74</f>
        <v>opel</v>
      </c>
      <c r="C75" s="12">
        <v>0</v>
      </c>
      <c r="D75" s="31">
        <f>(((21)*100)/E73)/100</f>
        <v>2.4822695035460991E-2</v>
      </c>
      <c r="E75" s="31"/>
      <c r="F75" s="14">
        <f>(((191)*100)/E73)/100</f>
        <v>0.22576832151300238</v>
      </c>
      <c r="G75" s="31">
        <v>0</v>
      </c>
      <c r="H75" s="31"/>
    </row>
    <row r="76" spans="1:25">
      <c r="A76" s="39"/>
      <c r="B76" s="1" t="str">
        <f>D74</f>
        <v>saab</v>
      </c>
      <c r="C76" s="3">
        <v>0</v>
      </c>
      <c r="D76" s="32">
        <f>(((21)*100)/E73)/100</f>
        <v>2.4822695035460991E-2</v>
      </c>
      <c r="E76" s="32"/>
      <c r="F76" s="3">
        <f>(((196)*100)/E73)/100</f>
        <v>0.23167848699763594</v>
      </c>
      <c r="G76" s="36">
        <v>0</v>
      </c>
      <c r="H76" s="36"/>
    </row>
    <row r="77" spans="1:25">
      <c r="A77" s="39"/>
      <c r="B77" s="1" t="str">
        <f>F74</f>
        <v>bus</v>
      </c>
      <c r="C77" s="14">
        <v>0</v>
      </c>
      <c r="D77" s="31">
        <f>(((22)*100)/E73)/100</f>
        <v>2.600472813238771E-2</v>
      </c>
      <c r="E77" s="31"/>
      <c r="F77" s="12">
        <f>(((196)*100)/E73)/100</f>
        <v>0.23167848699763594</v>
      </c>
      <c r="G77" s="31">
        <v>0</v>
      </c>
      <c r="H77" s="31"/>
    </row>
    <row r="78" spans="1:25">
      <c r="A78" s="39"/>
      <c r="B78" s="1" t="str">
        <f>G74</f>
        <v>van</v>
      </c>
      <c r="C78" s="3">
        <v>0</v>
      </c>
      <c r="D78" s="36">
        <f>(((20)*100)/E73)/100</f>
        <v>2.3640661938534278E-2</v>
      </c>
      <c r="E78" s="36"/>
      <c r="F78" s="3">
        <f>(((179)*100)/E73)/100</f>
        <v>0.2115839243498818</v>
      </c>
      <c r="G78" s="32">
        <v>0</v>
      </c>
      <c r="H78" s="32"/>
    </row>
    <row r="80" spans="1:25">
      <c r="A80" s="22" t="str">
        <f>A1</f>
        <v>k-folds</v>
      </c>
      <c r="B80" s="5" t="s">
        <v>60</v>
      </c>
      <c r="C80" s="7" t="s">
        <v>61</v>
      </c>
      <c r="D80" s="11" t="s">
        <v>2</v>
      </c>
      <c r="E80" s="33">
        <f>52+99</f>
        <v>151</v>
      </c>
      <c r="F80" s="34"/>
    </row>
    <row r="81" spans="1:6">
      <c r="A81" s="39">
        <v>10</v>
      </c>
      <c r="B81" s="6" t="str">
        <f>B2</f>
        <v>↓ Real      Escolhido →</v>
      </c>
      <c r="C81" s="9">
        <v>1</v>
      </c>
      <c r="D81" s="30">
        <v>2</v>
      </c>
      <c r="E81" s="30"/>
      <c r="F81" s="9">
        <v>3</v>
      </c>
    </row>
    <row r="82" spans="1:6">
      <c r="A82" s="39"/>
      <c r="B82" s="1">
        <f>C81</f>
        <v>1</v>
      </c>
      <c r="C82" s="12">
        <v>0</v>
      </c>
      <c r="D82" s="31">
        <v>0</v>
      </c>
      <c r="E82" s="31"/>
      <c r="F82" s="14">
        <f>(((49)*100)/E80)/100</f>
        <v>0.32450331125827814</v>
      </c>
    </row>
    <row r="83" spans="1:6">
      <c r="A83" s="39"/>
      <c r="B83" s="1">
        <f>D81</f>
        <v>2</v>
      </c>
      <c r="C83" s="3">
        <v>0</v>
      </c>
      <c r="D83" s="32">
        <v>0</v>
      </c>
      <c r="E83" s="32"/>
      <c r="F83" s="3">
        <f>(((50)*100)/E80)/100</f>
        <v>0.33112582781456951</v>
      </c>
    </row>
    <row r="84" spans="1:6">
      <c r="A84" s="39"/>
      <c r="B84" s="1">
        <f>F81</f>
        <v>3</v>
      </c>
      <c r="C84" s="14">
        <v>0</v>
      </c>
      <c r="D84" s="31">
        <v>0</v>
      </c>
      <c r="E84" s="31"/>
      <c r="F84" s="12">
        <f>(((52)*100)/E80)/100</f>
        <v>0.34437086092715236</v>
      </c>
    </row>
  </sheetData>
  <mergeCells count="95">
    <mergeCell ref="G48:Y48"/>
    <mergeCell ref="E73:H73"/>
    <mergeCell ref="D48:F48"/>
    <mergeCell ref="D49:E49"/>
    <mergeCell ref="D50:E50"/>
    <mergeCell ref="D51:E51"/>
    <mergeCell ref="D54:E54"/>
    <mergeCell ref="D56:E56"/>
    <mergeCell ref="G78:H78"/>
    <mergeCell ref="D63:E63"/>
    <mergeCell ref="D64:E64"/>
    <mergeCell ref="E80:F80"/>
    <mergeCell ref="D76:E76"/>
    <mergeCell ref="G76:H76"/>
    <mergeCell ref="D65:E65"/>
    <mergeCell ref="D66:E66"/>
    <mergeCell ref="D77:E77"/>
    <mergeCell ref="G77:H77"/>
    <mergeCell ref="D74:E74"/>
    <mergeCell ref="G74:H74"/>
    <mergeCell ref="D67:E67"/>
    <mergeCell ref="D68:E68"/>
    <mergeCell ref="D75:E75"/>
    <mergeCell ref="G75:H75"/>
    <mergeCell ref="E42:F42"/>
    <mergeCell ref="D81:E81"/>
    <mergeCell ref="D82:E82"/>
    <mergeCell ref="D83:E83"/>
    <mergeCell ref="D61:E61"/>
    <mergeCell ref="D62:E62"/>
    <mergeCell ref="D78:E78"/>
    <mergeCell ref="D69:E69"/>
    <mergeCell ref="D70:E70"/>
    <mergeCell ref="D71:E71"/>
    <mergeCell ref="D53:E53"/>
    <mergeCell ref="D84:E84"/>
    <mergeCell ref="A2:A4"/>
    <mergeCell ref="A7:A13"/>
    <mergeCell ref="A16:A18"/>
    <mergeCell ref="A31:A33"/>
    <mergeCell ref="D59:E59"/>
    <mergeCell ref="D60:E60"/>
    <mergeCell ref="A81:A84"/>
    <mergeCell ref="A74:A78"/>
    <mergeCell ref="A49:A71"/>
    <mergeCell ref="D57:E57"/>
    <mergeCell ref="D58:E58"/>
    <mergeCell ref="A43:A46"/>
    <mergeCell ref="A36:A40"/>
    <mergeCell ref="A21:A28"/>
    <mergeCell ref="D40:E40"/>
    <mergeCell ref="G40:H40"/>
    <mergeCell ref="E35:H35"/>
    <mergeCell ref="D43:E43"/>
    <mergeCell ref="D55:E55"/>
    <mergeCell ref="D38:E38"/>
    <mergeCell ref="G36:H36"/>
    <mergeCell ref="G37:H37"/>
    <mergeCell ref="G38:H38"/>
    <mergeCell ref="D39:E39"/>
    <mergeCell ref="G39:H39"/>
    <mergeCell ref="D37:E37"/>
    <mergeCell ref="D44:E44"/>
    <mergeCell ref="D45:E45"/>
    <mergeCell ref="D46:E46"/>
    <mergeCell ref="D52:E52"/>
    <mergeCell ref="D28:E28"/>
    <mergeCell ref="D31:E31"/>
    <mergeCell ref="D32:E32"/>
    <mergeCell ref="D33:E33"/>
    <mergeCell ref="D36:E36"/>
    <mergeCell ref="D27:E27"/>
    <mergeCell ref="D16:E16"/>
    <mergeCell ref="D17:E17"/>
    <mergeCell ref="D18:E18"/>
    <mergeCell ref="D20:F20"/>
    <mergeCell ref="D21:E21"/>
    <mergeCell ref="D22:E22"/>
    <mergeCell ref="D23:E23"/>
    <mergeCell ref="D24:E24"/>
    <mergeCell ref="D25:E25"/>
    <mergeCell ref="D26:E26"/>
    <mergeCell ref="G20:J20"/>
    <mergeCell ref="G6:I6"/>
    <mergeCell ref="D6:F6"/>
    <mergeCell ref="D10:E10"/>
    <mergeCell ref="D11:E11"/>
    <mergeCell ref="D12:E12"/>
    <mergeCell ref="D13:E13"/>
    <mergeCell ref="D9:E9"/>
    <mergeCell ref="D2:E2"/>
    <mergeCell ref="D3:E3"/>
    <mergeCell ref="D4:E4"/>
    <mergeCell ref="D7:E7"/>
    <mergeCell ref="D8:E8"/>
  </mergeCells>
  <phoneticPr fontId="8" type="noConversion"/>
  <pageMargins left="0.75" right="0.75" top="1" bottom="1" header="0.5" footer="0.5"/>
  <pageSetup paperSize="9" scale="27" orientation="landscape" horizontalDpi="4294967292" verticalDpi="4294967292"/>
  <extLst>
    <ext xmlns:mx="http://schemas.microsoft.com/office/mac/excel/2008/main" uri="{64002731-A6B0-56B0-2670-7721B7C09600}">
      <mx:PLV Mode="0" OnePage="0" WScale="3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showGridLines="0" workbookViewId="0"/>
  </sheetViews>
  <sheetFormatPr baseColWidth="10" defaultRowHeight="15" x14ac:dyDescent="0"/>
  <cols>
    <col min="2" max="2" width="25.5" customWidth="1"/>
    <col min="3" max="3" width="19.6640625" bestFit="1" customWidth="1"/>
    <col min="4" max="4" width="13.1640625" bestFit="1" customWidth="1"/>
    <col min="5" max="5" width="14" customWidth="1"/>
    <col min="6" max="6" width="18.33203125" customWidth="1"/>
    <col min="7" max="7" width="18" bestFit="1" customWidth="1"/>
    <col min="8" max="9" width="16.5" bestFit="1" customWidth="1"/>
    <col min="12" max="13" width="13.1640625" bestFit="1" customWidth="1"/>
    <col min="14" max="14" width="10.33203125" bestFit="1" customWidth="1"/>
    <col min="21" max="21" width="11" bestFit="1" customWidth="1"/>
  </cols>
  <sheetData>
    <row r="1" spans="1:9">
      <c r="A1" s="22" t="str">
        <f>'Cross Validation'!A1</f>
        <v>k-folds</v>
      </c>
      <c r="B1" s="5" t="s">
        <v>0</v>
      </c>
      <c r="C1" s="7" t="s">
        <v>1</v>
      </c>
      <c r="D1" s="11" t="s">
        <v>2</v>
      </c>
      <c r="E1" s="2">
        <f>232+136</f>
        <v>368</v>
      </c>
    </row>
    <row r="2" spans="1:9">
      <c r="A2" s="37">
        <v>10</v>
      </c>
      <c r="B2" s="6" t="str">
        <f>'Cross Validation'!B2</f>
        <v>↓ Real      Escolhido →</v>
      </c>
      <c r="C2" s="9" t="s">
        <v>3</v>
      </c>
      <c r="D2" s="30" t="s">
        <v>4</v>
      </c>
      <c r="E2" s="30"/>
    </row>
    <row r="3" spans="1:9">
      <c r="A3" s="37"/>
      <c r="B3" s="1" t="str">
        <f>C2</f>
        <v>yes</v>
      </c>
      <c r="C3" s="12">
        <f>(((183)*100)/E1)/100</f>
        <v>0.49728260869565216</v>
      </c>
      <c r="D3" s="31">
        <f>(((49)*100)/E138)/100</f>
        <v>0.32450331125827814</v>
      </c>
      <c r="E3" s="31"/>
    </row>
    <row r="4" spans="1:9">
      <c r="A4" s="38"/>
      <c r="B4" s="1" t="str">
        <f>D2</f>
        <v>no</v>
      </c>
      <c r="C4" s="3">
        <f>(((32)*100)/E1)/100</f>
        <v>8.6956521739130432E-2</v>
      </c>
      <c r="D4" s="32">
        <f>(((104)*100)/E138)/100</f>
        <v>0.68874172185430471</v>
      </c>
      <c r="E4" s="32"/>
    </row>
    <row r="6" spans="1:9">
      <c r="A6" s="22" t="str">
        <f>A1</f>
        <v>k-folds</v>
      </c>
      <c r="B6" s="5" t="s">
        <v>5</v>
      </c>
      <c r="C6" s="7" t="s">
        <v>6</v>
      </c>
      <c r="D6" s="35" t="s">
        <v>2</v>
      </c>
      <c r="E6" s="35"/>
      <c r="F6" s="35"/>
      <c r="G6" s="33">
        <f>112+254</f>
        <v>366</v>
      </c>
      <c r="H6" s="33"/>
      <c r="I6" s="34"/>
    </row>
    <row r="7" spans="1:9">
      <c r="A7" s="39">
        <v>5</v>
      </c>
      <c r="B7" s="10" t="str">
        <f>B2</f>
        <v>↓ Real      Escolhido →</v>
      </c>
      <c r="C7" s="9">
        <v>1</v>
      </c>
      <c r="D7" s="30">
        <v>2</v>
      </c>
      <c r="E7" s="30"/>
      <c r="F7" s="9">
        <v>3</v>
      </c>
      <c r="G7" s="1">
        <v>4</v>
      </c>
      <c r="H7" s="1">
        <v>5</v>
      </c>
      <c r="I7" s="1">
        <v>6</v>
      </c>
    </row>
    <row r="8" spans="1:9">
      <c r="A8" s="39"/>
      <c r="B8" s="1">
        <f>C7</f>
        <v>1</v>
      </c>
      <c r="C8" s="12">
        <f>(((112)*100)/G6)/100</f>
        <v>0.30601092896174864</v>
      </c>
      <c r="D8" s="31">
        <v>0</v>
      </c>
      <c r="E8" s="31"/>
      <c r="F8" s="3">
        <v>0</v>
      </c>
      <c r="G8" s="3">
        <v>0</v>
      </c>
      <c r="H8" s="3">
        <v>0</v>
      </c>
      <c r="I8" s="3">
        <v>0</v>
      </c>
    </row>
    <row r="9" spans="1:9">
      <c r="A9" s="39"/>
      <c r="B9" s="1">
        <f>D7</f>
        <v>2</v>
      </c>
      <c r="C9" s="3">
        <v>0</v>
      </c>
      <c r="D9" s="32">
        <f>(((53)*100)/G6)/100</f>
        <v>0.1448087431693989</v>
      </c>
      <c r="E9" s="32"/>
      <c r="F9" s="3">
        <v>0</v>
      </c>
      <c r="G9" s="3">
        <f>(((8)*100)/G6)/100</f>
        <v>2.1857923497267763E-2</v>
      </c>
      <c r="H9" s="3">
        <v>0</v>
      </c>
      <c r="I9" s="3">
        <v>0</v>
      </c>
    </row>
    <row r="10" spans="1:9">
      <c r="A10" s="39"/>
      <c r="B10" s="1">
        <f>F7</f>
        <v>3</v>
      </c>
      <c r="C10" s="3">
        <v>0</v>
      </c>
      <c r="D10" s="31">
        <v>0</v>
      </c>
      <c r="E10" s="31"/>
      <c r="F10" s="12">
        <f>(((72)*100)/G6)/100</f>
        <v>0.19672131147540983</v>
      </c>
      <c r="G10" s="3">
        <v>0</v>
      </c>
      <c r="H10" s="3">
        <v>0</v>
      </c>
      <c r="I10" s="3">
        <v>0</v>
      </c>
    </row>
    <row r="11" spans="1:9">
      <c r="A11" s="39"/>
      <c r="B11" s="1">
        <f>G7</f>
        <v>4</v>
      </c>
      <c r="C11" s="3">
        <v>0</v>
      </c>
      <c r="D11" s="31">
        <f>(((3)*100)/G6)/100</f>
        <v>8.1967213114754103E-3</v>
      </c>
      <c r="E11" s="31"/>
      <c r="F11" s="3">
        <v>0</v>
      </c>
      <c r="G11" s="12">
        <f>(((46)*100)/G6)/100</f>
        <v>0.12568306010928962</v>
      </c>
      <c r="H11" s="3">
        <v>0</v>
      </c>
      <c r="I11" s="3">
        <v>0</v>
      </c>
    </row>
    <row r="12" spans="1:9">
      <c r="A12" s="39"/>
      <c r="B12" s="1">
        <f>H7</f>
        <v>5</v>
      </c>
      <c r="C12" s="3">
        <v>0</v>
      </c>
      <c r="D12" s="31">
        <v>0</v>
      </c>
      <c r="E12" s="31"/>
      <c r="F12" s="3">
        <v>0</v>
      </c>
      <c r="G12" s="3">
        <v>0</v>
      </c>
      <c r="H12" s="12">
        <f>(((52)*100)/G6)/100</f>
        <v>0.14207650273224043</v>
      </c>
      <c r="I12" s="3">
        <v>0</v>
      </c>
    </row>
    <row r="13" spans="1:9">
      <c r="A13" s="39"/>
      <c r="B13" s="1">
        <f>I7</f>
        <v>6</v>
      </c>
      <c r="C13" s="3">
        <v>0</v>
      </c>
      <c r="D13" s="31">
        <v>0</v>
      </c>
      <c r="E13" s="31"/>
      <c r="F13" s="3">
        <v>0</v>
      </c>
      <c r="G13" s="3">
        <f>(((1)*100)/G6)/100</f>
        <v>2.7322404371584704E-3</v>
      </c>
      <c r="H13" s="3">
        <v>0</v>
      </c>
      <c r="I13" s="12">
        <f>(((19)*100)/G6)/100</f>
        <v>5.1912568306010931E-2</v>
      </c>
    </row>
    <row r="15" spans="1:9">
      <c r="A15" s="22" t="str">
        <f>A1</f>
        <v>k-folds</v>
      </c>
      <c r="B15" s="5" t="s">
        <v>7</v>
      </c>
      <c r="C15" s="7" t="s">
        <v>6</v>
      </c>
      <c r="D15" s="11" t="s">
        <v>2</v>
      </c>
      <c r="E15" s="2">
        <f>500+268</f>
        <v>768</v>
      </c>
    </row>
    <row r="16" spans="1:9">
      <c r="A16" s="37">
        <v>3</v>
      </c>
      <c r="B16" s="6" t="str">
        <f>B2</f>
        <v>↓ Real      Escolhido →</v>
      </c>
      <c r="C16" s="9" t="s">
        <v>8</v>
      </c>
      <c r="D16" s="30" t="s">
        <v>9</v>
      </c>
      <c r="E16" s="30"/>
    </row>
    <row r="17" spans="1:10">
      <c r="A17" s="37"/>
      <c r="B17" s="1" t="str">
        <f>C16</f>
        <v>tested_negative</v>
      </c>
      <c r="C17" s="3">
        <f>(((419)*100)/E15)/100</f>
        <v>0.54557291666666663</v>
      </c>
      <c r="D17" s="31">
        <f>(((81)*100)/E15)/100</f>
        <v>0.10546875</v>
      </c>
      <c r="E17" s="31"/>
    </row>
    <row r="18" spans="1:10">
      <c r="A18" s="38"/>
      <c r="B18" s="1" t="str">
        <f>D16</f>
        <v>tested_positive</v>
      </c>
      <c r="C18" s="3">
        <f>(((104)*100)/E15)/100</f>
        <v>0.13541666666666666</v>
      </c>
      <c r="D18" s="31">
        <f>(((164)*100)/E15)/100</f>
        <v>0.21354166666666669</v>
      </c>
      <c r="E18" s="31"/>
    </row>
    <row r="19" spans="1:10">
      <c r="A19" s="23"/>
      <c r="C19" s="24"/>
      <c r="D19" s="24"/>
      <c r="E19" s="24"/>
    </row>
    <row r="20" spans="1:10">
      <c r="A20" s="22" t="str">
        <f>A1</f>
        <v>k-folds</v>
      </c>
      <c r="B20" s="5" t="s">
        <v>7</v>
      </c>
      <c r="C20" s="7" t="s">
        <v>6</v>
      </c>
      <c r="D20" s="11" t="s">
        <v>2</v>
      </c>
      <c r="E20" s="2">
        <f>500+268</f>
        <v>768</v>
      </c>
    </row>
    <row r="21" spans="1:10">
      <c r="A21" s="37">
        <v>5</v>
      </c>
      <c r="B21" s="6" t="str">
        <f>B2</f>
        <v>↓ Real      Escolhido →</v>
      </c>
      <c r="C21" s="9" t="s">
        <v>8</v>
      </c>
      <c r="D21" s="30" t="s">
        <v>9</v>
      </c>
      <c r="E21" s="30"/>
    </row>
    <row r="22" spans="1:10">
      <c r="A22" s="37"/>
      <c r="B22" s="1" t="str">
        <f>C21</f>
        <v>tested_negative</v>
      </c>
      <c r="C22" s="3">
        <f>(((423)*100)/E20)/100</f>
        <v>0.55078125</v>
      </c>
      <c r="D22" s="31">
        <f>(((77)*100)/E20)/100</f>
        <v>0.10026041666666666</v>
      </c>
      <c r="E22" s="31"/>
    </row>
    <row r="23" spans="1:10">
      <c r="A23" s="38"/>
      <c r="B23" s="1" t="str">
        <f>D21</f>
        <v>tested_positive</v>
      </c>
      <c r="C23" s="3">
        <f>(((104)*100)/E20)/100</f>
        <v>0.13541666666666666</v>
      </c>
      <c r="D23" s="31">
        <f>(((164)*100)/E20)/100</f>
        <v>0.21354166666666669</v>
      </c>
      <c r="E23" s="31"/>
    </row>
    <row r="25" spans="1:10">
      <c r="A25" s="22" t="str">
        <f>A1</f>
        <v>k-folds</v>
      </c>
      <c r="B25" s="5" t="s">
        <v>10</v>
      </c>
      <c r="C25" s="7" t="s">
        <v>11</v>
      </c>
      <c r="D25" s="35" t="s">
        <v>2</v>
      </c>
      <c r="E25" s="35"/>
      <c r="F25" s="35"/>
      <c r="G25" s="33">
        <f>76+138</f>
        <v>214</v>
      </c>
      <c r="H25" s="33"/>
      <c r="I25" s="33"/>
      <c r="J25" s="34"/>
    </row>
    <row r="26" spans="1:10">
      <c r="A26" s="39">
        <v>2</v>
      </c>
      <c r="B26" s="10" t="str">
        <f>B2</f>
        <v>↓ Real      Escolhido →</v>
      </c>
      <c r="C26" s="9" t="s">
        <v>12</v>
      </c>
      <c r="D26" s="30" t="s">
        <v>13</v>
      </c>
      <c r="E26" s="30"/>
      <c r="F26" s="9" t="s">
        <v>14</v>
      </c>
      <c r="G26" s="1" t="s">
        <v>15</v>
      </c>
      <c r="H26" s="1" t="s">
        <v>16</v>
      </c>
      <c r="I26" s="1" t="s">
        <v>17</v>
      </c>
      <c r="J26" s="1" t="s">
        <v>18</v>
      </c>
    </row>
    <row r="27" spans="1:10">
      <c r="A27" s="39"/>
      <c r="B27" s="1" t="str">
        <f>C26</f>
        <v>build wind float</v>
      </c>
      <c r="C27" s="12">
        <f>(((48)*100)/G25)/100</f>
        <v>0.22429906542056074</v>
      </c>
      <c r="D27" s="31">
        <f>(((14)*100)/G25)/100</f>
        <v>6.5420560747663559E-2</v>
      </c>
      <c r="E27" s="31"/>
      <c r="F27" s="3">
        <f>(((5)*100)/G25)/100</f>
        <v>2.336448598130841E-2</v>
      </c>
      <c r="G27" s="3">
        <v>0</v>
      </c>
      <c r="H27" s="3">
        <v>0</v>
      </c>
      <c r="I27" s="3">
        <f>(((1)*100)/G25)/100</f>
        <v>4.6728971962616819E-3</v>
      </c>
      <c r="J27" s="3">
        <f>(((1)*100)/G25)/100</f>
        <v>4.6728971962616819E-3</v>
      </c>
    </row>
    <row r="28" spans="1:10">
      <c r="A28" s="39"/>
      <c r="B28" s="1" t="str">
        <f>D26</f>
        <v>build wind non-float</v>
      </c>
      <c r="C28" s="3">
        <f>(((44)*100)/G25)/100</f>
        <v>0.20560747663551404</v>
      </c>
      <c r="D28" s="32">
        <f>(((24)*100)/G25)/100</f>
        <v>0.11214953271028037</v>
      </c>
      <c r="E28" s="32"/>
      <c r="F28" s="3">
        <f>(((1)*100)/G25)/100</f>
        <v>4.6728971962616819E-3</v>
      </c>
      <c r="G28" s="3">
        <v>0</v>
      </c>
      <c r="H28" s="3">
        <f>(((5)*100)/G25)/100</f>
        <v>2.336448598130841E-2</v>
      </c>
      <c r="I28" s="3">
        <f>(((1)*100)/G25)/100</f>
        <v>4.6728971962616819E-3</v>
      </c>
      <c r="J28" s="3">
        <f>(((1)*100)/G25)/100</f>
        <v>4.6728971962616819E-3</v>
      </c>
    </row>
    <row r="29" spans="1:10">
      <c r="A29" s="39"/>
      <c r="B29" s="1" t="str">
        <f>F26</f>
        <v>vehic wind float</v>
      </c>
      <c r="C29" s="3">
        <f>(((14)*100)/G25)/100</f>
        <v>6.5420560747663559E-2</v>
      </c>
      <c r="D29" s="31">
        <f>(((1)*100)/G25)/100</f>
        <v>4.6728971962616819E-3</v>
      </c>
      <c r="E29" s="31"/>
      <c r="F29" s="12">
        <f>(((1)*100)/G25)/100</f>
        <v>4.6728971962616819E-3</v>
      </c>
      <c r="G29" s="3">
        <v>0</v>
      </c>
      <c r="H29" s="3">
        <v>0</v>
      </c>
      <c r="I29" s="3">
        <f>(((1)*100)/G25)/100</f>
        <v>4.6728971962616819E-3</v>
      </c>
      <c r="J29" s="3">
        <v>0</v>
      </c>
    </row>
    <row r="30" spans="1:10">
      <c r="A30" s="39"/>
      <c r="B30" s="1" t="str">
        <f>G26</f>
        <v>vehic wind non-float</v>
      </c>
      <c r="C30" s="3">
        <v>0</v>
      </c>
      <c r="D30" s="31">
        <v>0</v>
      </c>
      <c r="E30" s="31"/>
      <c r="F30" s="3">
        <v>0</v>
      </c>
      <c r="G30" s="12">
        <v>0</v>
      </c>
      <c r="H30" s="3">
        <v>0</v>
      </c>
      <c r="I30" s="3">
        <v>0</v>
      </c>
      <c r="J30" s="3">
        <v>0</v>
      </c>
    </row>
    <row r="31" spans="1:10">
      <c r="A31" s="39"/>
      <c r="B31" s="1" t="str">
        <f>H26</f>
        <v>containers</v>
      </c>
      <c r="C31" s="3">
        <f>(((13)*100)/G25)/100</f>
        <v>6.0747663551401869E-2</v>
      </c>
      <c r="D31" s="31">
        <f>(((7)*100)/G25)/100</f>
        <v>3.2710280373831779E-2</v>
      </c>
      <c r="E31" s="31"/>
      <c r="F31" s="3">
        <v>0</v>
      </c>
      <c r="G31" s="3">
        <v>0</v>
      </c>
      <c r="H31" s="12">
        <f>(((5)*100)/G25)/100</f>
        <v>2.336448598130841E-2</v>
      </c>
      <c r="I31" s="3">
        <v>0</v>
      </c>
      <c r="J31" s="3">
        <f>(((1)*100)/G25)/100</f>
        <v>4.6728971962616819E-3</v>
      </c>
    </row>
    <row r="32" spans="1:10">
      <c r="A32" s="39"/>
      <c r="B32" s="1" t="str">
        <f>I26</f>
        <v>tableware</v>
      </c>
      <c r="C32" s="3">
        <f>(((9)*100)/G25)/100</f>
        <v>4.2056074766355138E-2</v>
      </c>
      <c r="D32" s="31">
        <v>0</v>
      </c>
      <c r="E32" s="31"/>
      <c r="F32" s="3">
        <v>0</v>
      </c>
      <c r="G32" s="3">
        <v>0</v>
      </c>
      <c r="H32" s="3">
        <f>(((1)*100)/G25)/100</f>
        <v>4.6728971962616819E-3</v>
      </c>
      <c r="I32" s="12">
        <f>(((7)*100)/G25)/100</f>
        <v>3.2710280373831779E-2</v>
      </c>
      <c r="J32" s="3">
        <f>(((1)*100)/G25)/100</f>
        <v>4.6728971962616819E-3</v>
      </c>
    </row>
    <row r="33" spans="1:10">
      <c r="A33" s="39"/>
      <c r="B33" s="1" t="str">
        <f>J26</f>
        <v>headlamps</v>
      </c>
      <c r="C33" s="3">
        <f>(((1)*100)/G25)/100</f>
        <v>4.6728971962616819E-3</v>
      </c>
      <c r="D33" s="31">
        <f>(((1)*100)/G25)/100</f>
        <v>4.6728971962616819E-3</v>
      </c>
      <c r="E33" s="31"/>
      <c r="F33" s="3">
        <v>0</v>
      </c>
      <c r="G33" s="3">
        <v>0</v>
      </c>
      <c r="H33" s="3">
        <f>(((4)*100)/G25)/100</f>
        <v>1.8691588785046728E-2</v>
      </c>
      <c r="I33" s="3">
        <v>0</v>
      </c>
      <c r="J33" s="12">
        <f>(((23)*100)/G25)/100</f>
        <v>0.10747663551401869</v>
      </c>
    </row>
    <row r="34" spans="1:10">
      <c r="A34" s="23"/>
      <c r="C34" s="24"/>
      <c r="D34" s="24"/>
      <c r="E34" s="24"/>
      <c r="F34" s="24"/>
      <c r="G34" s="24"/>
      <c r="H34" s="24"/>
      <c r="J34" s="24"/>
    </row>
    <row r="35" spans="1:10">
      <c r="A35" s="22" t="str">
        <f>A1</f>
        <v>k-folds</v>
      </c>
      <c r="B35" s="5" t="s">
        <v>10</v>
      </c>
      <c r="C35" s="7" t="s">
        <v>11</v>
      </c>
      <c r="D35" s="35" t="s">
        <v>2</v>
      </c>
      <c r="E35" s="35"/>
      <c r="F35" s="35"/>
      <c r="G35" s="33">
        <f>76+138</f>
        <v>214</v>
      </c>
      <c r="H35" s="33"/>
      <c r="I35" s="33"/>
      <c r="J35" s="34"/>
    </row>
    <row r="36" spans="1:10">
      <c r="A36" s="39">
        <v>10</v>
      </c>
      <c r="B36" s="10" t="str">
        <f>B2</f>
        <v>↓ Real      Escolhido →</v>
      </c>
      <c r="C36" s="9" t="s">
        <v>12</v>
      </c>
      <c r="D36" s="30" t="s">
        <v>13</v>
      </c>
      <c r="E36" s="30"/>
      <c r="F36" s="9" t="s">
        <v>14</v>
      </c>
      <c r="G36" s="1" t="s">
        <v>15</v>
      </c>
      <c r="H36" s="1" t="s">
        <v>16</v>
      </c>
      <c r="I36" s="1" t="s">
        <v>17</v>
      </c>
      <c r="J36" s="1" t="s">
        <v>18</v>
      </c>
    </row>
    <row r="37" spans="1:10">
      <c r="A37" s="39"/>
      <c r="B37" s="1" t="str">
        <f>C36</f>
        <v>build wind float</v>
      </c>
      <c r="C37" s="12">
        <f>(((51)*100)/G35)/100</f>
        <v>0.23831775700934579</v>
      </c>
      <c r="D37" s="31">
        <f>(((5)*100)/G35)/100</f>
        <v>2.336448598130841E-2</v>
      </c>
      <c r="E37" s="31"/>
      <c r="F37" s="3">
        <f>(((11)*100)/G35)/100</f>
        <v>5.140186915887851E-2</v>
      </c>
      <c r="G37" s="3">
        <v>0</v>
      </c>
      <c r="H37" s="3">
        <v>0</v>
      </c>
      <c r="I37" s="3">
        <f>(((2)*100)/G35)/100</f>
        <v>9.3457943925233638E-3</v>
      </c>
      <c r="J37" s="3">
        <f>(((1)*100)/G35)/100</f>
        <v>4.6728971962616819E-3</v>
      </c>
    </row>
    <row r="38" spans="1:10">
      <c r="A38" s="39"/>
      <c r="B38" s="1" t="str">
        <f>D36</f>
        <v>build wind non-float</v>
      </c>
      <c r="C38" s="3">
        <f>(((48)*100)/G35)/100</f>
        <v>0.22429906542056074</v>
      </c>
      <c r="D38" s="32">
        <f>(((13)*100)/G35)/100</f>
        <v>6.0747663551401869E-2</v>
      </c>
      <c r="E38" s="32"/>
      <c r="F38" s="3">
        <f>(((6)*100)/G35)/100</f>
        <v>2.8037383177570093E-2</v>
      </c>
      <c r="G38" s="3">
        <v>0</v>
      </c>
      <c r="H38" s="3">
        <f>(((5)*100)/G35)/100</f>
        <v>2.336448598130841E-2</v>
      </c>
      <c r="I38" s="3">
        <f>(((3)*100)/G35)/100</f>
        <v>1.4018691588785047E-2</v>
      </c>
      <c r="J38" s="3">
        <f>(((1)*100)/G35)/100</f>
        <v>4.6728971962616819E-3</v>
      </c>
    </row>
    <row r="39" spans="1:10">
      <c r="A39" s="39"/>
      <c r="B39" s="1" t="str">
        <f>F36</f>
        <v>vehic wind float</v>
      </c>
      <c r="C39" s="3">
        <f>(((12)*100)/G35)/100</f>
        <v>5.6074766355140186E-2</v>
      </c>
      <c r="D39" s="31">
        <v>0</v>
      </c>
      <c r="E39" s="31"/>
      <c r="F39" s="12">
        <f>(((4)*100)/G35)/100</f>
        <v>1.8691588785046728E-2</v>
      </c>
      <c r="G39" s="3">
        <v>0</v>
      </c>
      <c r="H39" s="3">
        <v>0</v>
      </c>
      <c r="I39" s="3">
        <f>(((1)*100)/G35)/100</f>
        <v>4.6728971962616819E-3</v>
      </c>
      <c r="J39" s="3">
        <v>0</v>
      </c>
    </row>
    <row r="40" spans="1:10">
      <c r="A40" s="39"/>
      <c r="B40" s="1" t="str">
        <f>G36</f>
        <v>vehic wind non-float</v>
      </c>
      <c r="C40" s="3">
        <v>0</v>
      </c>
      <c r="D40" s="31">
        <v>0</v>
      </c>
      <c r="E40" s="31"/>
      <c r="F40" s="3">
        <v>0</v>
      </c>
      <c r="G40" s="12">
        <v>0</v>
      </c>
      <c r="H40" s="3">
        <v>0</v>
      </c>
      <c r="I40" s="3">
        <v>0</v>
      </c>
      <c r="J40" s="3">
        <v>0</v>
      </c>
    </row>
    <row r="41" spans="1:10">
      <c r="A41" s="39"/>
      <c r="B41" s="1" t="str">
        <f>H36</f>
        <v>containers</v>
      </c>
      <c r="C41" s="3">
        <v>0</v>
      </c>
      <c r="D41" s="31">
        <f>(((8)*100)/G35)/100</f>
        <v>3.7383177570093455E-2</v>
      </c>
      <c r="E41" s="31"/>
      <c r="F41" s="3">
        <v>0</v>
      </c>
      <c r="G41" s="3">
        <v>0</v>
      </c>
      <c r="H41" s="12">
        <f>(((4)*100)/G35)/100</f>
        <v>1.8691588785046728E-2</v>
      </c>
      <c r="I41" s="3">
        <v>0</v>
      </c>
      <c r="J41" s="3">
        <f>(((1)*100)/G35)/100</f>
        <v>4.6728971962616819E-3</v>
      </c>
    </row>
    <row r="42" spans="1:10">
      <c r="A42" s="39"/>
      <c r="B42" s="1" t="str">
        <f>I36</f>
        <v>tableware</v>
      </c>
      <c r="C42" s="3">
        <v>0</v>
      </c>
      <c r="D42" s="31">
        <v>0</v>
      </c>
      <c r="E42" s="31"/>
      <c r="F42" s="3">
        <v>0</v>
      </c>
      <c r="G42" s="3">
        <v>0</v>
      </c>
      <c r="H42" s="3">
        <f>(((1)*100)/G35)/100</f>
        <v>4.6728971962616819E-3</v>
      </c>
      <c r="I42" s="12">
        <f>(((8)*100)/G35)/100</f>
        <v>3.7383177570093455E-2</v>
      </c>
      <c r="J42" s="3">
        <f>(((1)*100)/G35)/100</f>
        <v>4.6728971962616819E-3</v>
      </c>
    </row>
    <row r="43" spans="1:10">
      <c r="A43" s="39"/>
      <c r="B43" s="1" t="str">
        <f>J36</f>
        <v>headlamps</v>
      </c>
      <c r="C43" s="3">
        <f>(((1)*100)/G35)/100</f>
        <v>4.6728971962616819E-3</v>
      </c>
      <c r="D43" s="31">
        <f>(((1)*100)/G35)/100</f>
        <v>4.6728971962616819E-3</v>
      </c>
      <c r="E43" s="31"/>
      <c r="F43" s="3">
        <v>0</v>
      </c>
      <c r="G43" s="3">
        <v>0</v>
      </c>
      <c r="H43" s="3">
        <f>(((3)*100)/G35)/100</f>
        <v>1.4018691588785047E-2</v>
      </c>
      <c r="I43" s="3">
        <v>0</v>
      </c>
      <c r="J43" s="12">
        <f>(((24)*100)/G35)/100</f>
        <v>0.11214953271028037</v>
      </c>
    </row>
    <row r="45" spans="1:10">
      <c r="A45" s="22" t="str">
        <f>A1</f>
        <v>k-folds</v>
      </c>
      <c r="B45" s="5" t="s">
        <v>19</v>
      </c>
      <c r="C45" s="7" t="s">
        <v>20</v>
      </c>
      <c r="D45" s="11" t="s">
        <v>2</v>
      </c>
      <c r="E45" s="2">
        <f>123+32</f>
        <v>155</v>
      </c>
    </row>
    <row r="46" spans="1:10">
      <c r="A46" s="37">
        <v>2</v>
      </c>
      <c r="B46" s="6" t="str">
        <f>B2</f>
        <v>↓ Real      Escolhido →</v>
      </c>
      <c r="C46" s="9" t="s">
        <v>21</v>
      </c>
      <c r="D46" s="30" t="s">
        <v>22</v>
      </c>
      <c r="E46" s="30"/>
    </row>
    <row r="47" spans="1:10">
      <c r="A47" s="37"/>
      <c r="B47" s="1" t="str">
        <f>C46</f>
        <v>DIE</v>
      </c>
      <c r="C47" s="12">
        <f>(((22)*100)/E45)/100</f>
        <v>0.14193548387096774</v>
      </c>
      <c r="D47" s="31">
        <f>(((10)*100)/E45)/100</f>
        <v>6.4516129032258063E-2</v>
      </c>
      <c r="E47" s="31"/>
    </row>
    <row r="48" spans="1:10">
      <c r="A48" s="38"/>
      <c r="B48" s="1" t="str">
        <f>D46</f>
        <v>LIVE</v>
      </c>
      <c r="C48" s="3">
        <f>(((15)*100)/E45)/100</f>
        <v>9.6774193548387094E-2</v>
      </c>
      <c r="D48" s="32">
        <f>(((108)*100)/E45)/100</f>
        <v>0.6967741935483871</v>
      </c>
      <c r="E48" s="32"/>
    </row>
    <row r="50" spans="1:8">
      <c r="A50" s="22" t="str">
        <f>A1</f>
        <v>k-folds</v>
      </c>
      <c r="B50" s="5" t="s">
        <v>19</v>
      </c>
      <c r="C50" s="7" t="s">
        <v>20</v>
      </c>
      <c r="D50" s="11" t="s">
        <v>2</v>
      </c>
      <c r="E50" s="2">
        <f>123+32</f>
        <v>155</v>
      </c>
    </row>
    <row r="51" spans="1:8">
      <c r="A51" s="37">
        <v>10</v>
      </c>
      <c r="B51" s="6" t="str">
        <f>B2</f>
        <v>↓ Real      Escolhido →</v>
      </c>
      <c r="C51" s="9" t="s">
        <v>21</v>
      </c>
      <c r="D51" s="30" t="s">
        <v>22</v>
      </c>
      <c r="E51" s="30"/>
    </row>
    <row r="52" spans="1:8">
      <c r="A52" s="37"/>
      <c r="B52" s="1" t="str">
        <f>C51</f>
        <v>DIE</v>
      </c>
      <c r="C52" s="12">
        <f>(((22)*100)/E50)/100</f>
        <v>0.14193548387096774</v>
      </c>
      <c r="D52" s="31">
        <f>(((10)*100)/E50)/100</f>
        <v>6.4516129032258063E-2</v>
      </c>
      <c r="E52" s="31"/>
    </row>
    <row r="53" spans="1:8">
      <c r="A53" s="38"/>
      <c r="B53" s="1" t="str">
        <f>D51</f>
        <v>LIVE</v>
      </c>
      <c r="C53" s="3">
        <f>(((14)*100)/E50)/100</f>
        <v>9.0322580645161299E-2</v>
      </c>
      <c r="D53" s="32">
        <f>(((109)*100)/E50)/100</f>
        <v>0.70322580645161292</v>
      </c>
      <c r="E53" s="32"/>
    </row>
    <row r="55" spans="1:8">
      <c r="A55" s="22" t="str">
        <f>A1</f>
        <v>k-folds</v>
      </c>
      <c r="B55" s="5" t="s">
        <v>23</v>
      </c>
      <c r="C55" s="7" t="s">
        <v>20</v>
      </c>
      <c r="D55" s="11" t="s">
        <v>2</v>
      </c>
      <c r="E55" s="33">
        <f>3481+291</f>
        <v>3772</v>
      </c>
      <c r="F55" s="33"/>
      <c r="G55" s="33"/>
      <c r="H55" s="34"/>
    </row>
    <row r="56" spans="1:8">
      <c r="A56" s="39">
        <v>4</v>
      </c>
      <c r="B56" s="6" t="str">
        <f>B2</f>
        <v>↓ Real      Escolhido →</v>
      </c>
      <c r="C56" s="9" t="s">
        <v>24</v>
      </c>
      <c r="D56" s="30" t="s">
        <v>25</v>
      </c>
      <c r="E56" s="30"/>
      <c r="F56" s="9" t="s">
        <v>26</v>
      </c>
      <c r="G56" s="30" t="s">
        <v>27</v>
      </c>
      <c r="H56" s="30"/>
    </row>
    <row r="57" spans="1:8">
      <c r="A57" s="39"/>
      <c r="B57" s="1" t="str">
        <f>C56</f>
        <v>negative</v>
      </c>
      <c r="C57" s="12">
        <f>(((3455)*100)/E55)/100</f>
        <v>0.91595970307529162</v>
      </c>
      <c r="D57" s="31">
        <f>(((16)*100)/E55)/100</f>
        <v>4.2417815482502655E-3</v>
      </c>
      <c r="E57" s="31"/>
      <c r="F57" s="14">
        <f>(((10)*100)/E55)/100</f>
        <v>2.6511134676564158E-3</v>
      </c>
      <c r="G57" s="31">
        <v>0</v>
      </c>
      <c r="H57" s="31"/>
    </row>
    <row r="58" spans="1:8">
      <c r="A58" s="39"/>
      <c r="B58" s="1" t="str">
        <f>D56</f>
        <v>compensated_hypothyroid</v>
      </c>
      <c r="C58" s="3">
        <f>(((123)*100)/E55)/100</f>
        <v>3.2608695652173912E-2</v>
      </c>
      <c r="D58" s="32">
        <f>(((68)*100)/E55)/100</f>
        <v>1.8027571580063625E-2</v>
      </c>
      <c r="E58" s="32"/>
      <c r="F58" s="3">
        <f>(((3)*100)/E55)/100</f>
        <v>7.9533404029692473E-4</v>
      </c>
      <c r="G58" s="36">
        <v>0</v>
      </c>
      <c r="H58" s="36"/>
    </row>
    <row r="59" spans="1:8">
      <c r="A59" s="39"/>
      <c r="B59" s="1" t="str">
        <f>F56</f>
        <v>primary_hypothyroid</v>
      </c>
      <c r="C59" s="14">
        <f>(((8)*100)/E55)/100</f>
        <v>2.1208907741251328E-3</v>
      </c>
      <c r="D59" s="31">
        <f>(((11)*100)/E55)/100</f>
        <v>2.916224814422057E-3</v>
      </c>
      <c r="E59" s="31"/>
      <c r="F59" s="12">
        <f>(((76)*100)/E55)/100</f>
        <v>2.0148462354188757E-2</v>
      </c>
      <c r="G59" s="31">
        <v>0</v>
      </c>
      <c r="H59" s="31"/>
    </row>
    <row r="60" spans="1:8">
      <c r="A60" s="39"/>
      <c r="B60" s="1" t="str">
        <f>G56</f>
        <v>secondary_hypothyroid</v>
      </c>
      <c r="C60" s="3">
        <f>(((2)*100)/E55)/100</f>
        <v>5.3022269353128319E-4</v>
      </c>
      <c r="D60" s="36">
        <v>0</v>
      </c>
      <c r="E60" s="36"/>
      <c r="F60" s="3">
        <v>0</v>
      </c>
      <c r="G60" s="32">
        <v>0</v>
      </c>
      <c r="H60" s="32"/>
    </row>
    <row r="62" spans="1:8">
      <c r="A62" s="22" t="str">
        <f>A1</f>
        <v>k-folds</v>
      </c>
      <c r="B62" s="5" t="s">
        <v>23</v>
      </c>
      <c r="C62" s="7" t="s">
        <v>20</v>
      </c>
      <c r="D62" s="11" t="s">
        <v>2</v>
      </c>
      <c r="E62" s="33">
        <f>3481+291</f>
        <v>3772</v>
      </c>
      <c r="F62" s="33"/>
      <c r="G62" s="33"/>
      <c r="H62" s="34"/>
    </row>
    <row r="63" spans="1:8">
      <c r="A63" s="39">
        <v>10</v>
      </c>
      <c r="B63" s="6" t="str">
        <f>B2</f>
        <v>↓ Real      Escolhido →</v>
      </c>
      <c r="C63" s="9" t="s">
        <v>24</v>
      </c>
      <c r="D63" s="30" t="s">
        <v>25</v>
      </c>
      <c r="E63" s="30"/>
      <c r="F63" s="9" t="s">
        <v>26</v>
      </c>
      <c r="G63" s="30" t="s">
        <v>27</v>
      </c>
      <c r="H63" s="30"/>
    </row>
    <row r="64" spans="1:8">
      <c r="A64" s="39"/>
      <c r="B64" s="1" t="str">
        <f>C63</f>
        <v>negative</v>
      </c>
      <c r="C64" s="12">
        <f>(((3456)*100)/E62)/100</f>
        <v>0.91622481442205728</v>
      </c>
      <c r="D64" s="31">
        <f>(((14)*100)/E62)/100</f>
        <v>3.711558854718982E-3</v>
      </c>
      <c r="E64" s="31"/>
      <c r="F64" s="14">
        <f>(((9)*100)/E62)/100</f>
        <v>2.3860021208907743E-3</v>
      </c>
      <c r="G64" s="31">
        <f>(((2)*100)/E62)/100</f>
        <v>5.3022269353128319E-4</v>
      </c>
      <c r="H64" s="31"/>
    </row>
    <row r="65" spans="1:8">
      <c r="A65" s="39"/>
      <c r="B65" s="1" t="str">
        <f>D63</f>
        <v>compensated_hypothyroid</v>
      </c>
      <c r="C65" s="3">
        <f>(((130)*100)/E62)/100</f>
        <v>3.4464475079533402E-2</v>
      </c>
      <c r="D65" s="32">
        <f>(((62)*100)/E62)/100</f>
        <v>1.6436903499469777E-2</v>
      </c>
      <c r="E65" s="32"/>
      <c r="F65" s="3">
        <f>(((2)*100)/E62)/100</f>
        <v>5.3022269353128319E-4</v>
      </c>
      <c r="G65" s="36">
        <v>0</v>
      </c>
      <c r="H65" s="36"/>
    </row>
    <row r="66" spans="1:8">
      <c r="A66" s="39"/>
      <c r="B66" s="1" t="str">
        <f>F63</f>
        <v>primary_hypothyroid</v>
      </c>
      <c r="C66" s="14">
        <f>(((9)*100)/E62)/100</f>
        <v>2.3860021208907743E-3</v>
      </c>
      <c r="D66" s="31">
        <f>(((10)*100)/E62)/100</f>
        <v>2.6511134676564158E-3</v>
      </c>
      <c r="E66" s="31"/>
      <c r="F66" s="12">
        <f>(((76)*100)/E62)/100</f>
        <v>2.0148462354188757E-2</v>
      </c>
      <c r="G66" s="31">
        <v>0</v>
      </c>
      <c r="H66" s="31"/>
    </row>
    <row r="67" spans="1:8">
      <c r="A67" s="39"/>
      <c r="B67" s="1" t="str">
        <f>G63</f>
        <v>secondary_hypothyroid</v>
      </c>
      <c r="C67" s="3">
        <f>(((2)*100)/E62)/100</f>
        <v>5.3022269353128319E-4</v>
      </c>
      <c r="D67" s="36">
        <v>0</v>
      </c>
      <c r="E67" s="36"/>
      <c r="F67" s="3">
        <v>0</v>
      </c>
      <c r="G67" s="32">
        <v>0</v>
      </c>
      <c r="H67" s="32"/>
    </row>
    <row r="69" spans="1:8">
      <c r="A69" s="22" t="str">
        <f>A1</f>
        <v>k-folds</v>
      </c>
      <c r="B69" s="5" t="s">
        <v>28</v>
      </c>
      <c r="C69" s="7" t="s">
        <v>6</v>
      </c>
      <c r="D69" s="11" t="s">
        <v>2</v>
      </c>
      <c r="E69" s="33">
        <f>50+100</f>
        <v>150</v>
      </c>
      <c r="F69" s="34"/>
    </row>
    <row r="70" spans="1:8">
      <c r="A70" s="39">
        <v>3</v>
      </c>
      <c r="B70" s="6" t="str">
        <f>B2</f>
        <v>↓ Real      Escolhido →</v>
      </c>
      <c r="C70" s="9" t="s">
        <v>29</v>
      </c>
      <c r="D70" s="30" t="s">
        <v>30</v>
      </c>
      <c r="E70" s="30"/>
      <c r="F70" s="9" t="s">
        <v>31</v>
      </c>
    </row>
    <row r="71" spans="1:8">
      <c r="A71" s="39"/>
      <c r="B71" s="1" t="str">
        <f>C70</f>
        <v>Iris-setosa</v>
      </c>
      <c r="C71" s="12">
        <f>(((50)*100)/E69)/100</f>
        <v>0.33333333333333337</v>
      </c>
      <c r="D71" s="31">
        <v>0</v>
      </c>
      <c r="E71" s="31"/>
      <c r="F71" s="14">
        <v>0</v>
      </c>
    </row>
    <row r="72" spans="1:8">
      <c r="A72" s="39"/>
      <c r="B72" s="1" t="str">
        <f>D70</f>
        <v>Iris-versicolor</v>
      </c>
      <c r="C72" s="3">
        <v>0</v>
      </c>
      <c r="D72" s="32">
        <f>(((46)*100)/E69)/100</f>
        <v>0.3066666666666667</v>
      </c>
      <c r="E72" s="32"/>
      <c r="F72" s="3">
        <f>(((4)*100)/E69)/100</f>
        <v>2.6666666666666665E-2</v>
      </c>
    </row>
    <row r="73" spans="1:8">
      <c r="A73" s="39"/>
      <c r="B73" s="1" t="str">
        <f>F70</f>
        <v>Iris-virginica</v>
      </c>
      <c r="C73" s="14">
        <v>0</v>
      </c>
      <c r="D73" s="31">
        <f>(((4)*100)/E69)/100</f>
        <v>2.6666666666666665E-2</v>
      </c>
      <c r="E73" s="31"/>
      <c r="F73" s="12">
        <f>(((46)*100)/E69)/100</f>
        <v>0.3066666666666667</v>
      </c>
    </row>
    <row r="75" spans="1:8">
      <c r="A75" s="22" t="str">
        <f>A1</f>
        <v>k-folds</v>
      </c>
      <c r="B75" s="5" t="s">
        <v>28</v>
      </c>
      <c r="C75" s="7" t="s">
        <v>6</v>
      </c>
      <c r="D75" s="11" t="s">
        <v>2</v>
      </c>
      <c r="E75" s="33">
        <f>50+100</f>
        <v>150</v>
      </c>
      <c r="F75" s="34"/>
    </row>
    <row r="76" spans="1:8">
      <c r="A76" s="39">
        <v>10</v>
      </c>
      <c r="B76" s="6" t="str">
        <f>B2</f>
        <v>↓ Real      Escolhido →</v>
      </c>
      <c r="C76" s="9" t="s">
        <v>29</v>
      </c>
      <c r="D76" s="30" t="s">
        <v>30</v>
      </c>
      <c r="E76" s="30"/>
      <c r="F76" s="9" t="s">
        <v>31</v>
      </c>
    </row>
    <row r="77" spans="1:8">
      <c r="A77" s="39"/>
      <c r="B77" s="1" t="str">
        <f>C76</f>
        <v>Iris-setosa</v>
      </c>
      <c r="C77" s="12">
        <f>(((50)*100)/E75)/100</f>
        <v>0.33333333333333337</v>
      </c>
      <c r="D77" s="31">
        <v>0</v>
      </c>
      <c r="E77" s="31"/>
      <c r="F77" s="14">
        <v>0</v>
      </c>
    </row>
    <row r="78" spans="1:8">
      <c r="A78" s="39"/>
      <c r="B78" s="1" t="str">
        <f>D76</f>
        <v>Iris-versicolor</v>
      </c>
      <c r="C78" s="3">
        <v>0</v>
      </c>
      <c r="D78" s="32">
        <f>(((48)*100)/E75)/100</f>
        <v>0.32</v>
      </c>
      <c r="E78" s="32"/>
      <c r="F78" s="3">
        <f>(((2)*100)/E75)/100</f>
        <v>1.3333333333333332E-2</v>
      </c>
    </row>
    <row r="79" spans="1:8">
      <c r="A79" s="39"/>
      <c r="B79" s="1" t="str">
        <f>F76</f>
        <v>Iris-virginica</v>
      </c>
      <c r="C79" s="14">
        <v>0</v>
      </c>
      <c r="D79" s="31">
        <f>(((4)*100)/E75)/100</f>
        <v>2.6666666666666665E-2</v>
      </c>
      <c r="E79" s="31"/>
      <c r="F79" s="12">
        <f>(((46)*100)/E75)/100</f>
        <v>0.3066666666666667</v>
      </c>
    </row>
    <row r="81" spans="1:24">
      <c r="A81" s="22" t="str">
        <f>A1</f>
        <v>k-folds</v>
      </c>
      <c r="B81" s="5" t="s">
        <v>32</v>
      </c>
      <c r="C81" s="7" t="s">
        <v>11</v>
      </c>
      <c r="D81" s="35" t="s">
        <v>2</v>
      </c>
      <c r="E81" s="35"/>
      <c r="F81" s="35"/>
      <c r="G81" s="33">
        <f>255+84</f>
        <v>339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4"/>
    </row>
    <row r="82" spans="1:24">
      <c r="A82" s="39">
        <v>3</v>
      </c>
      <c r="B82" s="10" t="str">
        <f>B2</f>
        <v>↓ Real      Escolhido →</v>
      </c>
      <c r="C82" s="16" t="s">
        <v>33</v>
      </c>
      <c r="D82" s="25" t="s">
        <v>34</v>
      </c>
      <c r="E82" s="16" t="s">
        <v>35</v>
      </c>
      <c r="F82" s="16" t="s">
        <v>36</v>
      </c>
      <c r="G82" s="16" t="s">
        <v>37</v>
      </c>
      <c r="H82" s="16" t="s">
        <v>38</v>
      </c>
      <c r="I82" s="16" t="s">
        <v>39</v>
      </c>
      <c r="J82" s="16" t="s">
        <v>40</v>
      </c>
      <c r="K82" s="16" t="s">
        <v>41</v>
      </c>
      <c r="L82" s="16" t="s">
        <v>42</v>
      </c>
      <c r="M82" s="16" t="s">
        <v>43</v>
      </c>
      <c r="N82" s="16" t="s">
        <v>44</v>
      </c>
      <c r="O82" s="16" t="s">
        <v>45</v>
      </c>
      <c r="P82" s="16" t="s">
        <v>46</v>
      </c>
      <c r="Q82" s="18" t="s">
        <v>47</v>
      </c>
      <c r="R82" s="18" t="s">
        <v>48</v>
      </c>
      <c r="S82" s="18" t="s">
        <v>49</v>
      </c>
      <c r="T82" s="18" t="s">
        <v>50</v>
      </c>
      <c r="U82" s="18" t="s">
        <v>51</v>
      </c>
      <c r="V82" s="18" t="s">
        <v>52</v>
      </c>
      <c r="W82" s="18" t="s">
        <v>53</v>
      </c>
      <c r="X82" s="18" t="s">
        <v>54</v>
      </c>
    </row>
    <row r="83" spans="1:24">
      <c r="A83" s="39"/>
      <c r="B83" s="1" t="str">
        <f>C82</f>
        <v>lung</v>
      </c>
      <c r="C83" s="12">
        <f>(((Dados!X4)*100)/$G$106)/100</f>
        <v>0.16224188790560473</v>
      </c>
      <c r="D83" s="14">
        <f>(((Dados!Y4)*100)/$G$106)/100</f>
        <v>8.8495575221238937E-3</v>
      </c>
      <c r="E83" s="14">
        <f>(((Dados!Z4)*100)/$G$106)/100</f>
        <v>2.9498525073746312E-3</v>
      </c>
      <c r="F83" s="14">
        <f>(((Dados!AA4)*100)/$G$106)/100</f>
        <v>1.1799410029498525E-2</v>
      </c>
      <c r="G83" s="14">
        <f>(((Dados!AB4)*100)/$G$106)/100</f>
        <v>5.8997050147492625E-3</v>
      </c>
      <c r="H83" s="14">
        <f>(((Dados!AC4)*100)/$G$106)/100</f>
        <v>0</v>
      </c>
      <c r="I83" s="14">
        <f>(((Dados!AD4)*100)/$G$106)/100</f>
        <v>2.9498525073746312E-3</v>
      </c>
      <c r="J83" s="14">
        <f>(((Dados!AE4)*100)/$G$106)/100</f>
        <v>0</v>
      </c>
      <c r="K83" s="14">
        <f>(((Dados!AF4)*100)/$G$106)/100</f>
        <v>0</v>
      </c>
      <c r="L83" s="14">
        <f>(((Dados!AG4)*100)/$G$106)/100</f>
        <v>0</v>
      </c>
      <c r="M83" s="14">
        <f>(((Dados!AH4)*100)/$G$106)/100</f>
        <v>1.7699115044247787E-2</v>
      </c>
      <c r="N83" s="14">
        <f>(((Dados!AI4)*100)/$G$106)/100</f>
        <v>8.8495575221238937E-3</v>
      </c>
      <c r="O83" s="14">
        <f>(((Dados!AJ4)*100)/$G$106)/100</f>
        <v>0</v>
      </c>
      <c r="P83" s="14">
        <f>(((Dados!AK4)*100)/$G$106)/100</f>
        <v>1.1799410029498525E-2</v>
      </c>
      <c r="Q83" s="14">
        <f>(((Dados!AL4)*100)/$G$106)/100</f>
        <v>0</v>
      </c>
      <c r="R83" s="14">
        <f>(((Dados!AM4)*100)/$G$106)/100</f>
        <v>0</v>
      </c>
      <c r="S83" s="14">
        <f>(((Dados!AN4)*100)/$G$106)/100</f>
        <v>2.9498525073746312E-3</v>
      </c>
      <c r="T83" s="14">
        <f>(((Dados!AO4)*100)/$G$106)/100</f>
        <v>5.8997050147492625E-3</v>
      </c>
      <c r="U83" s="14">
        <f>(((Dados!AP4)*100)/$G$106)/100</f>
        <v>0</v>
      </c>
      <c r="V83" s="14">
        <f>(((Dados!AQ4)*100)/$G$106)/100</f>
        <v>0</v>
      </c>
      <c r="W83" s="14">
        <f>(((Dados!AR4)*100)/$G$106)/100</f>
        <v>0</v>
      </c>
      <c r="X83" s="14">
        <f>(((Dados!AS4)*100)/$G$106)/100</f>
        <v>5.8997050147492625E-3</v>
      </c>
    </row>
    <row r="84" spans="1:24">
      <c r="A84" s="39"/>
      <c r="B84" s="1" t="str">
        <f>D82</f>
        <v>head and neck</v>
      </c>
      <c r="C84" s="14">
        <f>(((Dados!X5)*100)/$G$106)/100</f>
        <v>2.9498525073746312E-3</v>
      </c>
      <c r="D84" s="12">
        <f>(((Dados!Y5)*100)/$G$106)/100</f>
        <v>5.6047197640118E-2</v>
      </c>
      <c r="E84" s="14">
        <f>(((Dados!Z5)*100)/$G$106)/100</f>
        <v>0</v>
      </c>
      <c r="F84" s="14">
        <f>(((Dados!AA5)*100)/$G$106)/100</f>
        <v>0</v>
      </c>
      <c r="G84" s="14">
        <f>(((Dados!AB5)*100)/$G$106)/100</f>
        <v>0</v>
      </c>
      <c r="H84" s="14">
        <f>(((Dados!AC5)*100)/$G$106)/100</f>
        <v>0</v>
      </c>
      <c r="I84" s="14">
        <f>(((Dados!AD5)*100)/$G$106)/100</f>
        <v>0</v>
      </c>
      <c r="J84" s="14">
        <f>(((Dados!AE5)*100)/$G$106)/100</f>
        <v>0</v>
      </c>
      <c r="K84" s="14">
        <f>(((Dados!AF5)*100)/$G$106)/100</f>
        <v>0</v>
      </c>
      <c r="L84" s="14">
        <f>(((Dados!AG5)*100)/$G$106)/100</f>
        <v>0</v>
      </c>
      <c r="M84" s="14">
        <f>(((Dados!AH5)*100)/$G$106)/100</f>
        <v>0</v>
      </c>
      <c r="N84" s="14">
        <f>(((Dados!AI5)*100)/$G$106)/100</f>
        <v>0</v>
      </c>
      <c r="O84" s="14">
        <f>(((Dados!AJ5)*100)/$G$106)/100</f>
        <v>0</v>
      </c>
      <c r="P84" s="14">
        <f>(((Dados!AK5)*100)/$G$106)/100</f>
        <v>0</v>
      </c>
      <c r="Q84" s="14">
        <f>(((Dados!AL5)*100)/$G$106)/100</f>
        <v>0</v>
      </c>
      <c r="R84" s="14">
        <f>(((Dados!AM5)*100)/$G$106)/100</f>
        <v>0</v>
      </c>
      <c r="S84" s="14">
        <f>(((Dados!AN5)*100)/$G$106)/100</f>
        <v>0</v>
      </c>
      <c r="T84" s="14">
        <f>(((Dados!AO5)*100)/$G$106)/100</f>
        <v>0</v>
      </c>
      <c r="U84" s="14">
        <f>(((Dados!AP5)*100)/$G$106)/100</f>
        <v>0</v>
      </c>
      <c r="V84" s="14">
        <f>(((Dados!AQ5)*100)/$G$106)/100</f>
        <v>0</v>
      </c>
      <c r="W84" s="14">
        <f>(((Dados!AR5)*100)/$G$106)/100</f>
        <v>0</v>
      </c>
      <c r="X84" s="14">
        <f>(((Dados!AS5)*100)/$G$106)/100</f>
        <v>0</v>
      </c>
    </row>
    <row r="85" spans="1:24">
      <c r="A85" s="39"/>
      <c r="B85" s="1" t="str">
        <f>E82</f>
        <v>esophagus</v>
      </c>
      <c r="C85" s="14">
        <f>(((Dados!X6)*100)/$G$106)/100</f>
        <v>1.7699115044247787E-2</v>
      </c>
      <c r="D85" s="14">
        <f>(((Dados!Y6)*100)/$G$106)/100</f>
        <v>2.9498525073746312E-3</v>
      </c>
      <c r="E85" s="12">
        <f>(((Dados!Z6)*100)/$G$106)/100</f>
        <v>0</v>
      </c>
      <c r="F85" s="14">
        <f>(((Dados!AA6)*100)/$G$106)/100</f>
        <v>0</v>
      </c>
      <c r="G85" s="14">
        <f>(((Dados!AB6)*100)/$G$106)/100</f>
        <v>0</v>
      </c>
      <c r="H85" s="14">
        <f>(((Dados!AC6)*100)/$G$106)/100</f>
        <v>0</v>
      </c>
      <c r="I85" s="14">
        <f>(((Dados!AD6)*100)/$G$106)/100</f>
        <v>0</v>
      </c>
      <c r="J85" s="14">
        <f>(((Dados!AE6)*100)/$G$106)/100</f>
        <v>0</v>
      </c>
      <c r="K85" s="14">
        <f>(((Dados!AF6)*100)/$G$106)/100</f>
        <v>0</v>
      </c>
      <c r="L85" s="14">
        <f>(((Dados!AG6)*100)/$G$106)/100</f>
        <v>0</v>
      </c>
      <c r="M85" s="14">
        <f>(((Dados!AH6)*100)/$G$106)/100</f>
        <v>2.9498525073746312E-3</v>
      </c>
      <c r="N85" s="14">
        <f>(((Dados!AI6)*100)/$G$106)/100</f>
        <v>0</v>
      </c>
      <c r="O85" s="14">
        <f>(((Dados!AJ6)*100)/$G$106)/100</f>
        <v>0</v>
      </c>
      <c r="P85" s="14">
        <f>(((Dados!AK6)*100)/$G$106)/100</f>
        <v>2.9498525073746312E-3</v>
      </c>
      <c r="Q85" s="14">
        <f>(((Dados!AL6)*100)/$G$106)/100</f>
        <v>0</v>
      </c>
      <c r="R85" s="14">
        <f>(((Dados!AM6)*100)/$G$106)/100</f>
        <v>0</v>
      </c>
      <c r="S85" s="14">
        <f>(((Dados!AN6)*100)/$G$106)/100</f>
        <v>0</v>
      </c>
      <c r="T85" s="14">
        <f>(((Dados!AO6)*100)/$G$106)/100</f>
        <v>0</v>
      </c>
      <c r="U85" s="14">
        <f>(((Dados!AP6)*100)/$G$106)/100</f>
        <v>0</v>
      </c>
      <c r="V85" s="14">
        <f>(((Dados!AQ6)*100)/$G$106)/100</f>
        <v>0</v>
      </c>
      <c r="W85" s="14">
        <f>(((Dados!AR6)*100)/$G$106)/100</f>
        <v>0</v>
      </c>
      <c r="X85" s="14">
        <f>(((Dados!AS6)*100)/$G$106)/100</f>
        <v>0</v>
      </c>
    </row>
    <row r="86" spans="1:24">
      <c r="A86" s="39"/>
      <c r="B86" s="1" t="str">
        <f>F82</f>
        <v>thyroid</v>
      </c>
      <c r="C86" s="14">
        <f>(((Dados!X7)*100)/$G$106)/100</f>
        <v>8.8495575221238937E-3</v>
      </c>
      <c r="D86" s="14">
        <f>(((Dados!Y7)*100)/$G$106)/100</f>
        <v>2.9498525073746312E-3</v>
      </c>
      <c r="E86" s="14">
        <f>(((Dados!Z7)*100)/$G$106)/100</f>
        <v>2.9498525073746312E-3</v>
      </c>
      <c r="F86" s="12">
        <f>(((Dados!AA7)*100)/$G$106)/100</f>
        <v>5.8997050147492625E-3</v>
      </c>
      <c r="G86" s="14">
        <f>(((Dados!AB7)*100)/$G$106)/100</f>
        <v>2.9498525073746312E-3</v>
      </c>
      <c r="H86" s="14">
        <f>(((Dados!AC7)*100)/$G$106)/100</f>
        <v>0</v>
      </c>
      <c r="I86" s="14">
        <f>(((Dados!AD7)*100)/$G$106)/100</f>
        <v>0</v>
      </c>
      <c r="J86" s="14">
        <f>(((Dados!AE7)*100)/$G$106)/100</f>
        <v>0</v>
      </c>
      <c r="K86" s="14">
        <f>(((Dados!AF7)*100)/$G$106)/100</f>
        <v>0</v>
      </c>
      <c r="L86" s="14">
        <f>(((Dados!AG7)*100)/$G$106)/100</f>
        <v>0</v>
      </c>
      <c r="M86" s="14">
        <f>(((Dados!AH7)*100)/$G$106)/100</f>
        <v>0</v>
      </c>
      <c r="N86" s="14">
        <f>(((Dados!AI7)*100)/$G$106)/100</f>
        <v>0</v>
      </c>
      <c r="O86" s="14">
        <f>(((Dados!AJ7)*100)/$G$106)/100</f>
        <v>0</v>
      </c>
      <c r="P86" s="14">
        <f>(((Dados!AK7)*100)/$G$106)/100</f>
        <v>1.7699115044247787E-2</v>
      </c>
      <c r="Q86" s="14">
        <f>(((Dados!AL7)*100)/$G$106)/100</f>
        <v>0</v>
      </c>
      <c r="R86" s="14">
        <f>(((Dados!AM7)*100)/$G$106)/100</f>
        <v>0</v>
      </c>
      <c r="S86" s="14">
        <f>(((Dados!AN7)*100)/$G$106)/100</f>
        <v>0</v>
      </c>
      <c r="T86" s="14">
        <f>(((Dados!AO7)*100)/$G$106)/100</f>
        <v>0</v>
      </c>
      <c r="U86" s="14">
        <f>(((Dados!AP7)*100)/$G$106)/100</f>
        <v>0</v>
      </c>
      <c r="V86" s="14">
        <f>(((Dados!AQ7)*100)/$G$106)/100</f>
        <v>0</v>
      </c>
      <c r="W86" s="14">
        <f>(((Dados!AR7)*100)/$G$106)/100</f>
        <v>0</v>
      </c>
      <c r="X86" s="14">
        <f>(((Dados!AS7)*100)/$G$106)/100</f>
        <v>0</v>
      </c>
    </row>
    <row r="87" spans="1:24">
      <c r="A87" s="39"/>
      <c r="B87" s="1" t="str">
        <f>G82</f>
        <v>stomach</v>
      </c>
      <c r="C87" s="14">
        <f>(((Dados!X8)*100)/$G$106)/100</f>
        <v>2.0648967551622419E-2</v>
      </c>
      <c r="D87" s="14">
        <f>(((Dados!Y8)*100)/$G$106)/100</f>
        <v>0</v>
      </c>
      <c r="E87" s="14">
        <f>(((Dados!Z8)*100)/$G$106)/100</f>
        <v>0</v>
      </c>
      <c r="F87" s="14">
        <f>(((Dados!AA8)*100)/$G$106)/100</f>
        <v>0</v>
      </c>
      <c r="G87" s="12">
        <f>(((Dados!AB8)*100)/$G$106)/100</f>
        <v>2.0648967551622419E-2</v>
      </c>
      <c r="H87" s="14">
        <f>(((Dados!AC8)*100)/$G$106)/100</f>
        <v>2.9498525073746312E-3</v>
      </c>
      <c r="I87" s="14">
        <f>(((Dados!AD8)*100)/$G$106)/100</f>
        <v>0</v>
      </c>
      <c r="J87" s="14">
        <f>(((Dados!AE8)*100)/$G$106)/100</f>
        <v>0</v>
      </c>
      <c r="K87" s="14">
        <f>(((Dados!AF8)*100)/$G$106)/100</f>
        <v>0</v>
      </c>
      <c r="L87" s="14">
        <f>(((Dados!AG8)*100)/$G$106)/100</f>
        <v>0</v>
      </c>
      <c r="M87" s="14">
        <f>(((Dados!AH8)*100)/$G$106)/100</f>
        <v>1.7699115044247787E-2</v>
      </c>
      <c r="N87" s="14">
        <f>(((Dados!AI8)*100)/$G$106)/100</f>
        <v>8.8495575221238937E-3</v>
      </c>
      <c r="O87" s="14">
        <f>(((Dados!AJ8)*100)/$G$106)/100</f>
        <v>0</v>
      </c>
      <c r="P87" s="14">
        <f>(((Dados!AK8)*100)/$G$106)/100</f>
        <v>1.1799410029498525E-2</v>
      </c>
      <c r="Q87" s="14">
        <f>(((Dados!AL8)*100)/$G$106)/100</f>
        <v>0</v>
      </c>
      <c r="R87" s="14">
        <f>(((Dados!AM8)*100)/$G$106)/100</f>
        <v>0</v>
      </c>
      <c r="S87" s="14">
        <f>(((Dados!AN8)*100)/$G$106)/100</f>
        <v>0</v>
      </c>
      <c r="T87" s="14">
        <f>(((Dados!AO8)*100)/$G$106)/100</f>
        <v>2.359882005899705E-2</v>
      </c>
      <c r="U87" s="14">
        <f>(((Dados!AP8)*100)/$G$106)/100</f>
        <v>0</v>
      </c>
      <c r="V87" s="14">
        <f>(((Dados!AQ8)*100)/$G$106)/100</f>
        <v>0</v>
      </c>
      <c r="W87" s="14">
        <f>(((Dados!AR8)*100)/$G$106)/100</f>
        <v>0</v>
      </c>
      <c r="X87" s="14">
        <f>(((Dados!AS8)*100)/$G$106)/100</f>
        <v>8.8495575221238937E-3</v>
      </c>
    </row>
    <row r="88" spans="1:24">
      <c r="A88" s="39"/>
      <c r="B88" s="1" t="str">
        <f>H82</f>
        <v>duoden and sm.int</v>
      </c>
      <c r="C88" s="14">
        <f>(((Dados!X9)*100)/$G$106)/100</f>
        <v>0</v>
      </c>
      <c r="D88" s="14">
        <f>(((Dados!Y9)*100)/$G$106)/100</f>
        <v>0</v>
      </c>
      <c r="E88" s="14">
        <f>(((Dados!Z9)*100)/$G$106)/100</f>
        <v>0</v>
      </c>
      <c r="F88" s="14">
        <f>(((Dados!AA9)*100)/$G$106)/100</f>
        <v>0</v>
      </c>
      <c r="G88" s="14">
        <f>(((Dados!AB9)*100)/$G$106)/100</f>
        <v>0</v>
      </c>
      <c r="H88" s="12">
        <f>(((Dados!AC9)*100)/$G$106)/100</f>
        <v>0</v>
      </c>
      <c r="I88" s="14">
        <f>(((Dados!AD9)*100)/$G$106)/100</f>
        <v>0</v>
      </c>
      <c r="J88" s="14">
        <f>(((Dados!AE9)*100)/$G$106)/100</f>
        <v>0</v>
      </c>
      <c r="K88" s="14">
        <f>(((Dados!AF9)*100)/$G$106)/100</f>
        <v>0</v>
      </c>
      <c r="L88" s="14">
        <f>(((Dados!AG9)*100)/$G$106)/100</f>
        <v>0</v>
      </c>
      <c r="M88" s="14">
        <f>(((Dados!AH9)*100)/$G$106)/100</f>
        <v>0</v>
      </c>
      <c r="N88" s="14">
        <f>(((Dados!AI9)*100)/$G$106)/100</f>
        <v>0</v>
      </c>
      <c r="O88" s="14">
        <f>(((Dados!AJ9)*100)/$G$106)/100</f>
        <v>0</v>
      </c>
      <c r="P88" s="14">
        <f>(((Dados!AK9)*100)/$G$106)/100</f>
        <v>2.9498525073746312E-3</v>
      </c>
      <c r="Q88" s="14">
        <f>(((Dados!AL9)*100)/$G$106)/100</f>
        <v>0</v>
      </c>
      <c r="R88" s="14">
        <f>(((Dados!AM9)*100)/$G$106)/100</f>
        <v>0</v>
      </c>
      <c r="S88" s="14">
        <f>(((Dados!AN9)*100)/$G$106)/100</f>
        <v>0</v>
      </c>
      <c r="T88" s="14">
        <f>(((Dados!AO9)*100)/$G$106)/100</f>
        <v>0</v>
      </c>
      <c r="U88" s="14">
        <f>(((Dados!AP9)*100)/$G$106)/100</f>
        <v>0</v>
      </c>
      <c r="V88" s="14">
        <f>(((Dados!AQ9)*100)/$G$106)/100</f>
        <v>0</v>
      </c>
      <c r="W88" s="14">
        <f>(((Dados!AR9)*100)/$G$106)/100</f>
        <v>0</v>
      </c>
      <c r="X88" s="14">
        <f>(((Dados!AS9)*100)/$G$106)/100</f>
        <v>0</v>
      </c>
    </row>
    <row r="89" spans="1:24">
      <c r="A89" s="39"/>
      <c r="B89" s="1" t="str">
        <f>I82</f>
        <v>colon</v>
      </c>
      <c r="C89" s="14">
        <f>(((Dados!X10)*100)/$G$106)/100</f>
        <v>0</v>
      </c>
      <c r="D89" s="14">
        <f>(((Dados!Y10)*100)/$G$106)/100</f>
        <v>0</v>
      </c>
      <c r="E89" s="14">
        <f>(((Dados!Z10)*100)/$G$106)/100</f>
        <v>0</v>
      </c>
      <c r="F89" s="14">
        <f>(((Dados!AA10)*100)/$G$106)/100</f>
        <v>0</v>
      </c>
      <c r="G89" s="14">
        <f>(((Dados!AB10)*100)/$G$106)/100</f>
        <v>2.0648967551622419E-2</v>
      </c>
      <c r="H89" s="14">
        <f>(((Dados!AC10)*100)/$G$106)/100</f>
        <v>0</v>
      </c>
      <c r="I89" s="12">
        <f>(((Dados!AD10)*100)/$G$106)/100</f>
        <v>0</v>
      </c>
      <c r="J89" s="14">
        <f>(((Dados!AE10)*100)/$G$106)/100</f>
        <v>0</v>
      </c>
      <c r="K89" s="14">
        <f>(((Dados!AF10)*100)/$G$106)/100</f>
        <v>0</v>
      </c>
      <c r="L89" s="14">
        <f>(((Dados!AG10)*100)/$G$106)/100</f>
        <v>0</v>
      </c>
      <c r="M89" s="14">
        <f>(((Dados!AH10)*100)/$G$106)/100</f>
        <v>2.9498525073746312E-3</v>
      </c>
      <c r="N89" s="14">
        <f>(((Dados!AI10)*100)/$G$106)/100</f>
        <v>1.4749262536873156E-2</v>
      </c>
      <c r="O89" s="14">
        <f>(((Dados!AJ10)*100)/$G$106)/100</f>
        <v>0</v>
      </c>
      <c r="P89" s="14">
        <f>(((Dados!AK10)*100)/$G$106)/100</f>
        <v>0</v>
      </c>
      <c r="Q89" s="14">
        <f>(((Dados!AL10)*100)/$G$106)/100</f>
        <v>0</v>
      </c>
      <c r="R89" s="14">
        <f>(((Dados!AM10)*100)/$G$106)/100</f>
        <v>0</v>
      </c>
      <c r="S89" s="14">
        <f>(((Dados!AN10)*100)/$G$106)/100</f>
        <v>0</v>
      </c>
      <c r="T89" s="14">
        <f>(((Dados!AO10)*100)/$G$106)/100</f>
        <v>2.9498525073746312E-3</v>
      </c>
      <c r="U89" s="14">
        <f>(((Dados!AP10)*100)/$G$106)/100</f>
        <v>0</v>
      </c>
      <c r="V89" s="14">
        <f>(((Dados!AQ10)*100)/$G$106)/100</f>
        <v>0</v>
      </c>
      <c r="W89" s="14">
        <f>(((Dados!AR10)*100)/$G$106)/100</f>
        <v>0</v>
      </c>
      <c r="X89" s="14">
        <f>(((Dados!AS10)*100)/$G$106)/100</f>
        <v>0</v>
      </c>
    </row>
    <row r="90" spans="1:24">
      <c r="A90" s="39"/>
      <c r="B90" s="1" t="str">
        <f>J82</f>
        <v>rectum</v>
      </c>
      <c r="C90" s="14">
        <f>(((Dados!X11)*100)/$G$106)/100</f>
        <v>0</v>
      </c>
      <c r="D90" s="14">
        <f>(((Dados!Y11)*100)/$G$106)/100</f>
        <v>2.9498525073746312E-3</v>
      </c>
      <c r="E90" s="14">
        <f>(((Dados!Z11)*100)/$G$106)/100</f>
        <v>0</v>
      </c>
      <c r="F90" s="14">
        <f>(((Dados!AA11)*100)/$G$106)/100</f>
        <v>0</v>
      </c>
      <c r="G90" s="14">
        <f>(((Dados!AB11)*100)/$G$106)/100</f>
        <v>8.8495575221238937E-3</v>
      </c>
      <c r="H90" s="14">
        <f>(((Dados!AC11)*100)/$G$106)/100</f>
        <v>0</v>
      </c>
      <c r="I90" s="14">
        <f>(((Dados!AD11)*100)/$G$106)/100</f>
        <v>0</v>
      </c>
      <c r="J90" s="12">
        <f>(((Dados!AE11)*100)/$G$106)/100</f>
        <v>0</v>
      </c>
      <c r="K90" s="14">
        <f>(((Dados!AF11)*100)/$G$106)/100</f>
        <v>0</v>
      </c>
      <c r="L90" s="14">
        <f>(((Dados!AG11)*100)/$G$106)/100</f>
        <v>0</v>
      </c>
      <c r="M90" s="14">
        <f>(((Dados!AH11)*100)/$G$106)/100</f>
        <v>2.9498525073746312E-3</v>
      </c>
      <c r="N90" s="14">
        <f>(((Dados!AI11)*100)/$G$106)/100</f>
        <v>0</v>
      </c>
      <c r="O90" s="14">
        <f>(((Dados!AJ11)*100)/$G$106)/100</f>
        <v>0</v>
      </c>
      <c r="P90" s="14">
        <f>(((Dados!AK11)*100)/$G$106)/100</f>
        <v>2.9498525073746312E-3</v>
      </c>
      <c r="Q90" s="14">
        <f>(((Dados!AL11)*100)/$G$106)/100</f>
        <v>0</v>
      </c>
      <c r="R90" s="14">
        <f>(((Dados!AM11)*100)/$G$106)/100</f>
        <v>0</v>
      </c>
      <c r="S90" s="14">
        <f>(((Dados!AN11)*100)/$G$106)/100</f>
        <v>0</v>
      </c>
      <c r="T90" s="14">
        <f>(((Dados!AO11)*100)/$G$106)/100</f>
        <v>0</v>
      </c>
      <c r="U90" s="14">
        <f>(((Dados!AP11)*100)/$G$106)/100</f>
        <v>0</v>
      </c>
      <c r="V90" s="14">
        <f>(((Dados!AQ11)*100)/$G$106)/100</f>
        <v>0</v>
      </c>
      <c r="W90" s="14">
        <f>(((Dados!AR11)*100)/$G$106)/100</f>
        <v>0</v>
      </c>
      <c r="X90" s="14">
        <f>(((Dados!AS11)*100)/$G$106)/100</f>
        <v>0</v>
      </c>
    </row>
    <row r="91" spans="1:24">
      <c r="A91" s="39"/>
      <c r="B91" s="1" t="str">
        <f>K82</f>
        <v>anus</v>
      </c>
      <c r="C91" s="14">
        <f>(((Dados!X12)*100)/$G$106)/100</f>
        <v>0</v>
      </c>
      <c r="D91" s="14">
        <f>(((Dados!Y12)*100)/$G$106)/100</f>
        <v>0</v>
      </c>
      <c r="E91" s="14">
        <f>(((Dados!Z12)*100)/$G$106)/100</f>
        <v>0</v>
      </c>
      <c r="F91" s="14">
        <f>(((Dados!AA12)*100)/$G$106)/100</f>
        <v>0</v>
      </c>
      <c r="G91" s="14">
        <f>(((Dados!AB12)*100)/$G$106)/100</f>
        <v>0</v>
      </c>
      <c r="H91" s="14">
        <f>(((Dados!AC12)*100)/$G$106)/100</f>
        <v>0</v>
      </c>
      <c r="I91" s="14">
        <f>(((Dados!AD12)*100)/$G$106)/100</f>
        <v>0</v>
      </c>
      <c r="J91" s="14">
        <f>(((Dados!AE12)*100)/$G$106)/100</f>
        <v>0</v>
      </c>
      <c r="K91" s="12">
        <f>(((Dados!AF12)*100)/$G$106)/100</f>
        <v>0</v>
      </c>
      <c r="L91" s="14">
        <f>(((Dados!AG12)*100)/$G$106)/100</f>
        <v>0</v>
      </c>
      <c r="M91" s="14">
        <f>(((Dados!AH12)*100)/$G$106)/100</f>
        <v>0</v>
      </c>
      <c r="N91" s="14">
        <f>(((Dados!AI12)*100)/$G$106)/100</f>
        <v>0</v>
      </c>
      <c r="O91" s="14">
        <f>(((Dados!AJ12)*100)/$G$106)/100</f>
        <v>0</v>
      </c>
      <c r="P91" s="14">
        <f>(((Dados!AK12)*100)/$G$106)/100</f>
        <v>0</v>
      </c>
      <c r="Q91" s="14">
        <f>(((Dados!AL12)*100)/$G$106)/100</f>
        <v>0</v>
      </c>
      <c r="R91" s="14">
        <f>(((Dados!AM12)*100)/$G$106)/100</f>
        <v>0</v>
      </c>
      <c r="S91" s="14">
        <f>(((Dados!AN12)*100)/$G$106)/100</f>
        <v>0</v>
      </c>
      <c r="T91" s="14">
        <f>(((Dados!AO12)*100)/$G$106)/100</f>
        <v>0</v>
      </c>
      <c r="U91" s="14">
        <f>(((Dados!AP12)*100)/$G$106)/100</f>
        <v>0</v>
      </c>
      <c r="V91" s="14">
        <f>(((Dados!AQ12)*100)/$G$106)/100</f>
        <v>0</v>
      </c>
      <c r="W91" s="14">
        <f>(((Dados!AR12)*100)/$G$106)/100</f>
        <v>0</v>
      </c>
      <c r="X91" s="14">
        <f>(((Dados!AS12)*100)/$G$106)/100</f>
        <v>0</v>
      </c>
    </row>
    <row r="92" spans="1:24">
      <c r="A92" s="39"/>
      <c r="B92" s="1" t="str">
        <f>L82</f>
        <v>salivary glands</v>
      </c>
      <c r="C92" s="14">
        <f>(((Dados!X13)*100)/$G$106)/100</f>
        <v>2.9498525073746312E-3</v>
      </c>
      <c r="D92" s="14">
        <f>(((Dados!Y13)*100)/$G$106)/100</f>
        <v>2.9498525073746312E-3</v>
      </c>
      <c r="E92" s="14">
        <f>(((Dados!Z13)*100)/$G$106)/100</f>
        <v>0</v>
      </c>
      <c r="F92" s="14">
        <f>(((Dados!AA13)*100)/$G$106)/100</f>
        <v>0</v>
      </c>
      <c r="G92" s="14">
        <f>(((Dados!AB13)*100)/$G$106)/100</f>
        <v>0</v>
      </c>
      <c r="H92" s="14">
        <f>(((Dados!AC13)*100)/$G$106)/100</f>
        <v>0</v>
      </c>
      <c r="I92" s="14">
        <f>(((Dados!AD13)*100)/$G$106)/100</f>
        <v>0</v>
      </c>
      <c r="J92" s="14">
        <f>(((Dados!AE13)*100)/$G$106)/100</f>
        <v>0</v>
      </c>
      <c r="K92" s="14">
        <f>(((Dados!AF13)*100)/$G$106)/100</f>
        <v>0</v>
      </c>
      <c r="L92" s="12">
        <f>(((Dados!AG13)*100)/$G$106)/100</f>
        <v>0</v>
      </c>
      <c r="M92" s="14">
        <f>(((Dados!AH13)*100)/$G$106)/100</f>
        <v>0</v>
      </c>
      <c r="N92" s="14">
        <f>(((Dados!AI13)*100)/$G$106)/100</f>
        <v>0</v>
      </c>
      <c r="O92" s="14">
        <f>(((Dados!AJ13)*100)/$G$106)/100</f>
        <v>0</v>
      </c>
      <c r="P92" s="14">
        <f>(((Dados!AK13)*100)/$G$106)/100</f>
        <v>0</v>
      </c>
      <c r="Q92" s="14">
        <f>(((Dados!AL13)*100)/$G$106)/100</f>
        <v>0</v>
      </c>
      <c r="R92" s="14">
        <f>(((Dados!AM13)*100)/$G$106)/100</f>
        <v>0</v>
      </c>
      <c r="S92" s="14">
        <f>(((Dados!AN13)*100)/$G$106)/100</f>
        <v>0</v>
      </c>
      <c r="T92" s="14">
        <f>(((Dados!AO13)*100)/$G$106)/100</f>
        <v>0</v>
      </c>
      <c r="U92" s="14">
        <f>(((Dados!AP13)*100)/$G$106)/100</f>
        <v>0</v>
      </c>
      <c r="V92" s="14">
        <f>(((Dados!AQ13)*100)/$G$106)/100</f>
        <v>0</v>
      </c>
      <c r="W92" s="14">
        <f>(((Dados!AR13)*100)/$G$106)/100</f>
        <v>0</v>
      </c>
      <c r="X92" s="14">
        <f>(((Dados!AS13)*100)/$G$106)/100</f>
        <v>0</v>
      </c>
    </row>
    <row r="93" spans="1:24">
      <c r="A93" s="39"/>
      <c r="B93" s="1" t="str">
        <f>M82</f>
        <v>pancreas</v>
      </c>
      <c r="C93" s="14">
        <f>(((Dados!X14)*100)/$G$106)/100</f>
        <v>1.4749262536873156E-2</v>
      </c>
      <c r="D93" s="14">
        <f>(((Dados!Y14)*100)/$G$106)/100</f>
        <v>0</v>
      </c>
      <c r="E93" s="14">
        <f>(((Dados!Z14)*100)/$G$106)/100</f>
        <v>0</v>
      </c>
      <c r="F93" s="14">
        <f>(((Dados!AA14)*100)/$G$106)/100</f>
        <v>0</v>
      </c>
      <c r="G93" s="14">
        <f>(((Dados!AB14)*100)/$G$106)/100</f>
        <v>5.8997050147492625E-3</v>
      </c>
      <c r="H93" s="14">
        <f>(((Dados!AC14)*100)/$G$106)/100</f>
        <v>0</v>
      </c>
      <c r="I93" s="14">
        <f>(((Dados!AD14)*100)/$G$106)/100</f>
        <v>0</v>
      </c>
      <c r="J93" s="14">
        <f>(((Dados!AE14)*100)/$G$106)/100</f>
        <v>0</v>
      </c>
      <c r="K93" s="14">
        <f>(((Dados!AF14)*100)/$G$106)/100</f>
        <v>0</v>
      </c>
      <c r="L93" s="14">
        <f>(((Dados!AG14)*100)/$G$106)/100</f>
        <v>0</v>
      </c>
      <c r="M93" s="12">
        <f>(((Dados!AH14)*100)/$G$106)/100</f>
        <v>2.9498525073746312E-2</v>
      </c>
      <c r="N93" s="14">
        <f>(((Dados!AI14)*100)/$G$106)/100</f>
        <v>1.4749262536873156E-2</v>
      </c>
      <c r="O93" s="14">
        <f>(((Dados!AJ14)*100)/$G$106)/100</f>
        <v>0</v>
      </c>
      <c r="P93" s="14">
        <f>(((Dados!AK14)*100)/$G$106)/100</f>
        <v>0</v>
      </c>
      <c r="Q93" s="14">
        <f>(((Dados!AL14)*100)/$G$106)/100</f>
        <v>0</v>
      </c>
      <c r="R93" s="14">
        <f>(((Dados!AM14)*100)/$G$106)/100</f>
        <v>0</v>
      </c>
      <c r="S93" s="14">
        <f>(((Dados!AN14)*100)/$G$106)/100</f>
        <v>0</v>
      </c>
      <c r="T93" s="14">
        <f>(((Dados!AO14)*100)/$G$106)/100</f>
        <v>1.7699115044247787E-2</v>
      </c>
      <c r="U93" s="14">
        <f>(((Dados!AP14)*100)/$G$106)/100</f>
        <v>0</v>
      </c>
      <c r="V93" s="14">
        <f>(((Dados!AQ14)*100)/$G$106)/100</f>
        <v>0</v>
      </c>
      <c r="W93" s="14">
        <f>(((Dados!AR14)*100)/$G$106)/100</f>
        <v>0</v>
      </c>
      <c r="X93" s="14">
        <f>(((Dados!AS14)*100)/$G$106)/100</f>
        <v>0</v>
      </c>
    </row>
    <row r="94" spans="1:24">
      <c r="A94" s="39"/>
      <c r="B94" s="1" t="str">
        <f>N82</f>
        <v>gallbladder</v>
      </c>
      <c r="C94" s="14">
        <f>(((Dados!X15)*100)/$G$106)/100</f>
        <v>0</v>
      </c>
      <c r="D94" s="14">
        <f>(((Dados!Y15)*100)/$G$106)/100</f>
        <v>0</v>
      </c>
      <c r="E94" s="14">
        <f>(((Dados!Z15)*100)/$G$106)/100</f>
        <v>0</v>
      </c>
      <c r="F94" s="14">
        <f>(((Dados!AA15)*100)/$G$106)/100</f>
        <v>0</v>
      </c>
      <c r="G94" s="14">
        <f>(((Dados!AB15)*100)/$G$106)/100</f>
        <v>2.9498525073746312E-3</v>
      </c>
      <c r="H94" s="14">
        <f>(((Dados!AC15)*100)/$G$106)/100</f>
        <v>0</v>
      </c>
      <c r="I94" s="14">
        <f>(((Dados!AD15)*100)/$G$106)/100</f>
        <v>0</v>
      </c>
      <c r="J94" s="14">
        <f>(((Dados!AE15)*100)/$G$106)/100</f>
        <v>0</v>
      </c>
      <c r="K94" s="14">
        <f>(((Dados!AF15)*100)/$G$106)/100</f>
        <v>0</v>
      </c>
      <c r="L94" s="14">
        <f>(((Dados!AG15)*100)/$G$106)/100</f>
        <v>0</v>
      </c>
      <c r="M94" s="14">
        <f>(((Dados!AH15)*100)/$G$106)/100</f>
        <v>2.9498525073746312E-3</v>
      </c>
      <c r="N94" s="12">
        <f>(((Dados!AI15)*100)/$G$106)/100</f>
        <v>3.2448377581120944E-2</v>
      </c>
      <c r="O94" s="14">
        <f>(((Dados!AJ15)*100)/$G$106)/100</f>
        <v>0</v>
      </c>
      <c r="P94" s="14">
        <f>(((Dados!AK15)*100)/$G$106)/100</f>
        <v>0</v>
      </c>
      <c r="Q94" s="14">
        <f>(((Dados!AL15)*100)/$G$106)/100</f>
        <v>0</v>
      </c>
      <c r="R94" s="14">
        <f>(((Dados!AM15)*100)/$G$106)/100</f>
        <v>0</v>
      </c>
      <c r="S94" s="14">
        <f>(((Dados!AN15)*100)/$G$106)/100</f>
        <v>0</v>
      </c>
      <c r="T94" s="14">
        <f>(((Dados!AO15)*100)/$G$106)/100</f>
        <v>5.8997050147492625E-3</v>
      </c>
      <c r="U94" s="14">
        <f>(((Dados!AP15)*100)/$G$106)/100</f>
        <v>2.9498525073746312E-3</v>
      </c>
      <c r="V94" s="14">
        <f>(((Dados!AQ15)*100)/$G$106)/100</f>
        <v>0</v>
      </c>
      <c r="W94" s="14">
        <f>(((Dados!AR15)*100)/$G$106)/100</f>
        <v>0</v>
      </c>
      <c r="X94" s="14">
        <f>(((Dados!AS15)*100)/$G$106)/100</f>
        <v>0</v>
      </c>
    </row>
    <row r="95" spans="1:24">
      <c r="A95" s="39"/>
      <c r="B95" s="1" t="str">
        <f>O82</f>
        <v>liver</v>
      </c>
      <c r="C95" s="14">
        <f>(((Dados!X16)*100)/$G$106)/100</f>
        <v>5.8997050147492625E-3</v>
      </c>
      <c r="D95" s="14">
        <f>(((Dados!Y16)*100)/$G$106)/100</f>
        <v>0</v>
      </c>
      <c r="E95" s="14">
        <f>(((Dados!Z16)*100)/$G$106)/100</f>
        <v>0</v>
      </c>
      <c r="F95" s="14">
        <f>(((Dados!AA16)*100)/$G$106)/100</f>
        <v>0</v>
      </c>
      <c r="G95" s="14">
        <f>(((Dados!AB16)*100)/$G$106)/100</f>
        <v>0</v>
      </c>
      <c r="H95" s="14">
        <f>(((Dados!AC16)*100)/$G$106)/100</f>
        <v>0</v>
      </c>
      <c r="I95" s="14">
        <f>(((Dados!AD16)*100)/$G$106)/100</f>
        <v>0</v>
      </c>
      <c r="J95" s="14">
        <f>(((Dados!AE16)*100)/$G$106)/100</f>
        <v>0</v>
      </c>
      <c r="K95" s="14">
        <f>(((Dados!AF16)*100)/$G$106)/100</f>
        <v>0</v>
      </c>
      <c r="L95" s="14">
        <f>(((Dados!AG16)*100)/$G$106)/100</f>
        <v>0</v>
      </c>
      <c r="M95" s="14">
        <f>(((Dados!AH16)*100)/$G$106)/100</f>
        <v>2.9498525073746312E-3</v>
      </c>
      <c r="N95" s="14">
        <f>(((Dados!AI16)*100)/$G$106)/100</f>
        <v>5.8997050147492625E-3</v>
      </c>
      <c r="O95" s="12">
        <f>(((Dados!AJ16)*100)/$G$106)/100</f>
        <v>0</v>
      </c>
      <c r="P95" s="14">
        <f>(((Dados!AK16)*100)/$G$106)/100</f>
        <v>5.8997050147492625E-3</v>
      </c>
      <c r="Q95" s="14">
        <f>(((Dados!AL16)*100)/$G$106)/100</f>
        <v>0</v>
      </c>
      <c r="R95" s="14">
        <f>(((Dados!AM16)*100)/$G$106)/100</f>
        <v>0</v>
      </c>
      <c r="S95" s="14">
        <f>(((Dados!AN16)*100)/$G$106)/100</f>
        <v>0</v>
      </c>
      <c r="T95" s="14">
        <f>(((Dados!AO16)*100)/$G$106)/100</f>
        <v>0</v>
      </c>
      <c r="U95" s="14">
        <f>(((Dados!AP16)*100)/$G$106)/100</f>
        <v>0</v>
      </c>
      <c r="V95" s="14">
        <f>(((Dados!AQ16)*100)/$G$106)/100</f>
        <v>0</v>
      </c>
      <c r="W95" s="14">
        <f>(((Dados!AR16)*100)/$G$106)/100</f>
        <v>0</v>
      </c>
      <c r="X95" s="14">
        <f>(((Dados!AS16)*100)/$G$106)/100</f>
        <v>0</v>
      </c>
    </row>
    <row r="96" spans="1:24">
      <c r="A96" s="39"/>
      <c r="B96" s="1" t="str">
        <f>P82</f>
        <v>kidney</v>
      </c>
      <c r="C96" s="14">
        <f>(((Dados!X17)*100)/$G$106)/100</f>
        <v>8.8495575221238937E-3</v>
      </c>
      <c r="D96" s="14">
        <f>(((Dados!Y17)*100)/$G$106)/100</f>
        <v>0</v>
      </c>
      <c r="E96" s="14">
        <f>(((Dados!Z17)*100)/$G$106)/100</f>
        <v>0</v>
      </c>
      <c r="F96" s="14">
        <f>(((Dados!AA17)*100)/$G$106)/100</f>
        <v>2.9498525073746312E-3</v>
      </c>
      <c r="G96" s="14">
        <f>(((Dados!AB17)*100)/$G$106)/100</f>
        <v>1.4749262536873156E-2</v>
      </c>
      <c r="H96" s="14">
        <f>(((Dados!AC17)*100)/$G$106)/100</f>
        <v>0</v>
      </c>
      <c r="I96" s="14">
        <f>(((Dados!AD17)*100)/$G$106)/100</f>
        <v>0</v>
      </c>
      <c r="J96" s="14">
        <f>(((Dados!AE17)*100)/$G$106)/100</f>
        <v>0</v>
      </c>
      <c r="K96" s="14">
        <f>(((Dados!AF17)*100)/$G$106)/100</f>
        <v>0</v>
      </c>
      <c r="L96" s="14">
        <f>(((Dados!AG17)*100)/$G$106)/100</f>
        <v>0</v>
      </c>
      <c r="M96" s="14">
        <f>(((Dados!AH17)*100)/$G$106)/100</f>
        <v>5.8997050147492625E-3</v>
      </c>
      <c r="N96" s="14">
        <f>(((Dados!AI17)*100)/$G$106)/100</f>
        <v>2.9498525073746312E-3</v>
      </c>
      <c r="O96" s="14">
        <f>(((Dados!AJ17)*100)/$G$106)/100</f>
        <v>2.9498525073746312E-3</v>
      </c>
      <c r="P96" s="12">
        <f>(((Dados!AK17)*100)/$G$106)/100</f>
        <v>2.9498525073746312E-2</v>
      </c>
      <c r="Q96" s="14">
        <f>(((Dados!AL17)*100)/$G$106)/100</f>
        <v>0</v>
      </c>
      <c r="R96" s="14">
        <f>(((Dados!AM17)*100)/$G$106)/100</f>
        <v>0</v>
      </c>
      <c r="S96" s="14">
        <f>(((Dados!AN17)*100)/$G$106)/100</f>
        <v>0</v>
      </c>
      <c r="T96" s="14">
        <f>(((Dados!AO17)*100)/$G$106)/100</f>
        <v>2.9498525073746312E-3</v>
      </c>
      <c r="U96" s="14">
        <f>(((Dados!AP17)*100)/$G$106)/100</f>
        <v>0</v>
      </c>
      <c r="V96" s="14">
        <f>(((Dados!AQ17)*100)/$G$106)/100</f>
        <v>0</v>
      </c>
      <c r="W96" s="14">
        <f>(((Dados!AR17)*100)/$G$106)/100</f>
        <v>0</v>
      </c>
      <c r="X96" s="14">
        <f>(((Dados!AS17)*100)/$G$106)/100</f>
        <v>0</v>
      </c>
    </row>
    <row r="97" spans="1:24">
      <c r="A97" s="39"/>
      <c r="B97" s="1" t="str">
        <f>Q82</f>
        <v>bladder</v>
      </c>
      <c r="C97" s="14">
        <f>(((Dados!X18)*100)/$G$106)/100</f>
        <v>2.9498525073746312E-3</v>
      </c>
      <c r="D97" s="14">
        <f>(((Dados!Y18)*100)/$G$106)/100</f>
        <v>0</v>
      </c>
      <c r="E97" s="14">
        <f>(((Dados!Z18)*100)/$G$106)/100</f>
        <v>0</v>
      </c>
      <c r="F97" s="14">
        <f>(((Dados!AA18)*100)/$G$106)/100</f>
        <v>0</v>
      </c>
      <c r="G97" s="14">
        <f>(((Dados!AB18)*100)/$G$106)/100</f>
        <v>2.9498525073746312E-3</v>
      </c>
      <c r="H97" s="14">
        <f>(((Dados!AC18)*100)/$G$106)/100</f>
        <v>0</v>
      </c>
      <c r="I97" s="14">
        <f>(((Dados!AD18)*100)/$G$106)/100</f>
        <v>0</v>
      </c>
      <c r="J97" s="14">
        <f>(((Dados!AE18)*100)/$G$106)/100</f>
        <v>0</v>
      </c>
      <c r="K97" s="14">
        <f>(((Dados!AF18)*100)/$G$106)/100</f>
        <v>0</v>
      </c>
      <c r="L97" s="14">
        <f>(((Dados!AG18)*100)/$G$106)/100</f>
        <v>0</v>
      </c>
      <c r="M97" s="14">
        <f>(((Dados!AH18)*100)/$G$106)/100</f>
        <v>0</v>
      </c>
      <c r="N97" s="14">
        <f>(((Dados!AI18)*100)/$G$106)/100</f>
        <v>0</v>
      </c>
      <c r="O97" s="14">
        <f>(((Dados!AJ18)*100)/$G$106)/100</f>
        <v>0</v>
      </c>
      <c r="P97" s="14">
        <f>(((Dados!AK18)*100)/$G$106)/100</f>
        <v>0</v>
      </c>
      <c r="Q97" s="12">
        <f>(((Dados!AL18)*100)/$G$106)/100</f>
        <v>0</v>
      </c>
      <c r="R97" s="14">
        <f>(((Dados!AM18)*100)/$G$106)/100</f>
        <v>0</v>
      </c>
      <c r="S97" s="14">
        <f>(((Dados!AN18)*100)/$G$106)/100</f>
        <v>0</v>
      </c>
      <c r="T97" s="14">
        <f>(((Dados!AO18)*100)/$G$106)/100</f>
        <v>0</v>
      </c>
      <c r="U97" s="14">
        <f>(((Dados!AP18)*100)/$G$106)/100</f>
        <v>0</v>
      </c>
      <c r="V97" s="14">
        <f>(((Dados!AQ18)*100)/$G$106)/100</f>
        <v>0</v>
      </c>
      <c r="W97" s="14">
        <f>(((Dados!AR18)*100)/$G$106)/100</f>
        <v>0</v>
      </c>
      <c r="X97" s="14">
        <f>(((Dados!AS18)*100)/$G$106)/100</f>
        <v>0</v>
      </c>
    </row>
    <row r="98" spans="1:24">
      <c r="A98" s="39"/>
      <c r="B98" s="1" t="str">
        <f>R82</f>
        <v>testis</v>
      </c>
      <c r="C98" s="14">
        <f>(((Dados!X19)*100)/$G$106)/100</f>
        <v>0</v>
      </c>
      <c r="D98" s="14">
        <f>(((Dados!Y19)*100)/$G$106)/100</f>
        <v>0</v>
      </c>
      <c r="E98" s="14">
        <f>(((Dados!Z19)*100)/$G$106)/100</f>
        <v>0</v>
      </c>
      <c r="F98" s="14">
        <f>(((Dados!AA19)*100)/$G$106)/100</f>
        <v>0</v>
      </c>
      <c r="G98" s="14">
        <f>(((Dados!AB19)*100)/$G$106)/100</f>
        <v>0</v>
      </c>
      <c r="H98" s="14">
        <f>(((Dados!AC19)*100)/$G$106)/100</f>
        <v>0</v>
      </c>
      <c r="I98" s="14">
        <f>(((Dados!AD19)*100)/$G$106)/100</f>
        <v>0</v>
      </c>
      <c r="J98" s="14">
        <f>(((Dados!AE19)*100)/$G$106)/100</f>
        <v>0</v>
      </c>
      <c r="K98" s="14">
        <f>(((Dados!AF19)*100)/$G$106)/100</f>
        <v>0</v>
      </c>
      <c r="L98" s="14">
        <f>(((Dados!AG19)*100)/$G$106)/100</f>
        <v>0</v>
      </c>
      <c r="M98" s="14">
        <f>(((Dados!AH19)*100)/$G$106)/100</f>
        <v>0</v>
      </c>
      <c r="N98" s="14">
        <f>(((Dados!AI19)*100)/$G$106)/100</f>
        <v>0</v>
      </c>
      <c r="O98" s="14">
        <f>(((Dados!AJ19)*100)/$G$106)/100</f>
        <v>0</v>
      </c>
      <c r="P98" s="14">
        <f>(((Dados!AK19)*100)/$G$106)/100</f>
        <v>2.9498525073746312E-3</v>
      </c>
      <c r="Q98" s="14">
        <f>(((Dados!AL19)*100)/$G$106)/100</f>
        <v>0</v>
      </c>
      <c r="R98" s="12">
        <f>(((Dados!AM19)*100)/$G$106)/100</f>
        <v>0</v>
      </c>
      <c r="S98" s="14">
        <f>(((Dados!AN19)*100)/$G$106)/100</f>
        <v>0</v>
      </c>
      <c r="T98" s="14">
        <f>(((Dados!AO19)*100)/$G$106)/100</f>
        <v>0</v>
      </c>
      <c r="U98" s="14">
        <f>(((Dados!AP19)*100)/$G$106)/100</f>
        <v>0</v>
      </c>
      <c r="V98" s="14">
        <f>(((Dados!AQ19)*100)/$G$106)/100</f>
        <v>0</v>
      </c>
      <c r="W98" s="14">
        <f>(((Dados!AR19)*100)/$G$106)/100</f>
        <v>0</v>
      </c>
      <c r="X98" s="14">
        <f>(((Dados!AS19)*100)/$G$106)/100</f>
        <v>0</v>
      </c>
    </row>
    <row r="99" spans="1:24">
      <c r="A99" s="39"/>
      <c r="B99" s="1" t="str">
        <f>S82</f>
        <v>prostate</v>
      </c>
      <c r="C99" s="14">
        <f>(((Dados!X20)*100)/$G$106)/100</f>
        <v>0</v>
      </c>
      <c r="D99" s="14">
        <f>(((Dados!Y20)*100)/$G$106)/100</f>
        <v>2.9498525073746312E-3</v>
      </c>
      <c r="E99" s="14">
        <f>(((Dados!Z20)*100)/$G$106)/100</f>
        <v>0</v>
      </c>
      <c r="F99" s="14">
        <f>(((Dados!AA20)*100)/$G$106)/100</f>
        <v>2.9498525073746312E-3</v>
      </c>
      <c r="G99" s="14">
        <f>(((Dados!AB20)*100)/$G$106)/100</f>
        <v>2.9498525073746312E-3</v>
      </c>
      <c r="H99" s="14">
        <f>(((Dados!AC20)*100)/$G$106)/100</f>
        <v>0</v>
      </c>
      <c r="I99" s="14">
        <f>(((Dados!AD20)*100)/$G$106)/100</f>
        <v>0</v>
      </c>
      <c r="J99" s="14">
        <f>(((Dados!AE20)*100)/$G$106)/100</f>
        <v>0</v>
      </c>
      <c r="K99" s="14">
        <f>(((Dados!AF20)*100)/$G$106)/100</f>
        <v>0</v>
      </c>
      <c r="L99" s="14">
        <f>(((Dados!AG20)*100)/$G$106)/100</f>
        <v>0</v>
      </c>
      <c r="M99" s="14">
        <f>(((Dados!AH20)*100)/$G$106)/100</f>
        <v>5.8997050147492625E-3</v>
      </c>
      <c r="N99" s="14">
        <f>(((Dados!AI20)*100)/$G$106)/100</f>
        <v>0</v>
      </c>
      <c r="O99" s="14">
        <f>(((Dados!AJ20)*100)/$G$106)/100</f>
        <v>0</v>
      </c>
      <c r="P99" s="14">
        <f>(((Dados!AK20)*100)/$G$106)/100</f>
        <v>8.8495575221238937E-3</v>
      </c>
      <c r="Q99" s="14">
        <f>(((Dados!AL20)*100)/$G$106)/100</f>
        <v>0</v>
      </c>
      <c r="R99" s="14">
        <f>(((Dados!AM20)*100)/$G$106)/100</f>
        <v>0</v>
      </c>
      <c r="S99" s="12">
        <f>(((Dados!AN20)*100)/$G$106)/100</f>
        <v>5.8997050147492625E-3</v>
      </c>
      <c r="T99" s="14">
        <f>(((Dados!AO20)*100)/$G$106)/100</f>
        <v>0</v>
      </c>
      <c r="U99" s="14">
        <f>(((Dados!AP20)*100)/$G$106)/100</f>
        <v>0</v>
      </c>
      <c r="V99" s="14">
        <f>(((Dados!AQ20)*100)/$G$106)/100</f>
        <v>0</v>
      </c>
      <c r="W99" s="14">
        <f>(((Dados!AR20)*100)/$G$106)/100</f>
        <v>0</v>
      </c>
      <c r="X99" s="14">
        <f>(((Dados!AS20)*100)/$G$106)/100</f>
        <v>0</v>
      </c>
    </row>
    <row r="100" spans="1:24">
      <c r="A100" s="39"/>
      <c r="B100" s="1" t="str">
        <f>T82</f>
        <v>ovary</v>
      </c>
      <c r="C100" s="14">
        <f>(((Dados!X21)*100)/$G$106)/100</f>
        <v>2.9498525073746312E-3</v>
      </c>
      <c r="D100" s="14">
        <f>(((Dados!Y21)*100)/$G$106)/100</f>
        <v>0</v>
      </c>
      <c r="E100" s="14">
        <f>(((Dados!Z21)*100)/$G$106)/100</f>
        <v>0</v>
      </c>
      <c r="F100" s="14">
        <f>(((Dados!AA21)*100)/$G$106)/100</f>
        <v>0</v>
      </c>
      <c r="G100" s="14">
        <f>(((Dados!AB21)*100)/$G$106)/100</f>
        <v>2.9498525073746312E-3</v>
      </c>
      <c r="H100" s="14">
        <f>(((Dados!AC21)*100)/$G$106)/100</f>
        <v>0</v>
      </c>
      <c r="I100" s="14">
        <f>(((Dados!AD21)*100)/$G$106)/100</f>
        <v>0</v>
      </c>
      <c r="J100" s="14">
        <f>(((Dados!AE21)*100)/$G$106)/100</f>
        <v>0</v>
      </c>
      <c r="K100" s="14">
        <f>(((Dados!AF21)*100)/$G$106)/100</f>
        <v>0</v>
      </c>
      <c r="L100" s="14">
        <f>(((Dados!AG21)*100)/$G$106)/100</f>
        <v>0</v>
      </c>
      <c r="M100" s="14">
        <f>(((Dados!AH21)*100)/$G$106)/100</f>
        <v>2.9498525073746312E-3</v>
      </c>
      <c r="N100" s="14">
        <f>(((Dados!AI21)*100)/$G$106)/100</f>
        <v>5.8997050147492625E-3</v>
      </c>
      <c r="O100" s="14">
        <f>(((Dados!AJ21)*100)/$G$106)/100</f>
        <v>0</v>
      </c>
      <c r="P100" s="14">
        <f>(((Dados!AK21)*100)/$G$106)/100</f>
        <v>0</v>
      </c>
      <c r="Q100" s="14">
        <f>(((Dados!AL21)*100)/$G$106)/100</f>
        <v>0</v>
      </c>
      <c r="R100" s="14">
        <f>(((Dados!AM21)*100)/$G$106)/100</f>
        <v>0</v>
      </c>
      <c r="S100" s="14">
        <f>(((Dados!AN21)*100)/$G$106)/100</f>
        <v>0</v>
      </c>
      <c r="T100" s="12">
        <f>(((Dados!AO21)*100)/$G$106)/100</f>
        <v>7.0796460176991149E-2</v>
      </c>
      <c r="U100" s="14">
        <f>(((Dados!AP21)*100)/$G$106)/100</f>
        <v>0</v>
      </c>
      <c r="V100" s="14">
        <f>(((Dados!AQ21)*100)/$G$106)/100</f>
        <v>0</v>
      </c>
      <c r="W100" s="14">
        <f>(((Dados!AR21)*100)/$G$106)/100</f>
        <v>0</v>
      </c>
      <c r="X100" s="14">
        <f>(((Dados!AS21)*100)/$G$106)/100</f>
        <v>0</v>
      </c>
    </row>
    <row r="101" spans="1:24">
      <c r="A101" s="39"/>
      <c r="B101" s="1" t="str">
        <f>U82</f>
        <v>corpus uteri</v>
      </c>
      <c r="C101" s="14">
        <f>(((Dados!X22)*100)/$G$106)/100</f>
        <v>2.9498525073746312E-3</v>
      </c>
      <c r="D101" s="14">
        <f>(((Dados!Y22)*100)/$G$106)/100</f>
        <v>0</v>
      </c>
      <c r="E101" s="14">
        <f>(((Dados!Z22)*100)/$G$106)/100</f>
        <v>0</v>
      </c>
      <c r="F101" s="14">
        <f>(((Dados!AA22)*100)/$G$106)/100</f>
        <v>0</v>
      </c>
      <c r="G101" s="14">
        <f>(((Dados!AB22)*100)/$G$106)/100</f>
        <v>5.8997050147492625E-3</v>
      </c>
      <c r="H101" s="14">
        <f>(((Dados!AC22)*100)/$G$106)/100</f>
        <v>0</v>
      </c>
      <c r="I101" s="14">
        <f>(((Dados!AD22)*100)/$G$106)/100</f>
        <v>0</v>
      </c>
      <c r="J101" s="14">
        <f>(((Dados!AE22)*100)/$G$106)/100</f>
        <v>0</v>
      </c>
      <c r="K101" s="14">
        <f>(((Dados!AF22)*100)/$G$106)/100</f>
        <v>0</v>
      </c>
      <c r="L101" s="14">
        <f>(((Dados!AG22)*100)/$G$106)/100</f>
        <v>0</v>
      </c>
      <c r="M101" s="14">
        <f>(((Dados!AH22)*100)/$G$106)/100</f>
        <v>5.8997050147492625E-3</v>
      </c>
      <c r="N101" s="14">
        <f>(((Dados!AI22)*100)/$G$106)/100</f>
        <v>2.9498525073746312E-3</v>
      </c>
      <c r="O101" s="14">
        <f>(((Dados!AJ22)*100)/$G$106)/100</f>
        <v>0</v>
      </c>
      <c r="P101" s="14">
        <f>(((Dados!AK22)*100)/$G$106)/100</f>
        <v>0</v>
      </c>
      <c r="Q101" s="14">
        <f>(((Dados!AL22)*100)/$G$106)/100</f>
        <v>0</v>
      </c>
      <c r="R101" s="14">
        <f>(((Dados!AM22)*100)/$G$106)/100</f>
        <v>0</v>
      </c>
      <c r="S101" s="14">
        <f>(((Dados!AN22)*100)/$G$106)/100</f>
        <v>0</v>
      </c>
      <c r="T101" s="14">
        <f>(((Dados!AO22)*100)/$G$106)/100</f>
        <v>0</v>
      </c>
      <c r="U101" s="12">
        <f>(((Dados!AP22)*100)/$G$106)/100</f>
        <v>0</v>
      </c>
      <c r="V101" s="14">
        <f>(((Dados!AQ22)*100)/$G$106)/100</f>
        <v>0</v>
      </c>
      <c r="W101" s="14">
        <f>(((Dados!AR22)*100)/$G$106)/100</f>
        <v>0</v>
      </c>
      <c r="X101" s="14">
        <f>(((Dados!AS22)*100)/$G$106)/100</f>
        <v>0</v>
      </c>
    </row>
    <row r="102" spans="1:24">
      <c r="A102" s="39"/>
      <c r="B102" s="1" t="str">
        <f>V82</f>
        <v>cervix uteri</v>
      </c>
      <c r="C102" s="14">
        <f>(((Dados!X23)*100)/$G$106)/100</f>
        <v>0</v>
      </c>
      <c r="D102" s="14">
        <f>(((Dados!Y23)*100)/$G$106)/100</f>
        <v>0</v>
      </c>
      <c r="E102" s="14">
        <f>(((Dados!Z23)*100)/$G$106)/100</f>
        <v>0</v>
      </c>
      <c r="F102" s="14">
        <f>(((Dados!AA23)*100)/$G$106)/100</f>
        <v>0</v>
      </c>
      <c r="G102" s="14">
        <f>(((Dados!AB23)*100)/$G$106)/100</f>
        <v>0</v>
      </c>
      <c r="H102" s="14">
        <f>(((Dados!AC23)*100)/$G$106)/100</f>
        <v>0</v>
      </c>
      <c r="I102" s="14">
        <f>(((Dados!AD23)*100)/$G$106)/100</f>
        <v>2.9498525073746312E-3</v>
      </c>
      <c r="J102" s="14">
        <f>(((Dados!AE23)*100)/$G$106)/100</f>
        <v>0</v>
      </c>
      <c r="K102" s="14">
        <f>(((Dados!AF23)*100)/$G$106)/100</f>
        <v>0</v>
      </c>
      <c r="L102" s="14">
        <f>(((Dados!AG23)*100)/$G$106)/100</f>
        <v>0</v>
      </c>
      <c r="M102" s="14">
        <f>(((Dados!AH23)*100)/$G$106)/100</f>
        <v>0</v>
      </c>
      <c r="N102" s="14">
        <f>(((Dados!AI23)*100)/$G$106)/100</f>
        <v>0</v>
      </c>
      <c r="O102" s="14">
        <f>(((Dados!AJ23)*100)/$G$106)/100</f>
        <v>0</v>
      </c>
      <c r="P102" s="14">
        <f>(((Dados!AK23)*100)/$G$106)/100</f>
        <v>0</v>
      </c>
      <c r="Q102" s="14">
        <f>(((Dados!AL23)*100)/$G$106)/100</f>
        <v>0</v>
      </c>
      <c r="R102" s="14">
        <f>(((Dados!AM23)*100)/$G$106)/100</f>
        <v>0</v>
      </c>
      <c r="S102" s="14">
        <f>(((Dados!AN23)*100)/$G$106)/100</f>
        <v>0</v>
      </c>
      <c r="T102" s="14">
        <f>(((Dados!AO23)*100)/$G$106)/100</f>
        <v>0</v>
      </c>
      <c r="U102" s="14">
        <f>(((Dados!AP23)*100)/$G$106)/100</f>
        <v>2.9498525073746312E-3</v>
      </c>
      <c r="V102" s="12">
        <f>(((Dados!AQ23)*100)/$G$106)/100</f>
        <v>0</v>
      </c>
      <c r="W102" s="14">
        <f>(((Dados!AR23)*100)/$G$106)/100</f>
        <v>0</v>
      </c>
      <c r="X102" s="14">
        <f>(((Dados!AS23)*100)/$G$106)/100</f>
        <v>0</v>
      </c>
    </row>
    <row r="103" spans="1:24">
      <c r="A103" s="39"/>
      <c r="B103" s="1" t="str">
        <f>W82</f>
        <v>vagina</v>
      </c>
      <c r="C103" s="14">
        <f>(((Dados!X24)*100)/$G$106)/100</f>
        <v>0</v>
      </c>
      <c r="D103" s="14">
        <f>(((Dados!Y24)*100)/$G$106)/100</f>
        <v>0</v>
      </c>
      <c r="E103" s="14">
        <f>(((Dados!Z24)*100)/$G$106)/100</f>
        <v>0</v>
      </c>
      <c r="F103" s="14">
        <f>(((Dados!AA24)*100)/$G$106)/100</f>
        <v>0</v>
      </c>
      <c r="G103" s="14">
        <f>(((Dados!AB24)*100)/$G$106)/100</f>
        <v>0</v>
      </c>
      <c r="H103" s="14">
        <f>(((Dados!AC24)*100)/$G$106)/100</f>
        <v>0</v>
      </c>
      <c r="I103" s="14">
        <f>(((Dados!AD24)*100)/$G$106)/100</f>
        <v>0</v>
      </c>
      <c r="J103" s="14">
        <f>(((Dados!AE24)*100)/$G$106)/100</f>
        <v>0</v>
      </c>
      <c r="K103" s="14">
        <f>(((Dados!AF24)*100)/$G$106)/100</f>
        <v>0</v>
      </c>
      <c r="L103" s="14">
        <f>(((Dados!AG24)*100)/$G$106)/100</f>
        <v>0</v>
      </c>
      <c r="M103" s="14">
        <f>(((Dados!AH24)*100)/$G$106)/100</f>
        <v>0</v>
      </c>
      <c r="N103" s="14">
        <f>(((Dados!AI24)*100)/$G$106)/100</f>
        <v>0</v>
      </c>
      <c r="O103" s="14">
        <f>(((Dados!AJ24)*100)/$G$106)/100</f>
        <v>0</v>
      </c>
      <c r="P103" s="14">
        <f>(((Dados!AK24)*100)/$G$106)/100</f>
        <v>0</v>
      </c>
      <c r="Q103" s="14">
        <f>(((Dados!AL24)*100)/$G$106)/100</f>
        <v>0</v>
      </c>
      <c r="R103" s="14">
        <f>(((Dados!AM24)*100)/$G$106)/100</f>
        <v>0</v>
      </c>
      <c r="S103" s="14">
        <f>(((Dados!AN24)*100)/$G$106)/100</f>
        <v>0</v>
      </c>
      <c r="T103" s="14">
        <f>(((Dados!AO24)*100)/$G$106)/100</f>
        <v>0</v>
      </c>
      <c r="U103" s="14">
        <f>(((Dados!AP24)*100)/$G$106)/100</f>
        <v>2.9498525073746312E-3</v>
      </c>
      <c r="V103" s="14">
        <f>(((Dados!AQ24)*100)/$G$106)/100</f>
        <v>0</v>
      </c>
      <c r="W103" s="12">
        <f>(((Dados!AR24)*100)/$G$106)/100</f>
        <v>0</v>
      </c>
      <c r="X103" s="14">
        <f>(((Dados!AS24)*100)/$G$106)/100</f>
        <v>0</v>
      </c>
    </row>
    <row r="104" spans="1:24">
      <c r="A104" s="39"/>
      <c r="B104" s="1" t="str">
        <f>X82</f>
        <v>breast</v>
      </c>
      <c r="C104" s="14">
        <f>(((Dados!X25)*100)/$G$106)/100</f>
        <v>0</v>
      </c>
      <c r="D104" s="14">
        <f>(((Dados!Y25)*100)/$G$106)/100</f>
        <v>0</v>
      </c>
      <c r="E104" s="14">
        <f>(((Dados!Z25)*100)/$G$106)/100</f>
        <v>2.9498525073746312E-3</v>
      </c>
      <c r="F104" s="14">
        <f>(((Dados!AA25)*100)/$G$106)/100</f>
        <v>2.9498525073746312E-3</v>
      </c>
      <c r="G104" s="14">
        <f>(((Dados!AB25)*100)/$G$106)/100</f>
        <v>0</v>
      </c>
      <c r="H104" s="14">
        <f>(((Dados!AC25)*100)/$G$106)/100</f>
        <v>0</v>
      </c>
      <c r="I104" s="14">
        <f>(((Dados!AD25)*100)/$G$106)/100</f>
        <v>0</v>
      </c>
      <c r="J104" s="14">
        <f>(((Dados!AE25)*100)/$G$106)/100</f>
        <v>0</v>
      </c>
      <c r="K104" s="14">
        <f>(((Dados!AF25)*100)/$G$106)/100</f>
        <v>0</v>
      </c>
      <c r="L104" s="14">
        <f>(((Dados!AG25)*100)/$G$106)/100</f>
        <v>0</v>
      </c>
      <c r="M104" s="14">
        <f>(((Dados!AH25)*100)/$G$106)/100</f>
        <v>2.9498525073746312E-3</v>
      </c>
      <c r="N104" s="14">
        <f>(((Dados!AI25)*100)/$G$106)/100</f>
        <v>0</v>
      </c>
      <c r="O104" s="14">
        <f>(((Dados!AJ25)*100)/$G$106)/100</f>
        <v>0</v>
      </c>
      <c r="P104" s="14">
        <f>(((Dados!AK25)*100)/$G$106)/100</f>
        <v>2.9498525073746312E-3</v>
      </c>
      <c r="Q104" s="14">
        <f>(((Dados!AL25)*100)/$G$106)/100</f>
        <v>0</v>
      </c>
      <c r="R104" s="14">
        <f>(((Dados!AM25)*100)/$G$106)/100</f>
        <v>0</v>
      </c>
      <c r="S104" s="14">
        <f>(((Dados!AN25)*100)/$G$106)/100</f>
        <v>0</v>
      </c>
      <c r="T104" s="14">
        <f>(((Dados!AO25)*100)/$G$106)/100</f>
        <v>2.9498525073746312E-3</v>
      </c>
      <c r="U104" s="14">
        <f>(((Dados!AP25)*100)/$G$106)/100</f>
        <v>0</v>
      </c>
      <c r="V104" s="14">
        <f>(((Dados!AQ25)*100)/$G$106)/100</f>
        <v>2.9498525073746312E-3</v>
      </c>
      <c r="W104" s="14">
        <f>(((Dados!AR25)*100)/$G$106)/100</f>
        <v>0</v>
      </c>
      <c r="X104" s="12">
        <f>(((Dados!AS25)*100)/$G$106)/100</f>
        <v>5.3097345132743362E-2</v>
      </c>
    </row>
    <row r="106" spans="1:24">
      <c r="A106" s="22" t="str">
        <f>A1</f>
        <v>k-folds</v>
      </c>
      <c r="B106" s="5" t="s">
        <v>32</v>
      </c>
      <c r="C106" s="7" t="s">
        <v>11</v>
      </c>
      <c r="D106" s="35" t="s">
        <v>2</v>
      </c>
      <c r="E106" s="35"/>
      <c r="F106" s="35"/>
      <c r="G106" s="33">
        <f>255+84</f>
        <v>339</v>
      </c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4"/>
    </row>
    <row r="107" spans="1:24">
      <c r="A107" s="39">
        <v>10</v>
      </c>
      <c r="B107" s="10" t="str">
        <f>B2</f>
        <v>↓ Real      Escolhido →</v>
      </c>
      <c r="C107" s="16" t="s">
        <v>33</v>
      </c>
      <c r="D107" s="25" t="s">
        <v>34</v>
      </c>
      <c r="E107" s="16" t="s">
        <v>35</v>
      </c>
      <c r="F107" s="16" t="s">
        <v>36</v>
      </c>
      <c r="G107" s="16" t="s">
        <v>37</v>
      </c>
      <c r="H107" s="16" t="s">
        <v>38</v>
      </c>
      <c r="I107" s="16" t="s">
        <v>39</v>
      </c>
      <c r="J107" s="16" t="s">
        <v>40</v>
      </c>
      <c r="K107" s="16" t="s">
        <v>41</v>
      </c>
      <c r="L107" s="16" t="s">
        <v>42</v>
      </c>
      <c r="M107" s="16" t="s">
        <v>43</v>
      </c>
      <c r="N107" s="16" t="s">
        <v>44</v>
      </c>
      <c r="O107" s="16" t="s">
        <v>45</v>
      </c>
      <c r="P107" s="16" t="s">
        <v>46</v>
      </c>
      <c r="Q107" s="18" t="s">
        <v>47</v>
      </c>
      <c r="R107" s="18" t="s">
        <v>48</v>
      </c>
      <c r="S107" s="18" t="s">
        <v>49</v>
      </c>
      <c r="T107" s="18" t="s">
        <v>50</v>
      </c>
      <c r="U107" s="18" t="s">
        <v>51</v>
      </c>
      <c r="V107" s="18" t="s">
        <v>52</v>
      </c>
      <c r="W107" s="18" t="s">
        <v>53</v>
      </c>
      <c r="X107" s="18" t="s">
        <v>54</v>
      </c>
    </row>
    <row r="108" spans="1:24">
      <c r="A108" s="39"/>
      <c r="B108" s="1" t="str">
        <f>C107</f>
        <v>lung</v>
      </c>
      <c r="C108" s="12">
        <f>(((Dados!A4)*100)/$G$106)/100</f>
        <v>0.17699115044247787</v>
      </c>
      <c r="D108" s="14">
        <f>(((Dados!B4)*100)/$G$106)/100</f>
        <v>8.8495575221238937E-3</v>
      </c>
      <c r="E108" s="14">
        <f>(((Dados!C4)*100)/$G$106)/100</f>
        <v>2.9498525073746312E-3</v>
      </c>
      <c r="F108" s="14">
        <f>(((Dados!D4)*100)/$G$106)/100</f>
        <v>5.8997050147492625E-3</v>
      </c>
      <c r="G108" s="14">
        <f>(((Dados!E4)*100)/$G$106)/100</f>
        <v>8.8495575221238937E-3</v>
      </c>
      <c r="H108" s="14">
        <f>(((Dados!F4)*100)/$G$106)/100</f>
        <v>0</v>
      </c>
      <c r="I108" s="14">
        <f>(((Dados!G4)*100)/$G$106)/100</f>
        <v>0</v>
      </c>
      <c r="J108" s="14">
        <f>(((Dados!H4)*100)/$G$106)/100</f>
        <v>0</v>
      </c>
      <c r="K108" s="14">
        <f>(((Dados!I4)*100)/$G$106)/100</f>
        <v>0</v>
      </c>
      <c r="L108" s="14">
        <f>(((Dados!J4)*100)/$G$106)/100</f>
        <v>0</v>
      </c>
      <c r="M108" s="14">
        <f>(((Dados!K4)*100)/$G$106)/100</f>
        <v>2.0648967551622419E-2</v>
      </c>
      <c r="N108" s="14">
        <f>(((Dados!L4)*100)/$G$106)/100</f>
        <v>5.8997050147492625E-3</v>
      </c>
      <c r="O108" s="14">
        <f>(((Dados!M4)*100)/$G$106)/100</f>
        <v>0</v>
      </c>
      <c r="P108" s="14">
        <f>(((Dados!N4)*100)/$G$106)/100</f>
        <v>8.8495575221238937E-3</v>
      </c>
      <c r="Q108" s="14">
        <f>(((Dados!O4)*100)/$G$106)/100</f>
        <v>0</v>
      </c>
      <c r="R108" s="14">
        <f>(((Dados!P4)*100)/$G$106)/100</f>
        <v>0</v>
      </c>
      <c r="S108" s="14">
        <f>(((Dados!Q4)*100)/$G$106)/100</f>
        <v>0</v>
      </c>
      <c r="T108" s="14">
        <f>(((Dados!R4)*100)/$G$106)/100</f>
        <v>5.8997050147492625E-3</v>
      </c>
      <c r="U108" s="14">
        <f>(((Dados!S4)*100)/$G$106)/100</f>
        <v>0</v>
      </c>
      <c r="V108" s="14">
        <f>(((Dados!T4)*100)/$G$106)/100</f>
        <v>0</v>
      </c>
      <c r="W108" s="14">
        <f>(((Dados!U4)*100)/$G$106)/100</f>
        <v>0</v>
      </c>
      <c r="X108" s="14">
        <f>(((Dados!V4)*100)/$G$106)/100</f>
        <v>2.9498525073746312E-3</v>
      </c>
    </row>
    <row r="109" spans="1:24">
      <c r="A109" s="39"/>
      <c r="B109" s="1" t="str">
        <f>D107</f>
        <v>head and neck</v>
      </c>
      <c r="C109" s="14">
        <f>(((Dados!A5)*100)/$G$106)/100</f>
        <v>2.9498525073746312E-3</v>
      </c>
      <c r="D109" s="12">
        <f>(((Dados!B5)*100)/$G$106)/100</f>
        <v>5.6047197640118E-2</v>
      </c>
      <c r="E109" s="14">
        <f>(((Dados!C5)*100)/$G$106)/100</f>
        <v>0</v>
      </c>
      <c r="F109" s="14">
        <f>(((Dados!D5)*100)/$G$106)/100</f>
        <v>0</v>
      </c>
      <c r="G109" s="14">
        <f>(((Dados!E5)*100)/$G$106)/100</f>
        <v>0</v>
      </c>
      <c r="H109" s="14">
        <f>(((Dados!F5)*100)/$G$106)/100</f>
        <v>0</v>
      </c>
      <c r="I109" s="14">
        <f>(((Dados!G5)*100)/$G$106)/100</f>
        <v>0</v>
      </c>
      <c r="J109" s="14">
        <f>(((Dados!H5)*100)/$G$106)/100</f>
        <v>0</v>
      </c>
      <c r="K109" s="14">
        <f>(((Dados!I5)*100)/$G$106)/100</f>
        <v>0</v>
      </c>
      <c r="L109" s="14">
        <f>(((Dados!J5)*100)/$G$106)/100</f>
        <v>0</v>
      </c>
      <c r="M109" s="14">
        <f>(((Dados!K5)*100)/$G$106)/100</f>
        <v>0</v>
      </c>
      <c r="N109" s="14">
        <f>(((Dados!L5)*100)/$G$106)/100</f>
        <v>0</v>
      </c>
      <c r="O109" s="14">
        <f>(((Dados!M5)*100)/$G$106)/100</f>
        <v>0</v>
      </c>
      <c r="P109" s="14">
        <f>(((Dados!N5)*100)/$G$106)/100</f>
        <v>0</v>
      </c>
      <c r="Q109" s="14">
        <f>(((Dados!O5)*100)/$G$106)/100</f>
        <v>0</v>
      </c>
      <c r="R109" s="14">
        <f>(((Dados!P5)*100)/$G$106)/100</f>
        <v>0</v>
      </c>
      <c r="S109" s="14">
        <f>(((Dados!Q5)*100)/$G$106)/100</f>
        <v>0</v>
      </c>
      <c r="T109" s="14">
        <f>(((Dados!R5)*100)/$G$106)/100</f>
        <v>0</v>
      </c>
      <c r="U109" s="14">
        <f>(((Dados!S5)*100)/$G$106)/100</f>
        <v>0</v>
      </c>
      <c r="V109" s="14">
        <f>(((Dados!T5)*100)/$G$106)/100</f>
        <v>0</v>
      </c>
      <c r="W109" s="14">
        <f>(((Dados!U5)*100)/$G$106)/100</f>
        <v>0</v>
      </c>
      <c r="X109" s="14">
        <f>(((Dados!V5)*100)/$G$106)/100</f>
        <v>0</v>
      </c>
    </row>
    <row r="110" spans="1:24">
      <c r="A110" s="39"/>
      <c r="B110" s="1" t="str">
        <f>E107</f>
        <v>esophagus</v>
      </c>
      <c r="C110" s="14">
        <f>(((Dados!A6)*100)/$G$106)/100</f>
        <v>1.4749262536873156E-2</v>
      </c>
      <c r="D110" s="14">
        <f>(((Dados!B6)*100)/$G$106)/100</f>
        <v>2.9498525073746312E-3</v>
      </c>
      <c r="E110" s="12">
        <f>(((Dados!C6)*100)/$G$106)/100</f>
        <v>0</v>
      </c>
      <c r="F110" s="14">
        <f>(((Dados!D6)*100)/$G$106)/100</f>
        <v>2.9498525073746312E-3</v>
      </c>
      <c r="G110" s="14">
        <f>(((Dados!E6)*100)/$G$106)/100</f>
        <v>0</v>
      </c>
      <c r="H110" s="14">
        <f>(((Dados!F6)*100)/$G$106)/100</f>
        <v>0</v>
      </c>
      <c r="I110" s="14">
        <f>(((Dados!G6)*100)/$G$106)/100</f>
        <v>0</v>
      </c>
      <c r="J110" s="14">
        <f>(((Dados!H6)*100)/$G$106)/100</f>
        <v>0</v>
      </c>
      <c r="K110" s="14">
        <f>(((Dados!I6)*100)/$G$106)/100</f>
        <v>0</v>
      </c>
      <c r="L110" s="14">
        <f>(((Dados!J6)*100)/$G$106)/100</f>
        <v>0</v>
      </c>
      <c r="M110" s="14">
        <f>(((Dados!K6)*100)/$G$106)/100</f>
        <v>2.9498525073746312E-3</v>
      </c>
      <c r="N110" s="14">
        <f>(((Dados!L6)*100)/$G$106)/100</f>
        <v>0</v>
      </c>
      <c r="O110" s="14">
        <f>(((Dados!M6)*100)/$G$106)/100</f>
        <v>0</v>
      </c>
      <c r="P110" s="14">
        <f>(((Dados!N6)*100)/$G$106)/100</f>
        <v>2.9498525073746312E-3</v>
      </c>
      <c r="Q110" s="14">
        <f>(((Dados!O6)*100)/$G$106)/100</f>
        <v>0</v>
      </c>
      <c r="R110" s="14">
        <f>(((Dados!P6)*100)/$G$106)/100</f>
        <v>0</v>
      </c>
      <c r="S110" s="14">
        <f>(((Dados!Q6)*100)/$G$106)/100</f>
        <v>0</v>
      </c>
      <c r="T110" s="14">
        <f>(((Dados!R6)*100)/$G$106)/100</f>
        <v>0</v>
      </c>
      <c r="U110" s="14">
        <f>(((Dados!S6)*100)/$G$106)/100</f>
        <v>0</v>
      </c>
      <c r="V110" s="14">
        <f>(((Dados!T6)*100)/$G$106)/100</f>
        <v>0</v>
      </c>
      <c r="W110" s="14">
        <f>(((Dados!U6)*100)/$G$106)/100</f>
        <v>0</v>
      </c>
      <c r="X110" s="14">
        <f>(((Dados!V6)*100)/$G$106)/100</f>
        <v>0</v>
      </c>
    </row>
    <row r="111" spans="1:24">
      <c r="A111" s="39"/>
      <c r="B111" s="1" t="str">
        <f>F107</f>
        <v>thyroid</v>
      </c>
      <c r="C111" s="14">
        <f>(((Dados!A7)*100)/$G$106)/100</f>
        <v>1.1799410029498525E-2</v>
      </c>
      <c r="D111" s="14">
        <f>(((Dados!B7)*100)/$G$106)/100</f>
        <v>0</v>
      </c>
      <c r="E111" s="14">
        <f>(((Dados!C7)*100)/$G$106)/100</f>
        <v>0</v>
      </c>
      <c r="F111" s="12">
        <f>(((Dados!D7)*100)/$G$106)/100</f>
        <v>8.8495575221238937E-3</v>
      </c>
      <c r="G111" s="14">
        <f>(((Dados!E7)*100)/$G$106)/100</f>
        <v>0</v>
      </c>
      <c r="H111" s="14">
        <f>(((Dados!F7)*100)/$G$106)/100</f>
        <v>0</v>
      </c>
      <c r="I111" s="14">
        <f>(((Dados!G7)*100)/$G$106)/100</f>
        <v>0</v>
      </c>
      <c r="J111" s="14">
        <f>(((Dados!H7)*100)/$G$106)/100</f>
        <v>0</v>
      </c>
      <c r="K111" s="14">
        <f>(((Dados!I7)*100)/$G$106)/100</f>
        <v>0</v>
      </c>
      <c r="L111" s="14">
        <f>(((Dados!J7)*100)/$G$106)/100</f>
        <v>0</v>
      </c>
      <c r="M111" s="14">
        <f>(((Dados!K7)*100)/$G$106)/100</f>
        <v>0</v>
      </c>
      <c r="N111" s="14">
        <f>(((Dados!L7)*100)/$G$106)/100</f>
        <v>0</v>
      </c>
      <c r="O111" s="14">
        <f>(((Dados!M7)*100)/$G$106)/100</f>
        <v>0</v>
      </c>
      <c r="P111" s="14">
        <f>(((Dados!N7)*100)/$G$106)/100</f>
        <v>1.4749262536873156E-2</v>
      </c>
      <c r="Q111" s="14">
        <f>(((Dados!O7)*100)/$G$106)/100</f>
        <v>0</v>
      </c>
      <c r="R111" s="14">
        <f>(((Dados!P7)*100)/$G$106)/100</f>
        <v>0</v>
      </c>
      <c r="S111" s="14">
        <f>(((Dados!Q7)*100)/$G$106)/100</f>
        <v>2.9498525073746312E-3</v>
      </c>
      <c r="T111" s="14">
        <f>(((Dados!R7)*100)/$G$106)/100</f>
        <v>0</v>
      </c>
      <c r="U111" s="14">
        <f>(((Dados!S7)*100)/$G$106)/100</f>
        <v>0</v>
      </c>
      <c r="V111" s="14">
        <f>(((Dados!T7)*100)/$G$106)/100</f>
        <v>0</v>
      </c>
      <c r="W111" s="14">
        <f>(((Dados!U7)*100)/$G$106)/100</f>
        <v>0</v>
      </c>
      <c r="X111" s="14">
        <f>(((Dados!V7)*100)/$G$106)/100</f>
        <v>2.9498525073746312E-3</v>
      </c>
    </row>
    <row r="112" spans="1:24">
      <c r="A112" s="39"/>
      <c r="B112" s="1" t="str">
        <f>G107</f>
        <v>stomach</v>
      </c>
      <c r="C112" s="14">
        <f>(((Dados!A8)*100)/$G$106)/100</f>
        <v>8.8495575221238937E-3</v>
      </c>
      <c r="D112" s="14">
        <f>(((Dados!B8)*100)/$G$106)/100</f>
        <v>0</v>
      </c>
      <c r="E112" s="14">
        <f>(((Dados!C8)*100)/$G$106)/100</f>
        <v>0</v>
      </c>
      <c r="F112" s="14">
        <f>(((Dados!D8)*100)/$G$106)/100</f>
        <v>0</v>
      </c>
      <c r="G112" s="12">
        <f>(((Dados!E8)*100)/$G$106)/100</f>
        <v>3.2448377581120944E-2</v>
      </c>
      <c r="H112" s="14">
        <f>(((Dados!F8)*100)/$G$106)/100</f>
        <v>0</v>
      </c>
      <c r="I112" s="14">
        <f>(((Dados!G8)*100)/$G$106)/100</f>
        <v>0</v>
      </c>
      <c r="J112" s="14">
        <f>(((Dados!H8)*100)/$G$106)/100</f>
        <v>0</v>
      </c>
      <c r="K112" s="14">
        <f>(((Dados!I8)*100)/$G$106)/100</f>
        <v>0</v>
      </c>
      <c r="L112" s="14">
        <f>(((Dados!J8)*100)/$G$106)/100</f>
        <v>0</v>
      </c>
      <c r="M112" s="14">
        <f>(((Dados!K8)*100)/$G$106)/100</f>
        <v>1.4749262536873156E-2</v>
      </c>
      <c r="N112" s="14">
        <f>(((Dados!L8)*100)/$G$106)/100</f>
        <v>8.8495575221238937E-3</v>
      </c>
      <c r="O112" s="14">
        <f>(((Dados!M8)*100)/$G$106)/100</f>
        <v>0</v>
      </c>
      <c r="P112" s="14">
        <f>(((Dados!N8)*100)/$G$106)/100</f>
        <v>1.4749262536873156E-2</v>
      </c>
      <c r="Q112" s="14">
        <f>(((Dados!O8)*100)/$G$106)/100</f>
        <v>0</v>
      </c>
      <c r="R112" s="14">
        <f>(((Dados!P8)*100)/$G$106)/100</f>
        <v>0</v>
      </c>
      <c r="S112" s="14">
        <f>(((Dados!Q8)*100)/$G$106)/100</f>
        <v>0</v>
      </c>
      <c r="T112" s="14">
        <f>(((Dados!R8)*100)/$G$106)/100</f>
        <v>2.359882005899705E-2</v>
      </c>
      <c r="U112" s="14">
        <f>(((Dados!S8)*100)/$G$106)/100</f>
        <v>0</v>
      </c>
      <c r="V112" s="14">
        <f>(((Dados!T8)*100)/$G$106)/100</f>
        <v>2.9498525073746312E-3</v>
      </c>
      <c r="W112" s="14">
        <f>(((Dados!U8)*100)/$G$106)/100</f>
        <v>0</v>
      </c>
      <c r="X112" s="14">
        <f>(((Dados!V8)*100)/$G$106)/100</f>
        <v>8.8495575221238937E-3</v>
      </c>
    </row>
    <row r="113" spans="1:24">
      <c r="A113" s="39"/>
      <c r="B113" s="1" t="str">
        <f>H107</f>
        <v>duoden and sm.int</v>
      </c>
      <c r="C113" s="14">
        <f>(((Dados!A9)*100)/$G$106)/100</f>
        <v>0</v>
      </c>
      <c r="D113" s="14">
        <f>(((Dados!B9)*100)/$G$106)/100</f>
        <v>0</v>
      </c>
      <c r="E113" s="14">
        <f>(((Dados!C9)*100)/$G$106)/100</f>
        <v>0</v>
      </c>
      <c r="F113" s="14">
        <f>(((Dados!D9)*100)/$G$106)/100</f>
        <v>0</v>
      </c>
      <c r="G113" s="14">
        <f>(((Dados!E9)*100)/$G$106)/100</f>
        <v>0</v>
      </c>
      <c r="H113" s="12">
        <f>(((Dados!F9)*100)/$G$106)/100</f>
        <v>0</v>
      </c>
      <c r="I113" s="14">
        <f>(((Dados!G9)*100)/$G$106)/100</f>
        <v>0</v>
      </c>
      <c r="J113" s="14">
        <f>(((Dados!H9)*100)/$G$106)/100</f>
        <v>0</v>
      </c>
      <c r="K113" s="14">
        <f>(((Dados!I9)*100)/$G$106)/100</f>
        <v>0</v>
      </c>
      <c r="L113" s="14">
        <f>(((Dados!J9)*100)/$G$106)/100</f>
        <v>0</v>
      </c>
      <c r="M113" s="14">
        <f>(((Dados!K9)*100)/$G$106)/100</f>
        <v>0</v>
      </c>
      <c r="N113" s="14">
        <f>(((Dados!L9)*100)/$G$106)/100</f>
        <v>0</v>
      </c>
      <c r="O113" s="14">
        <f>(((Dados!M9)*100)/$G$106)/100</f>
        <v>0</v>
      </c>
      <c r="P113" s="14">
        <f>(((Dados!N9)*100)/$G$106)/100</f>
        <v>2.9498525073746312E-3</v>
      </c>
      <c r="Q113" s="14">
        <f>(((Dados!O9)*100)/$G$106)/100</f>
        <v>0</v>
      </c>
      <c r="R113" s="14">
        <f>(((Dados!P9)*100)/$G$106)/100</f>
        <v>0</v>
      </c>
      <c r="S113" s="14">
        <f>(((Dados!Q9)*100)/$G$106)/100</f>
        <v>0</v>
      </c>
      <c r="T113" s="14">
        <f>(((Dados!R9)*100)/$G$106)/100</f>
        <v>0</v>
      </c>
      <c r="U113" s="14">
        <f>(((Dados!S9)*100)/$G$106)/100</f>
        <v>0</v>
      </c>
      <c r="V113" s="14">
        <f>(((Dados!T9)*100)/$G$106)/100</f>
        <v>0</v>
      </c>
      <c r="W113" s="14">
        <f>(((Dados!U9)*100)/$G$106)/100</f>
        <v>0</v>
      </c>
      <c r="X113" s="14">
        <f>(((Dados!V9)*100)/$G$106)/100</f>
        <v>0</v>
      </c>
    </row>
    <row r="114" spans="1:24">
      <c r="A114" s="39"/>
      <c r="B114" s="1" t="str">
        <f>I107</f>
        <v>colon</v>
      </c>
      <c r="C114" s="14">
        <f>(((Dados!A10)*100)/$G$106)/100</f>
        <v>2.9498525073746312E-3</v>
      </c>
      <c r="D114" s="14">
        <f>(((Dados!B10)*100)/$G$106)/100</f>
        <v>0</v>
      </c>
      <c r="E114" s="14">
        <f>(((Dados!C10)*100)/$G$106)/100</f>
        <v>0</v>
      </c>
      <c r="F114" s="14">
        <f>(((Dados!D10)*100)/$G$106)/100</f>
        <v>0</v>
      </c>
      <c r="G114" s="14">
        <f>(((Dados!E10)*100)/$G$106)/100</f>
        <v>8.8495575221238937E-3</v>
      </c>
      <c r="H114" s="14">
        <f>(((Dados!F10)*100)/$G$106)/100</f>
        <v>0</v>
      </c>
      <c r="I114" s="12">
        <f>(((Dados!G10)*100)/$G$106)/100</f>
        <v>0</v>
      </c>
      <c r="J114" s="14">
        <f>(((Dados!H10)*100)/$G$106)/100</f>
        <v>0</v>
      </c>
      <c r="K114" s="14">
        <f>(((Dados!I10)*100)/$G$106)/100</f>
        <v>0</v>
      </c>
      <c r="L114" s="14">
        <f>(((Dados!J10)*100)/$G$106)/100</f>
        <v>0</v>
      </c>
      <c r="M114" s="14">
        <f>(((Dados!K10)*100)/$G$106)/100</f>
        <v>8.8495575221238937E-3</v>
      </c>
      <c r="N114" s="14">
        <f>(((Dados!L10)*100)/$G$106)/100</f>
        <v>1.4749262536873156E-2</v>
      </c>
      <c r="O114" s="14">
        <f>(((Dados!M10)*100)/$G$106)/100</f>
        <v>0</v>
      </c>
      <c r="P114" s="14">
        <f>(((Dados!N10)*100)/$G$106)/100</f>
        <v>2.9498525073746312E-3</v>
      </c>
      <c r="Q114" s="14">
        <f>(((Dados!O10)*100)/$G$106)/100</f>
        <v>0</v>
      </c>
      <c r="R114" s="14">
        <f>(((Dados!P10)*100)/$G$106)/100</f>
        <v>0</v>
      </c>
      <c r="S114" s="14">
        <f>(((Dados!Q10)*100)/$G$106)/100</f>
        <v>0</v>
      </c>
      <c r="T114" s="14">
        <f>(((Dados!R10)*100)/$G$106)/100</f>
        <v>2.9498525073746312E-3</v>
      </c>
      <c r="U114" s="14">
        <f>(((Dados!S10)*100)/$G$106)/100</f>
        <v>0</v>
      </c>
      <c r="V114" s="14">
        <f>(((Dados!T10)*100)/$G$106)/100</f>
        <v>0</v>
      </c>
      <c r="W114" s="14">
        <f>(((Dados!U10)*100)/$G$106)/100</f>
        <v>0</v>
      </c>
      <c r="X114" s="14">
        <f>(((Dados!V10)*100)/$G$106)/100</f>
        <v>0</v>
      </c>
    </row>
    <row r="115" spans="1:24">
      <c r="A115" s="39"/>
      <c r="B115" s="1" t="str">
        <f>J107</f>
        <v>rectum</v>
      </c>
      <c r="C115" s="14">
        <f>(((Dados!A11)*100)/$G$106)/100</f>
        <v>0</v>
      </c>
      <c r="D115" s="14">
        <f>(((Dados!B11)*100)/$G$106)/100</f>
        <v>2.9498525073746312E-3</v>
      </c>
      <c r="E115" s="14">
        <f>(((Dados!C11)*100)/$G$106)/100</f>
        <v>0</v>
      </c>
      <c r="F115" s="14">
        <f>(((Dados!D11)*100)/$G$106)/100</f>
        <v>0</v>
      </c>
      <c r="G115" s="14">
        <f>(((Dados!E11)*100)/$G$106)/100</f>
        <v>5.8997050147492625E-3</v>
      </c>
      <c r="H115" s="14">
        <f>(((Dados!F11)*100)/$G$106)/100</f>
        <v>0</v>
      </c>
      <c r="I115" s="14">
        <f>(((Dados!G11)*100)/$G$106)/100</f>
        <v>0</v>
      </c>
      <c r="J115" s="12">
        <f>(((Dados!H11)*100)/$G$106)/100</f>
        <v>2.9498525073746312E-3</v>
      </c>
      <c r="K115" s="14">
        <f>(((Dados!I11)*100)/$G$106)/100</f>
        <v>0</v>
      </c>
      <c r="L115" s="14">
        <f>(((Dados!J11)*100)/$G$106)/100</f>
        <v>0</v>
      </c>
      <c r="M115" s="14">
        <f>(((Dados!K11)*100)/$G$106)/100</f>
        <v>2.9498525073746312E-3</v>
      </c>
      <c r="N115" s="14">
        <f>(((Dados!L11)*100)/$G$106)/100</f>
        <v>0</v>
      </c>
      <c r="O115" s="14">
        <f>(((Dados!M11)*100)/$G$106)/100</f>
        <v>0</v>
      </c>
      <c r="P115" s="14">
        <f>(((Dados!N11)*100)/$G$106)/100</f>
        <v>2.9498525073746312E-3</v>
      </c>
      <c r="Q115" s="14">
        <f>(((Dados!O11)*100)/$G$106)/100</f>
        <v>0</v>
      </c>
      <c r="R115" s="14">
        <f>(((Dados!P11)*100)/$G$106)/100</f>
        <v>0</v>
      </c>
      <c r="S115" s="14">
        <f>(((Dados!Q11)*100)/$G$106)/100</f>
        <v>0</v>
      </c>
      <c r="T115" s="14">
        <f>(((Dados!R11)*100)/$G$106)/100</f>
        <v>0</v>
      </c>
      <c r="U115" s="14">
        <f>(((Dados!S11)*100)/$G$106)/100</f>
        <v>0</v>
      </c>
      <c r="V115" s="14">
        <f>(((Dados!T11)*100)/$G$106)/100</f>
        <v>0</v>
      </c>
      <c r="W115" s="14">
        <f>(((Dados!U11)*100)/$G$106)/100</f>
        <v>0</v>
      </c>
      <c r="X115" s="14">
        <f>(((Dados!V11)*100)/$G$106)/100</f>
        <v>0</v>
      </c>
    </row>
    <row r="116" spans="1:24">
      <c r="A116" s="39"/>
      <c r="B116" s="1" t="str">
        <f>K107</f>
        <v>anus</v>
      </c>
      <c r="C116" s="14">
        <f>(((Dados!A12)*100)/$G$106)/100</f>
        <v>0</v>
      </c>
      <c r="D116" s="14">
        <f>(((Dados!B12)*100)/$G$106)/100</f>
        <v>0</v>
      </c>
      <c r="E116" s="14">
        <f>(((Dados!C12)*100)/$G$106)/100</f>
        <v>0</v>
      </c>
      <c r="F116" s="14">
        <f>(((Dados!D12)*100)/$G$106)/100</f>
        <v>0</v>
      </c>
      <c r="G116" s="14">
        <f>(((Dados!E12)*100)/$G$106)/100</f>
        <v>0</v>
      </c>
      <c r="H116" s="14">
        <f>(((Dados!F12)*100)/$G$106)/100</f>
        <v>0</v>
      </c>
      <c r="I116" s="14">
        <f>(((Dados!G12)*100)/$G$106)/100</f>
        <v>0</v>
      </c>
      <c r="J116" s="14">
        <f>(((Dados!H12)*100)/$G$106)/100</f>
        <v>0</v>
      </c>
      <c r="K116" s="12">
        <f>(((Dados!I12)*100)/$G$106)/100</f>
        <v>0</v>
      </c>
      <c r="L116" s="14">
        <f>(((Dados!J12)*100)/$G$106)/100</f>
        <v>0</v>
      </c>
      <c r="M116" s="14">
        <f>(((Dados!K12)*100)/$G$106)/100</f>
        <v>0</v>
      </c>
      <c r="N116" s="14">
        <f>(((Dados!L12)*100)/$G$106)/100</f>
        <v>0</v>
      </c>
      <c r="O116" s="14">
        <f>(((Dados!M12)*100)/$G$106)/100</f>
        <v>0</v>
      </c>
      <c r="P116" s="14">
        <f>(((Dados!N12)*100)/$G$106)/100</f>
        <v>0</v>
      </c>
      <c r="Q116" s="14">
        <f>(((Dados!O12)*100)/$G$106)/100</f>
        <v>0</v>
      </c>
      <c r="R116" s="14">
        <f>(((Dados!P12)*100)/$G$106)/100</f>
        <v>0</v>
      </c>
      <c r="S116" s="14">
        <f>(((Dados!Q12)*100)/$G$106)/100</f>
        <v>0</v>
      </c>
      <c r="T116" s="14">
        <f>(((Dados!R12)*100)/$G$106)/100</f>
        <v>0</v>
      </c>
      <c r="U116" s="14">
        <f>(((Dados!S12)*100)/$G$106)/100</f>
        <v>0</v>
      </c>
      <c r="V116" s="14">
        <f>(((Dados!T12)*100)/$G$106)/100</f>
        <v>0</v>
      </c>
      <c r="W116" s="14">
        <f>(((Dados!U12)*100)/$G$106)/100</f>
        <v>0</v>
      </c>
      <c r="X116" s="14">
        <f>(((Dados!V12)*100)/$G$106)/100</f>
        <v>0</v>
      </c>
    </row>
    <row r="117" spans="1:24">
      <c r="A117" s="39"/>
      <c r="B117" s="1" t="str">
        <f>L107</f>
        <v>salivary glands</v>
      </c>
      <c r="C117" s="14">
        <f>(((Dados!A13)*100)/$G$106)/100</f>
        <v>2.9498525073746312E-3</v>
      </c>
      <c r="D117" s="14">
        <f>(((Dados!B13)*100)/$G$106)/100</f>
        <v>2.9498525073746312E-3</v>
      </c>
      <c r="E117" s="14">
        <f>(((Dados!C13)*100)/$G$106)/100</f>
        <v>0</v>
      </c>
      <c r="F117" s="14">
        <f>(((Dados!D13)*100)/$G$106)/100</f>
        <v>0</v>
      </c>
      <c r="G117" s="14">
        <f>(((Dados!E13)*100)/$G$106)/100</f>
        <v>0</v>
      </c>
      <c r="H117" s="14">
        <f>(((Dados!F13)*100)/$G$106)/100</f>
        <v>0</v>
      </c>
      <c r="I117" s="14">
        <f>(((Dados!G13)*100)/$G$106)/100</f>
        <v>0</v>
      </c>
      <c r="J117" s="14">
        <f>(((Dados!H13)*100)/$G$106)/100</f>
        <v>0</v>
      </c>
      <c r="K117" s="14">
        <f>(((Dados!I13)*100)/$G$106)/100</f>
        <v>0</v>
      </c>
      <c r="L117" s="12">
        <f>(((Dados!J13)*100)/$G$106)/100</f>
        <v>0</v>
      </c>
      <c r="M117" s="14">
        <f>(((Dados!K13)*100)/$G$106)/100</f>
        <v>0</v>
      </c>
      <c r="N117" s="14">
        <f>(((Dados!L13)*100)/$G$106)/100</f>
        <v>0</v>
      </c>
      <c r="O117" s="14">
        <f>(((Dados!M13)*100)/$G$106)/100</f>
        <v>0</v>
      </c>
      <c r="P117" s="14">
        <f>(((Dados!N13)*100)/$G$106)/100</f>
        <v>0</v>
      </c>
      <c r="Q117" s="14">
        <f>(((Dados!O13)*100)/$G$106)/100</f>
        <v>0</v>
      </c>
      <c r="R117" s="14">
        <f>(((Dados!P13)*100)/$G$106)/100</f>
        <v>0</v>
      </c>
      <c r="S117" s="14">
        <f>(((Dados!Q13)*100)/$G$106)/100</f>
        <v>0</v>
      </c>
      <c r="T117" s="14">
        <f>(((Dados!R13)*100)/$G$106)/100</f>
        <v>0</v>
      </c>
      <c r="U117" s="14">
        <f>(((Dados!S13)*100)/$G$106)/100</f>
        <v>0</v>
      </c>
      <c r="V117" s="14">
        <f>(((Dados!T13)*100)/$G$106)/100</f>
        <v>0</v>
      </c>
      <c r="W117" s="14">
        <f>(((Dados!U13)*100)/$G$106)/100</f>
        <v>0</v>
      </c>
      <c r="X117" s="14">
        <f>(((Dados!V13)*100)/$G$106)/100</f>
        <v>0</v>
      </c>
    </row>
    <row r="118" spans="1:24">
      <c r="A118" s="39"/>
      <c r="B118" s="1" t="str">
        <f>M107</f>
        <v>pancreas</v>
      </c>
      <c r="C118" s="14">
        <f>(((Dados!A14)*100)/$G$106)/100</f>
        <v>1.1799410029498525E-2</v>
      </c>
      <c r="D118" s="14">
        <f>(((Dados!B14)*100)/$G$106)/100</f>
        <v>0</v>
      </c>
      <c r="E118" s="14">
        <f>(((Dados!C14)*100)/$G$106)/100</f>
        <v>0</v>
      </c>
      <c r="F118" s="14">
        <f>(((Dados!D14)*100)/$G$106)/100</f>
        <v>0</v>
      </c>
      <c r="G118" s="14">
        <f>(((Dados!E14)*100)/$G$106)/100</f>
        <v>1.1799410029498525E-2</v>
      </c>
      <c r="H118" s="14">
        <f>(((Dados!F14)*100)/$G$106)/100</f>
        <v>0</v>
      </c>
      <c r="I118" s="14">
        <f>(((Dados!G14)*100)/$G$106)/100</f>
        <v>0</v>
      </c>
      <c r="J118" s="14">
        <f>(((Dados!H14)*100)/$G$106)/100</f>
        <v>0</v>
      </c>
      <c r="K118" s="14">
        <f>(((Dados!I14)*100)/$G$106)/100</f>
        <v>0</v>
      </c>
      <c r="L118" s="14">
        <f>(((Dados!J14)*100)/$G$106)/100</f>
        <v>0</v>
      </c>
      <c r="M118" s="12">
        <f>(((Dados!K14)*100)/$G$106)/100</f>
        <v>2.6548672566371681E-2</v>
      </c>
      <c r="N118" s="14">
        <f>(((Dados!L14)*100)/$G$106)/100</f>
        <v>1.7699115044247787E-2</v>
      </c>
      <c r="O118" s="14">
        <f>(((Dados!M14)*100)/$G$106)/100</f>
        <v>0</v>
      </c>
      <c r="P118" s="14">
        <f>(((Dados!N14)*100)/$G$106)/100</f>
        <v>0</v>
      </c>
      <c r="Q118" s="14">
        <f>(((Dados!O14)*100)/$G$106)/100</f>
        <v>0</v>
      </c>
      <c r="R118" s="14">
        <f>(((Dados!P14)*100)/$G$106)/100</f>
        <v>0</v>
      </c>
      <c r="S118" s="14">
        <f>(((Dados!Q14)*100)/$G$106)/100</f>
        <v>0</v>
      </c>
      <c r="T118" s="14">
        <f>(((Dados!R14)*100)/$G$106)/100</f>
        <v>1.4749262536873156E-2</v>
      </c>
      <c r="U118" s="14">
        <f>(((Dados!S14)*100)/$G$106)/100</f>
        <v>0</v>
      </c>
      <c r="V118" s="14">
        <f>(((Dados!T14)*100)/$G$106)/100</f>
        <v>0</v>
      </c>
      <c r="W118" s="14">
        <f>(((Dados!U14)*100)/$G$106)/100</f>
        <v>0</v>
      </c>
      <c r="X118" s="14">
        <f>(((Dados!V14)*100)/$G$106)/100</f>
        <v>0</v>
      </c>
    </row>
    <row r="119" spans="1:24">
      <c r="A119" s="39"/>
      <c r="B119" s="1" t="str">
        <f>N107</f>
        <v>gallbladder</v>
      </c>
      <c r="C119" s="14">
        <f>(((Dados!A15)*100)/$G$106)/100</f>
        <v>0</v>
      </c>
      <c r="D119" s="14">
        <f>(((Dados!B15)*100)/$G$106)/100</f>
        <v>0</v>
      </c>
      <c r="E119" s="14">
        <f>(((Dados!C15)*100)/$G$106)/100</f>
        <v>0</v>
      </c>
      <c r="F119" s="14">
        <f>(((Dados!D15)*100)/$G$106)/100</f>
        <v>0</v>
      </c>
      <c r="G119" s="14">
        <f>(((Dados!E15)*100)/$G$106)/100</f>
        <v>2.9498525073746312E-3</v>
      </c>
      <c r="H119" s="14">
        <f>(((Dados!F15)*100)/$G$106)/100</f>
        <v>0</v>
      </c>
      <c r="I119" s="14">
        <f>(((Dados!G15)*100)/$G$106)/100</f>
        <v>0</v>
      </c>
      <c r="J119" s="14">
        <f>(((Dados!H15)*100)/$G$106)/100</f>
        <v>0</v>
      </c>
      <c r="K119" s="14">
        <f>(((Dados!I15)*100)/$G$106)/100</f>
        <v>0</v>
      </c>
      <c r="L119" s="14">
        <f>(((Dados!J15)*100)/$G$106)/100</f>
        <v>0</v>
      </c>
      <c r="M119" s="14">
        <f>(((Dados!K15)*100)/$G$106)/100</f>
        <v>8.8495575221238937E-3</v>
      </c>
      <c r="N119" s="12">
        <f>(((Dados!L15)*100)/$G$106)/100</f>
        <v>3.2448377581120944E-2</v>
      </c>
      <c r="O119" s="14">
        <f>(((Dados!M15)*100)/$G$106)/100</f>
        <v>0</v>
      </c>
      <c r="P119" s="14">
        <f>(((Dados!N15)*100)/$G$106)/100</f>
        <v>0</v>
      </c>
      <c r="Q119" s="14">
        <f>(((Dados!O15)*100)/$G$106)/100</f>
        <v>0</v>
      </c>
      <c r="R119" s="14">
        <f>(((Dados!P15)*100)/$G$106)/100</f>
        <v>0</v>
      </c>
      <c r="S119" s="14">
        <f>(((Dados!Q15)*100)/$G$106)/100</f>
        <v>0</v>
      </c>
      <c r="T119" s="14">
        <f>(((Dados!R15)*100)/$G$106)/100</f>
        <v>2.9498525073746312E-3</v>
      </c>
      <c r="U119" s="14">
        <f>(((Dados!S15)*100)/$G$106)/100</f>
        <v>0</v>
      </c>
      <c r="V119" s="14">
        <f>(((Dados!T15)*100)/$G$106)/100</f>
        <v>0</v>
      </c>
      <c r="W119" s="14">
        <f>(((Dados!U15)*100)/$G$106)/100</f>
        <v>0</v>
      </c>
      <c r="X119" s="14">
        <f>(((Dados!V15)*100)/$G$106)/100</f>
        <v>0</v>
      </c>
    </row>
    <row r="120" spans="1:24">
      <c r="A120" s="39"/>
      <c r="B120" s="1" t="str">
        <f>O107</f>
        <v>liver</v>
      </c>
      <c r="C120" s="14">
        <f>(((Dados!A16)*100)/$G$106)/100</f>
        <v>5.8997050147492625E-3</v>
      </c>
      <c r="D120" s="14">
        <f>(((Dados!B16)*100)/$G$106)/100</f>
        <v>0</v>
      </c>
      <c r="E120" s="14">
        <f>(((Dados!C16)*100)/$G$106)/100</f>
        <v>0</v>
      </c>
      <c r="F120" s="14">
        <f>(((Dados!D16)*100)/$G$106)/100</f>
        <v>2.9498525073746312E-3</v>
      </c>
      <c r="G120" s="14">
        <f>(((Dados!E16)*100)/$G$106)/100</f>
        <v>0</v>
      </c>
      <c r="H120" s="14">
        <f>(((Dados!F16)*100)/$G$106)/100</f>
        <v>0</v>
      </c>
      <c r="I120" s="14">
        <f>(((Dados!G16)*100)/$G$106)/100</f>
        <v>2.9498525073746312E-3</v>
      </c>
      <c r="J120" s="14">
        <f>(((Dados!H16)*100)/$G$106)/100</f>
        <v>0</v>
      </c>
      <c r="K120" s="14">
        <f>(((Dados!I16)*100)/$G$106)/100</f>
        <v>0</v>
      </c>
      <c r="L120" s="14">
        <f>(((Dados!J16)*100)/$G$106)/100</f>
        <v>0</v>
      </c>
      <c r="M120" s="14">
        <f>(((Dados!K16)*100)/$G$106)/100</f>
        <v>0</v>
      </c>
      <c r="N120" s="14">
        <f>(((Dados!L16)*100)/$G$106)/100</f>
        <v>5.8997050147492625E-3</v>
      </c>
      <c r="O120" s="12">
        <f>(((Dados!M16)*100)/$G$106)/100</f>
        <v>0</v>
      </c>
      <c r="P120" s="14">
        <f>(((Dados!N16)*100)/$G$106)/100</f>
        <v>2.9498525073746312E-3</v>
      </c>
      <c r="Q120" s="14">
        <f>(((Dados!O16)*100)/$G$106)/100</f>
        <v>0</v>
      </c>
      <c r="R120" s="14">
        <f>(((Dados!P16)*100)/$G$106)/100</f>
        <v>0</v>
      </c>
      <c r="S120" s="14">
        <f>(((Dados!Q16)*100)/$G$106)/100</f>
        <v>0</v>
      </c>
      <c r="T120" s="14">
        <f>(((Dados!R16)*100)/$G$106)/100</f>
        <v>0</v>
      </c>
      <c r="U120" s="14">
        <f>(((Dados!S16)*100)/$G$106)/100</f>
        <v>0</v>
      </c>
      <c r="V120" s="14">
        <f>(((Dados!T16)*100)/$G$106)/100</f>
        <v>0</v>
      </c>
      <c r="W120" s="14">
        <f>(((Dados!U16)*100)/$G$106)/100</f>
        <v>0</v>
      </c>
      <c r="X120" s="14">
        <f>(((Dados!V16)*100)/$G$106)/100</f>
        <v>0</v>
      </c>
    </row>
    <row r="121" spans="1:24">
      <c r="A121" s="39"/>
      <c r="B121" s="1" t="str">
        <f>P107</f>
        <v>kidney</v>
      </c>
      <c r="C121" s="14">
        <f>(((Dados!A17)*100)/$G$106)/100</f>
        <v>1.1799410029498525E-2</v>
      </c>
      <c r="D121" s="14">
        <f>(((Dados!B17)*100)/$G$106)/100</f>
        <v>0</v>
      </c>
      <c r="E121" s="14">
        <f>(((Dados!C17)*100)/$G$106)/100</f>
        <v>0</v>
      </c>
      <c r="F121" s="14">
        <f>(((Dados!D17)*100)/$G$106)/100</f>
        <v>5.8997050147492625E-3</v>
      </c>
      <c r="G121" s="14">
        <f>(((Dados!E17)*100)/$G$106)/100</f>
        <v>1.1799410029498525E-2</v>
      </c>
      <c r="H121" s="14">
        <f>(((Dados!F17)*100)/$G$106)/100</f>
        <v>0</v>
      </c>
      <c r="I121" s="14">
        <f>(((Dados!G17)*100)/$G$106)/100</f>
        <v>0</v>
      </c>
      <c r="J121" s="14">
        <f>(((Dados!H17)*100)/$G$106)/100</f>
        <v>0</v>
      </c>
      <c r="K121" s="14">
        <f>(((Dados!I17)*100)/$G$106)/100</f>
        <v>0</v>
      </c>
      <c r="L121" s="14">
        <f>(((Dados!J17)*100)/$G$106)/100</f>
        <v>0</v>
      </c>
      <c r="M121" s="14">
        <f>(((Dados!K17)*100)/$G$106)/100</f>
        <v>5.8997050147492625E-3</v>
      </c>
      <c r="N121" s="14">
        <f>(((Dados!L17)*100)/$G$106)/100</f>
        <v>2.9498525073746312E-3</v>
      </c>
      <c r="O121" s="14">
        <f>(((Dados!M17)*100)/$G$106)/100</f>
        <v>0</v>
      </c>
      <c r="P121" s="12">
        <f>(((Dados!N17)*100)/$G$106)/100</f>
        <v>2.9498525073746312E-2</v>
      </c>
      <c r="Q121" s="14">
        <f>(((Dados!O17)*100)/$G$106)/100</f>
        <v>0</v>
      </c>
      <c r="R121" s="14">
        <f>(((Dados!P17)*100)/$G$106)/100</f>
        <v>0</v>
      </c>
      <c r="S121" s="14">
        <f>(((Dados!Q17)*100)/$G$106)/100</f>
        <v>0</v>
      </c>
      <c r="T121" s="14">
        <f>(((Dados!R17)*100)/$G$106)/100</f>
        <v>2.9498525073746312E-3</v>
      </c>
      <c r="U121" s="14">
        <f>(((Dados!S17)*100)/$G$106)/100</f>
        <v>0</v>
      </c>
      <c r="V121" s="14">
        <f>(((Dados!T17)*100)/$G$106)/100</f>
        <v>0</v>
      </c>
      <c r="W121" s="14">
        <f>(((Dados!U17)*100)/$G$106)/100</f>
        <v>0</v>
      </c>
      <c r="X121" s="14">
        <f>(((Dados!V17)*100)/$G$106)/100</f>
        <v>0</v>
      </c>
    </row>
    <row r="122" spans="1:24">
      <c r="A122" s="39"/>
      <c r="B122" s="1" t="str">
        <f>Q107</f>
        <v>bladder</v>
      </c>
      <c r="C122" s="14">
        <f>(((Dados!A18)*100)/$G$106)/100</f>
        <v>2.9498525073746312E-3</v>
      </c>
      <c r="D122" s="14">
        <f>(((Dados!B18)*100)/$G$106)/100</f>
        <v>0</v>
      </c>
      <c r="E122" s="14">
        <f>(((Dados!C18)*100)/$G$106)/100</f>
        <v>0</v>
      </c>
      <c r="F122" s="14">
        <f>(((Dados!D18)*100)/$G$106)/100</f>
        <v>0</v>
      </c>
      <c r="G122" s="14">
        <f>(((Dados!E18)*100)/$G$106)/100</f>
        <v>2.9498525073746312E-3</v>
      </c>
      <c r="H122" s="14">
        <f>(((Dados!F18)*100)/$G$106)/100</f>
        <v>0</v>
      </c>
      <c r="I122" s="14">
        <f>(((Dados!G18)*100)/$G$106)/100</f>
        <v>0</v>
      </c>
      <c r="J122" s="14">
        <f>(((Dados!H18)*100)/$G$106)/100</f>
        <v>0</v>
      </c>
      <c r="K122" s="14">
        <f>(((Dados!I18)*100)/$G$106)/100</f>
        <v>0</v>
      </c>
      <c r="L122" s="14">
        <f>(((Dados!J18)*100)/$G$106)/100</f>
        <v>0</v>
      </c>
      <c r="M122" s="14">
        <f>(((Dados!K18)*100)/$G$106)/100</f>
        <v>0</v>
      </c>
      <c r="N122" s="14">
        <f>(((Dados!L18)*100)/$G$106)/100</f>
        <v>0</v>
      </c>
      <c r="O122" s="14">
        <f>(((Dados!M18)*100)/$G$106)/100</f>
        <v>0</v>
      </c>
      <c r="P122" s="14">
        <f>(((Dados!N18)*100)/$G$106)/100</f>
        <v>0</v>
      </c>
      <c r="Q122" s="12">
        <f>(((Dados!O18)*100)/$G$106)/100</f>
        <v>0</v>
      </c>
      <c r="R122" s="14">
        <f>(((Dados!P18)*100)/$G$106)/100</f>
        <v>0</v>
      </c>
      <c r="S122" s="14">
        <f>(((Dados!Q18)*100)/$G$106)/100</f>
        <v>0</v>
      </c>
      <c r="T122" s="14">
        <f>(((Dados!R18)*100)/$G$106)/100</f>
        <v>0</v>
      </c>
      <c r="U122" s="14">
        <f>(((Dados!S18)*100)/$G$106)/100</f>
        <v>0</v>
      </c>
      <c r="V122" s="14">
        <f>(((Dados!T18)*100)/$G$106)/100</f>
        <v>0</v>
      </c>
      <c r="W122" s="14">
        <f>(((Dados!U18)*100)/$G$106)/100</f>
        <v>0</v>
      </c>
      <c r="X122" s="14">
        <f>(((Dados!V18)*100)/$G$106)/100</f>
        <v>0</v>
      </c>
    </row>
    <row r="123" spans="1:24">
      <c r="A123" s="39"/>
      <c r="B123" s="1" t="str">
        <f>R107</f>
        <v>testis</v>
      </c>
      <c r="C123" s="14">
        <f>(((Dados!A19)*100)/$G$106)/100</f>
        <v>0</v>
      </c>
      <c r="D123" s="14">
        <f>(((Dados!B19)*100)/$G$106)/100</f>
        <v>0</v>
      </c>
      <c r="E123" s="14">
        <f>(((Dados!C19)*100)/$G$106)/100</f>
        <v>0</v>
      </c>
      <c r="F123" s="14">
        <f>(((Dados!D19)*100)/$G$106)/100</f>
        <v>0</v>
      </c>
      <c r="G123" s="14">
        <f>(((Dados!E19)*100)/$G$106)/100</f>
        <v>0</v>
      </c>
      <c r="H123" s="14">
        <f>(((Dados!F19)*100)/$G$106)/100</f>
        <v>0</v>
      </c>
      <c r="I123" s="14">
        <f>(((Dados!G19)*100)/$G$106)/100</f>
        <v>0</v>
      </c>
      <c r="J123" s="14">
        <f>(((Dados!H19)*100)/$G$106)/100</f>
        <v>0</v>
      </c>
      <c r="K123" s="14">
        <f>(((Dados!I19)*100)/$G$106)/100</f>
        <v>0</v>
      </c>
      <c r="L123" s="14">
        <f>(((Dados!J19)*100)/$G$106)/100</f>
        <v>0</v>
      </c>
      <c r="M123" s="14">
        <f>(((Dados!K19)*100)/$G$106)/100</f>
        <v>0</v>
      </c>
      <c r="N123" s="14">
        <f>(((Dados!L19)*100)/$G$106)/100</f>
        <v>0</v>
      </c>
      <c r="O123" s="14">
        <f>(((Dados!M19)*100)/$G$106)/100</f>
        <v>0</v>
      </c>
      <c r="P123" s="14">
        <f>(((Dados!N19)*100)/$G$106)/100</f>
        <v>2.9498525073746312E-3</v>
      </c>
      <c r="Q123" s="14">
        <f>(((Dados!O19)*100)/$G$106)/100</f>
        <v>0</v>
      </c>
      <c r="R123" s="12">
        <f>(((Dados!P19)*100)/$G$106)/100</f>
        <v>0</v>
      </c>
      <c r="S123" s="14">
        <f>(((Dados!Q19)*100)/$G$106)/100</f>
        <v>0</v>
      </c>
      <c r="T123" s="14">
        <f>(((Dados!R19)*100)/$G$106)/100</f>
        <v>0</v>
      </c>
      <c r="U123" s="14">
        <f>(((Dados!S19)*100)/$G$106)/100</f>
        <v>0</v>
      </c>
      <c r="V123" s="14">
        <f>(((Dados!T19)*100)/$G$106)/100</f>
        <v>0</v>
      </c>
      <c r="W123" s="14">
        <f>(((Dados!U19)*100)/$G$106)/100</f>
        <v>0</v>
      </c>
      <c r="X123" s="14">
        <f>(((Dados!V19)*100)/$G$106)/100</f>
        <v>0</v>
      </c>
    </row>
    <row r="124" spans="1:24">
      <c r="A124" s="39"/>
      <c r="B124" s="1" t="str">
        <f>S107</f>
        <v>prostate</v>
      </c>
      <c r="C124" s="14">
        <f>(((Dados!A20)*100)/$G$106)/100</f>
        <v>0</v>
      </c>
      <c r="D124" s="14">
        <f>(((Dados!B20)*100)/$G$106)/100</f>
        <v>2.9498525073746312E-3</v>
      </c>
      <c r="E124" s="14">
        <f>(((Dados!C20)*100)/$G$106)/100</f>
        <v>0</v>
      </c>
      <c r="F124" s="14">
        <f>(((Dados!D20)*100)/$G$106)/100</f>
        <v>2.9498525073746312E-3</v>
      </c>
      <c r="G124" s="14">
        <f>(((Dados!E20)*100)/$G$106)/100</f>
        <v>2.9498525073746312E-3</v>
      </c>
      <c r="H124" s="14">
        <f>(((Dados!F20)*100)/$G$106)/100</f>
        <v>0</v>
      </c>
      <c r="I124" s="14">
        <f>(((Dados!G20)*100)/$G$106)/100</f>
        <v>2.9498525073746312E-3</v>
      </c>
      <c r="J124" s="14">
        <f>(((Dados!H20)*100)/$G$106)/100</f>
        <v>0</v>
      </c>
      <c r="K124" s="14">
        <f>(((Dados!I20)*100)/$G$106)/100</f>
        <v>0</v>
      </c>
      <c r="L124" s="14">
        <f>(((Dados!J20)*100)/$G$106)/100</f>
        <v>0</v>
      </c>
      <c r="M124" s="14">
        <f>(((Dados!K20)*100)/$G$106)/100</f>
        <v>2.9498525073746312E-3</v>
      </c>
      <c r="N124" s="14">
        <f>(((Dados!L20)*100)/$G$106)/100</f>
        <v>0</v>
      </c>
      <c r="O124" s="14">
        <f>(((Dados!M20)*100)/$G$106)/100</f>
        <v>0</v>
      </c>
      <c r="P124" s="14">
        <f>(((Dados!N20)*100)/$G$106)/100</f>
        <v>8.8495575221238937E-3</v>
      </c>
      <c r="Q124" s="14">
        <f>(((Dados!O20)*100)/$G$106)/100</f>
        <v>0</v>
      </c>
      <c r="R124" s="14">
        <f>(((Dados!P20)*100)/$G$106)/100</f>
        <v>0</v>
      </c>
      <c r="S124" s="12">
        <f>(((Dados!Q20)*100)/$G$106)/100</f>
        <v>5.8997050147492625E-3</v>
      </c>
      <c r="T124" s="14">
        <f>(((Dados!R20)*100)/$G$106)/100</f>
        <v>0</v>
      </c>
      <c r="U124" s="14">
        <f>(((Dados!S20)*100)/$G$106)/100</f>
        <v>0</v>
      </c>
      <c r="V124" s="14">
        <f>(((Dados!T20)*100)/$G$106)/100</f>
        <v>0</v>
      </c>
      <c r="W124" s="14">
        <f>(((Dados!U20)*100)/$G$106)/100</f>
        <v>0</v>
      </c>
      <c r="X124" s="14">
        <f>(((Dados!V20)*100)/$G$106)/100</f>
        <v>0</v>
      </c>
    </row>
    <row r="125" spans="1:24">
      <c r="A125" s="39"/>
      <c r="B125" s="1" t="str">
        <f>T107</f>
        <v>ovary</v>
      </c>
      <c r="C125" s="14">
        <f>(((Dados!A21)*100)/$G$106)/100</f>
        <v>0</v>
      </c>
      <c r="D125" s="14">
        <f>(((Dados!B21)*100)/$G$106)/100</f>
        <v>0</v>
      </c>
      <c r="E125" s="14">
        <f>(((Dados!C21)*100)/$G$106)/100</f>
        <v>0</v>
      </c>
      <c r="F125" s="14">
        <f>(((Dados!D21)*100)/$G$106)/100</f>
        <v>0</v>
      </c>
      <c r="G125" s="14">
        <f>(((Dados!E21)*100)/$G$106)/100</f>
        <v>2.9498525073746312E-3</v>
      </c>
      <c r="H125" s="14">
        <f>(((Dados!F21)*100)/$G$106)/100</f>
        <v>0</v>
      </c>
      <c r="I125" s="14">
        <f>(((Dados!G21)*100)/$G$106)/100</f>
        <v>0</v>
      </c>
      <c r="J125" s="14">
        <f>(((Dados!H21)*100)/$G$106)/100</f>
        <v>0</v>
      </c>
      <c r="K125" s="14">
        <f>(((Dados!I21)*100)/$G$106)/100</f>
        <v>0</v>
      </c>
      <c r="L125" s="14">
        <f>(((Dados!J21)*100)/$G$106)/100</f>
        <v>0</v>
      </c>
      <c r="M125" s="14">
        <f>(((Dados!K21)*100)/$G$106)/100</f>
        <v>2.9498525073746312E-3</v>
      </c>
      <c r="N125" s="14">
        <f>(((Dados!L21)*100)/$G$106)/100</f>
        <v>5.8997050147492625E-3</v>
      </c>
      <c r="O125" s="14">
        <f>(((Dados!M21)*100)/$G$106)/100</f>
        <v>0</v>
      </c>
      <c r="P125" s="14">
        <f>(((Dados!N21)*100)/$G$106)/100</f>
        <v>0</v>
      </c>
      <c r="Q125" s="14">
        <f>(((Dados!O21)*100)/$G$106)/100</f>
        <v>0</v>
      </c>
      <c r="R125" s="14">
        <f>(((Dados!P21)*100)/$G$106)/100</f>
        <v>0</v>
      </c>
      <c r="S125" s="14">
        <f>(((Dados!Q21)*100)/$G$106)/100</f>
        <v>0</v>
      </c>
      <c r="T125" s="12">
        <f>(((Dados!R21)*100)/$G$106)/100</f>
        <v>7.3746312684365781E-2</v>
      </c>
      <c r="U125" s="14">
        <f>(((Dados!S21)*100)/$G$106)/100</f>
        <v>0</v>
      </c>
      <c r="V125" s="14">
        <f>(((Dados!T21)*100)/$G$106)/100</f>
        <v>0</v>
      </c>
      <c r="W125" s="14">
        <f>(((Dados!U21)*100)/$G$106)/100</f>
        <v>0</v>
      </c>
      <c r="X125" s="14">
        <f>(((Dados!V21)*100)/$G$106)/100</f>
        <v>0</v>
      </c>
    </row>
    <row r="126" spans="1:24">
      <c r="A126" s="39"/>
      <c r="B126" s="1" t="str">
        <f>U107</f>
        <v>corpus uteri</v>
      </c>
      <c r="C126" s="14">
        <f>(((Dados!A22)*100)/$G$106)/100</f>
        <v>0</v>
      </c>
      <c r="D126" s="14">
        <f>(((Dados!B22)*100)/$G$106)/100</f>
        <v>0</v>
      </c>
      <c r="E126" s="14">
        <f>(((Dados!C22)*100)/$G$106)/100</f>
        <v>0</v>
      </c>
      <c r="F126" s="14">
        <f>(((Dados!D22)*100)/$G$106)/100</f>
        <v>0</v>
      </c>
      <c r="G126" s="14">
        <f>(((Dados!E22)*100)/$G$106)/100</f>
        <v>0</v>
      </c>
      <c r="H126" s="14">
        <f>(((Dados!F22)*100)/$G$106)/100</f>
        <v>0</v>
      </c>
      <c r="I126" s="14">
        <f>(((Dados!G22)*100)/$G$106)/100</f>
        <v>2.9498525073746312E-3</v>
      </c>
      <c r="J126" s="14">
        <f>(((Dados!H22)*100)/$G$106)/100</f>
        <v>0</v>
      </c>
      <c r="K126" s="14">
        <f>(((Dados!I22)*100)/$G$106)/100</f>
        <v>0</v>
      </c>
      <c r="L126" s="14">
        <f>(((Dados!J22)*100)/$G$106)/100</f>
        <v>0</v>
      </c>
      <c r="M126" s="14">
        <f>(((Dados!K22)*100)/$G$106)/100</f>
        <v>8.8495575221238937E-3</v>
      </c>
      <c r="N126" s="14">
        <f>(((Dados!L22)*100)/$G$106)/100</f>
        <v>2.9498525073746312E-3</v>
      </c>
      <c r="O126" s="14">
        <f>(((Dados!M22)*100)/$G$106)/100</f>
        <v>0</v>
      </c>
      <c r="P126" s="14">
        <f>(((Dados!N22)*100)/$G$106)/100</f>
        <v>2.9498525073746312E-3</v>
      </c>
      <c r="Q126" s="14">
        <f>(((Dados!O22)*100)/$G$106)/100</f>
        <v>0</v>
      </c>
      <c r="R126" s="14">
        <f>(((Dados!P22)*100)/$G$106)/100</f>
        <v>0</v>
      </c>
      <c r="S126" s="14">
        <f>(((Dados!Q22)*100)/$G$106)/100</f>
        <v>0</v>
      </c>
      <c r="T126" s="14">
        <f>(((Dados!R22)*100)/$G$106)/100</f>
        <v>0</v>
      </c>
      <c r="U126" s="12">
        <f>(((Dados!S22)*100)/$G$106)/100</f>
        <v>0</v>
      </c>
      <c r="V126" s="14">
        <f>(((Dados!T22)*100)/$G$106)/100</f>
        <v>0</v>
      </c>
      <c r="W126" s="14">
        <f>(((Dados!U22)*100)/$G$106)/100</f>
        <v>0</v>
      </c>
      <c r="X126" s="14">
        <f>(((Dados!V22)*100)/$G$106)/100</f>
        <v>0</v>
      </c>
    </row>
    <row r="127" spans="1:24">
      <c r="A127" s="39"/>
      <c r="B127" s="1" t="str">
        <f>V107</f>
        <v>cervix uteri</v>
      </c>
      <c r="C127" s="14">
        <f>(((Dados!A23)*100)/$G$106)/100</f>
        <v>0</v>
      </c>
      <c r="D127" s="14">
        <f>(((Dados!B23)*100)/$G$106)/100</f>
        <v>0</v>
      </c>
      <c r="E127" s="14">
        <f>(((Dados!C23)*100)/$G$106)/100</f>
        <v>0</v>
      </c>
      <c r="F127" s="14">
        <f>(((Dados!D23)*100)/$G$106)/100</f>
        <v>0</v>
      </c>
      <c r="G127" s="14">
        <f>(((Dados!E23)*100)/$G$106)/100</f>
        <v>0</v>
      </c>
      <c r="H127" s="14">
        <f>(((Dados!F23)*100)/$G$106)/100</f>
        <v>0</v>
      </c>
      <c r="I127" s="14">
        <f>(((Dados!G23)*100)/$G$106)/100</f>
        <v>0</v>
      </c>
      <c r="J127" s="14">
        <f>(((Dados!H23)*100)/$G$106)/100</f>
        <v>0</v>
      </c>
      <c r="K127" s="14">
        <f>(((Dados!I23)*100)/$G$106)/100</f>
        <v>0</v>
      </c>
      <c r="L127" s="14">
        <f>(((Dados!J23)*100)/$G$106)/100</f>
        <v>0</v>
      </c>
      <c r="M127" s="14">
        <f>(((Dados!K23)*100)/$G$106)/100</f>
        <v>2.9498525073746312E-3</v>
      </c>
      <c r="N127" s="14">
        <f>(((Dados!L23)*100)/$G$106)/100</f>
        <v>0</v>
      </c>
      <c r="O127" s="14">
        <f>(((Dados!M23)*100)/$G$106)/100</f>
        <v>0</v>
      </c>
      <c r="P127" s="14">
        <f>(((Dados!N23)*100)/$G$106)/100</f>
        <v>0</v>
      </c>
      <c r="Q127" s="14">
        <f>(((Dados!O23)*100)/$G$106)/100</f>
        <v>0</v>
      </c>
      <c r="R127" s="14">
        <f>(((Dados!P23)*100)/$G$106)/100</f>
        <v>0</v>
      </c>
      <c r="S127" s="14">
        <f>(((Dados!Q23)*100)/$G$106)/100</f>
        <v>0</v>
      </c>
      <c r="T127" s="14">
        <f>(((Dados!R23)*100)/$G$106)/100</f>
        <v>0</v>
      </c>
      <c r="U127" s="14">
        <f>(((Dados!S23)*100)/$G$106)/100</f>
        <v>2.9498525073746312E-3</v>
      </c>
      <c r="V127" s="12">
        <f>(((Dados!T23)*100)/$G$106)/100</f>
        <v>0</v>
      </c>
      <c r="W127" s="14">
        <f>(((Dados!U23)*100)/$G$106)/100</f>
        <v>0</v>
      </c>
      <c r="X127" s="14">
        <f>(((Dados!V23)*100)/$G$106)/100</f>
        <v>0</v>
      </c>
    </row>
    <row r="128" spans="1:24">
      <c r="A128" s="39"/>
      <c r="B128" s="1" t="str">
        <f>W107</f>
        <v>vagina</v>
      </c>
      <c r="C128" s="14">
        <f>(((Dados!A24)*100)/$G$106)/100</f>
        <v>2.9498525073746312E-3</v>
      </c>
      <c r="D128" s="14">
        <f>(((Dados!B24)*100)/$G$106)/100</f>
        <v>0</v>
      </c>
      <c r="E128" s="14">
        <f>(((Dados!C24)*100)/$G$106)/100</f>
        <v>0</v>
      </c>
      <c r="F128" s="14">
        <f>(((Dados!D24)*100)/$G$106)/100</f>
        <v>0</v>
      </c>
      <c r="G128" s="14">
        <f>(((Dados!E24)*100)/$G$106)/100</f>
        <v>0</v>
      </c>
      <c r="H128" s="14">
        <f>(((Dados!F24)*100)/$G$106)/100</f>
        <v>0</v>
      </c>
      <c r="I128" s="14">
        <f>(((Dados!G24)*100)/$G$106)/100</f>
        <v>0</v>
      </c>
      <c r="J128" s="14">
        <f>(((Dados!H24)*100)/$G$106)/100</f>
        <v>0</v>
      </c>
      <c r="K128" s="14">
        <f>(((Dados!I24)*100)/$G$106)/100</f>
        <v>0</v>
      </c>
      <c r="L128" s="14">
        <f>(((Dados!J24)*100)/$G$106)/100</f>
        <v>0</v>
      </c>
      <c r="M128" s="14">
        <f>(((Dados!K24)*100)/$G$106)/100</f>
        <v>0</v>
      </c>
      <c r="N128" s="14">
        <f>(((Dados!L24)*100)/$G$106)/100</f>
        <v>0</v>
      </c>
      <c r="O128" s="14">
        <f>(((Dados!M24)*100)/$G$106)/100</f>
        <v>0</v>
      </c>
      <c r="P128" s="14">
        <f>(((Dados!N24)*100)/$G$106)/100</f>
        <v>0</v>
      </c>
      <c r="Q128" s="14">
        <f>(((Dados!O24)*100)/$G$106)/100</f>
        <v>0</v>
      </c>
      <c r="R128" s="14">
        <f>(((Dados!P24)*100)/$G$106)/100</f>
        <v>0</v>
      </c>
      <c r="S128" s="14">
        <f>(((Dados!Q24)*100)/$G$106)/100</f>
        <v>0</v>
      </c>
      <c r="T128" s="14">
        <f>(((Dados!R24)*100)/$G$106)/100</f>
        <v>0</v>
      </c>
      <c r="U128" s="14">
        <f>(((Dados!S24)*100)/$G$106)/100</f>
        <v>0</v>
      </c>
      <c r="V128" s="14">
        <f>(((Dados!T24)*100)/$G$106)/100</f>
        <v>0</v>
      </c>
      <c r="W128" s="12">
        <f>(((Dados!U24)*100)/$G$106)/100</f>
        <v>0</v>
      </c>
      <c r="X128" s="14">
        <f>(((Dados!V24)*100)/$G$106)/100</f>
        <v>0</v>
      </c>
    </row>
    <row r="129" spans="1:24">
      <c r="A129" s="39"/>
      <c r="B129" s="1" t="str">
        <f>X107</f>
        <v>breast</v>
      </c>
      <c r="C129" s="14">
        <f>(((Dados!A25)*100)/$G$106)/100</f>
        <v>2.9498525073746312E-3</v>
      </c>
      <c r="D129" s="14">
        <f>(((Dados!B25)*100)/$G$106)/100</f>
        <v>0</v>
      </c>
      <c r="E129" s="14">
        <f>(((Dados!C25)*100)/$G$106)/100</f>
        <v>2.9498525073746312E-3</v>
      </c>
      <c r="F129" s="14">
        <f>(((Dados!D25)*100)/$G$106)/100</f>
        <v>2.9498525073746312E-3</v>
      </c>
      <c r="G129" s="14">
        <f>(((Dados!E25)*100)/$G$106)/100</f>
        <v>0</v>
      </c>
      <c r="H129" s="14">
        <f>(((Dados!F25)*100)/$G$106)/100</f>
        <v>0</v>
      </c>
      <c r="I129" s="14">
        <f>(((Dados!G25)*100)/$G$106)/100</f>
        <v>0</v>
      </c>
      <c r="J129" s="14">
        <f>(((Dados!H25)*100)/$G$106)/100</f>
        <v>0</v>
      </c>
      <c r="K129" s="14">
        <f>(((Dados!I25)*100)/$G$106)/100</f>
        <v>0</v>
      </c>
      <c r="L129" s="14">
        <f>(((Dados!J25)*100)/$G$106)/100</f>
        <v>0</v>
      </c>
      <c r="M129" s="14">
        <f>(((Dados!K25)*100)/$G$106)/100</f>
        <v>2.9498525073746312E-3</v>
      </c>
      <c r="N129" s="14">
        <f>(((Dados!L25)*100)/$G$106)/100</f>
        <v>0</v>
      </c>
      <c r="O129" s="14">
        <f>(((Dados!M25)*100)/$G$106)/100</f>
        <v>0</v>
      </c>
      <c r="P129" s="14">
        <f>(((Dados!N25)*100)/$G$106)/100</f>
        <v>0</v>
      </c>
      <c r="Q129" s="14">
        <f>(((Dados!O25)*100)/$G$106)/100</f>
        <v>0</v>
      </c>
      <c r="R129" s="14">
        <f>(((Dados!P25)*100)/$G$106)/100</f>
        <v>0</v>
      </c>
      <c r="S129" s="14">
        <f>(((Dados!Q25)*100)/$G$106)/100</f>
        <v>0</v>
      </c>
      <c r="T129" s="14">
        <f>(((Dados!R25)*100)/$G$106)/100</f>
        <v>2.9498525073746312E-3</v>
      </c>
      <c r="U129" s="14">
        <f>(((Dados!S25)*100)/$G$106)/100</f>
        <v>0</v>
      </c>
      <c r="V129" s="14">
        <f>(((Dados!T25)*100)/$G$106)/100</f>
        <v>0</v>
      </c>
      <c r="W129" s="14">
        <f>(((Dados!U25)*100)/$G$106)/100</f>
        <v>0</v>
      </c>
      <c r="X129" s="12">
        <f>(((Dados!V25)*100)/$G$106)/100</f>
        <v>5.6047197640118E-2</v>
      </c>
    </row>
    <row r="131" spans="1:24">
      <c r="A131" s="22" t="str">
        <f>A1</f>
        <v>k-folds</v>
      </c>
      <c r="B131" s="5" t="s">
        <v>55</v>
      </c>
      <c r="C131" s="7" t="s">
        <v>20</v>
      </c>
      <c r="D131" s="11" t="s">
        <v>2</v>
      </c>
      <c r="E131" s="33">
        <f>629+217</f>
        <v>846</v>
      </c>
      <c r="F131" s="33"/>
      <c r="G131" s="33"/>
      <c r="H131" s="34"/>
    </row>
    <row r="132" spans="1:24">
      <c r="A132" s="39">
        <v>3</v>
      </c>
      <c r="B132" s="6" t="str">
        <f>B2</f>
        <v>↓ Real      Escolhido →</v>
      </c>
      <c r="C132" s="9" t="s">
        <v>56</v>
      </c>
      <c r="D132" s="30" t="s">
        <v>57</v>
      </c>
      <c r="E132" s="30"/>
      <c r="F132" s="9" t="s">
        <v>58</v>
      </c>
      <c r="G132" s="30" t="s">
        <v>59</v>
      </c>
      <c r="H132" s="30"/>
    </row>
    <row r="133" spans="1:24">
      <c r="A133" s="39"/>
      <c r="B133" s="1" t="str">
        <f>C132</f>
        <v>opel</v>
      </c>
      <c r="C133" s="12">
        <f>(((91)*100)/E131)/100</f>
        <v>0.10756501182033096</v>
      </c>
      <c r="D133" s="31">
        <f>(((55)*100)/E131)/100</f>
        <v>6.5011820330969264E-2</v>
      </c>
      <c r="E133" s="31"/>
      <c r="F133" s="14">
        <f>(((3)*100)/E131)/100</f>
        <v>3.5460992907801418E-3</v>
      </c>
      <c r="G133" s="31">
        <f>(((63)*100)/E131)/100</f>
        <v>7.4468085106382975E-2</v>
      </c>
      <c r="H133" s="31"/>
    </row>
    <row r="134" spans="1:24">
      <c r="A134" s="39"/>
      <c r="B134" s="1" t="str">
        <f>D132</f>
        <v>saab</v>
      </c>
      <c r="C134" s="3">
        <f>(((78)*100)/E131)/100</f>
        <v>9.2198581560283696E-2</v>
      </c>
      <c r="D134" s="32">
        <f>(((72)*100)/E131)/100</f>
        <v>8.5106382978723402E-2</v>
      </c>
      <c r="E134" s="32"/>
      <c r="F134" s="3">
        <f>(((1)*100)/E131)/100</f>
        <v>1.1820330969267139E-3</v>
      </c>
      <c r="G134" s="36">
        <f>(((66)*100)/E131)/100</f>
        <v>7.8014184397163122E-2</v>
      </c>
      <c r="H134" s="36"/>
    </row>
    <row r="135" spans="1:24">
      <c r="A135" s="39"/>
      <c r="B135" s="1" t="str">
        <f>F132</f>
        <v>bus</v>
      </c>
      <c r="C135" s="14">
        <f>(((34)*100)/E131)/100</f>
        <v>4.0189125295508277E-2</v>
      </c>
      <c r="D135" s="31">
        <f>(((22)*100)/E131)/100</f>
        <v>2.600472813238771E-2</v>
      </c>
      <c r="E135" s="31"/>
      <c r="F135" s="12">
        <f>(((30)*100)/E131)/100</f>
        <v>3.5460992907801414E-2</v>
      </c>
      <c r="G135" s="31">
        <f>(((132)*100)/E131)/100</f>
        <v>0.15602836879432624</v>
      </c>
      <c r="H135" s="31"/>
    </row>
    <row r="136" spans="1:24">
      <c r="A136" s="39"/>
      <c r="B136" s="1" t="str">
        <f>G132</f>
        <v>van</v>
      </c>
      <c r="C136" s="3">
        <f>(((6)*100)/E131)/100</f>
        <v>7.0921985815602835E-3</v>
      </c>
      <c r="D136" s="36">
        <f>(((5)*100)/E131)/100</f>
        <v>5.9101654846335696E-3</v>
      </c>
      <c r="E136" s="36"/>
      <c r="F136" s="3">
        <f>(((8)*100)/E131)/100</f>
        <v>9.4562647754137114E-3</v>
      </c>
      <c r="G136" s="32">
        <f>(((180)*100)/E131)/100</f>
        <v>0.21276595744680851</v>
      </c>
      <c r="H136" s="32"/>
    </row>
    <row r="138" spans="1:24">
      <c r="A138" s="22" t="str">
        <f>A1</f>
        <v>k-folds</v>
      </c>
      <c r="B138" s="5" t="s">
        <v>60</v>
      </c>
      <c r="C138" s="7" t="s">
        <v>61</v>
      </c>
      <c r="D138" s="11" t="s">
        <v>2</v>
      </c>
      <c r="E138" s="33">
        <f>52+99</f>
        <v>151</v>
      </c>
      <c r="F138" s="34"/>
    </row>
    <row r="139" spans="1:24">
      <c r="A139" s="39">
        <v>5</v>
      </c>
      <c r="B139" s="6" t="str">
        <f>B2</f>
        <v>↓ Real      Escolhido →</v>
      </c>
      <c r="C139" s="9">
        <v>1</v>
      </c>
      <c r="D139" s="30">
        <v>2</v>
      </c>
      <c r="E139" s="30"/>
      <c r="F139" s="9">
        <v>3</v>
      </c>
    </row>
    <row r="140" spans="1:24">
      <c r="A140" s="39"/>
      <c r="B140" s="1">
        <f>C139</f>
        <v>1</v>
      </c>
      <c r="C140" s="12">
        <f>(((33)*100)/E138)/100</f>
        <v>0.2185430463576159</v>
      </c>
      <c r="D140" s="31">
        <f>(((10)*100)/E138)/100</f>
        <v>6.6225165562913912E-2</v>
      </c>
      <c r="E140" s="31"/>
      <c r="F140" s="14">
        <f>(((6)*100)/E138)/100</f>
        <v>3.9735099337748346E-2</v>
      </c>
    </row>
    <row r="141" spans="1:24">
      <c r="A141" s="39"/>
      <c r="B141" s="1">
        <f>D139</f>
        <v>2</v>
      </c>
      <c r="C141" s="3">
        <f>(((17)*100)/E138)/100</f>
        <v>0.11258278145695363</v>
      </c>
      <c r="D141" s="32">
        <f>(((24)*100)/E138)/100</f>
        <v>0.15894039735099338</v>
      </c>
      <c r="E141" s="32"/>
      <c r="F141" s="3">
        <f>(((9)*100)/E138)/100</f>
        <v>5.9602649006622516E-2</v>
      </c>
    </row>
    <row r="142" spans="1:24">
      <c r="A142" s="39"/>
      <c r="B142" s="1">
        <f>F139</f>
        <v>3</v>
      </c>
      <c r="C142" s="14">
        <f>(((15)*100)/E138)/100</f>
        <v>9.9337748344370869E-2</v>
      </c>
      <c r="D142" s="31">
        <f>(((14)*100)/E138)/100</f>
        <v>9.2715231788079458E-2</v>
      </c>
      <c r="E142" s="31"/>
      <c r="F142" s="12">
        <f>(((23)*100)/E138)/100</f>
        <v>0.15231788079470199</v>
      </c>
    </row>
  </sheetData>
  <mergeCells count="112">
    <mergeCell ref="G106:X106"/>
    <mergeCell ref="G81:X81"/>
    <mergeCell ref="A107:A129"/>
    <mergeCell ref="A76:A79"/>
    <mergeCell ref="D76:E76"/>
    <mergeCell ref="D77:E77"/>
    <mergeCell ref="D78:E78"/>
    <mergeCell ref="D79:E79"/>
    <mergeCell ref="D106:F106"/>
    <mergeCell ref="A63:A67"/>
    <mergeCell ref="D63:E63"/>
    <mergeCell ref="G63:H63"/>
    <mergeCell ref="D64:E64"/>
    <mergeCell ref="G64:H64"/>
    <mergeCell ref="D65:E65"/>
    <mergeCell ref="G65:H65"/>
    <mergeCell ref="D66:E66"/>
    <mergeCell ref="G66:H66"/>
    <mergeCell ref="D67:E67"/>
    <mergeCell ref="G67:H67"/>
    <mergeCell ref="D43:E43"/>
    <mergeCell ref="A51:A53"/>
    <mergeCell ref="D51:E51"/>
    <mergeCell ref="D52:E52"/>
    <mergeCell ref="D53:E53"/>
    <mergeCell ref="E62:H62"/>
    <mergeCell ref="D37:E37"/>
    <mergeCell ref="D38:E38"/>
    <mergeCell ref="D39:E39"/>
    <mergeCell ref="D40:E40"/>
    <mergeCell ref="D41:E41"/>
    <mergeCell ref="D42:E42"/>
    <mergeCell ref="G60:H60"/>
    <mergeCell ref="G57:H57"/>
    <mergeCell ref="G58:H58"/>
    <mergeCell ref="G59:H59"/>
    <mergeCell ref="A2:A4"/>
    <mergeCell ref="A7:A13"/>
    <mergeCell ref="A16:A18"/>
    <mergeCell ref="A26:A33"/>
    <mergeCell ref="A46:A48"/>
    <mergeCell ref="A56:A60"/>
    <mergeCell ref="A21:A23"/>
    <mergeCell ref="A36:A43"/>
    <mergeCell ref="E138:F138"/>
    <mergeCell ref="D60:E60"/>
    <mergeCell ref="E69:F69"/>
    <mergeCell ref="D57:E57"/>
    <mergeCell ref="D58:E58"/>
    <mergeCell ref="D59:E59"/>
    <mergeCell ref="D33:E33"/>
    <mergeCell ref="D46:E46"/>
    <mergeCell ref="D47:E47"/>
    <mergeCell ref="D48:E48"/>
    <mergeCell ref="E55:H55"/>
    <mergeCell ref="D56:E56"/>
    <mergeCell ref="G56:H56"/>
    <mergeCell ref="D35:F35"/>
    <mergeCell ref="G35:J35"/>
    <mergeCell ref="D36:E36"/>
    <mergeCell ref="D139:E139"/>
    <mergeCell ref="D140:E140"/>
    <mergeCell ref="D141:E141"/>
    <mergeCell ref="D142:E142"/>
    <mergeCell ref="A70:A73"/>
    <mergeCell ref="A82:A104"/>
    <mergeCell ref="A132:A136"/>
    <mergeCell ref="A139:A142"/>
    <mergeCell ref="E75:F75"/>
    <mergeCell ref="D134:E134"/>
    <mergeCell ref="D73:E73"/>
    <mergeCell ref="D81:F81"/>
    <mergeCell ref="D70:E70"/>
    <mergeCell ref="D71:E71"/>
    <mergeCell ref="D72:E72"/>
    <mergeCell ref="G134:H134"/>
    <mergeCell ref="D135:E135"/>
    <mergeCell ref="G135:H135"/>
    <mergeCell ref="D136:E136"/>
    <mergeCell ref="G136:H136"/>
    <mergeCell ref="E131:H131"/>
    <mergeCell ref="D132:E132"/>
    <mergeCell ref="G132:H132"/>
    <mergeCell ref="D133:E133"/>
    <mergeCell ref="G133:H133"/>
    <mergeCell ref="D27:E27"/>
    <mergeCell ref="D28:E28"/>
    <mergeCell ref="D29:E29"/>
    <mergeCell ref="D30:E30"/>
    <mergeCell ref="D31:E31"/>
    <mergeCell ref="D32:E32"/>
    <mergeCell ref="D16:E16"/>
    <mergeCell ref="D17:E17"/>
    <mergeCell ref="D18:E18"/>
    <mergeCell ref="D25:F25"/>
    <mergeCell ref="D2:E2"/>
    <mergeCell ref="D3:E3"/>
    <mergeCell ref="D4:E4"/>
    <mergeCell ref="D6:F6"/>
    <mergeCell ref="G6:I6"/>
    <mergeCell ref="D7:E7"/>
    <mergeCell ref="G25:J25"/>
    <mergeCell ref="D26:E26"/>
    <mergeCell ref="D21:E21"/>
    <mergeCell ref="D22:E22"/>
    <mergeCell ref="D23:E23"/>
    <mergeCell ref="D8:E8"/>
    <mergeCell ref="D9:E9"/>
    <mergeCell ref="D10:E10"/>
    <mergeCell ref="D11:E11"/>
    <mergeCell ref="D12:E12"/>
    <mergeCell ref="D13:E13"/>
  </mergeCells>
  <phoneticPr fontId="8" type="noConversion"/>
  <pageMargins left="0.75" right="0.75" top="1" bottom="1" header="0.5" footer="0.5"/>
  <pageSetup paperSize="9" scale="2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4"/>
  <sheetViews>
    <sheetView showGridLines="0" workbookViewId="0"/>
  </sheetViews>
  <sheetFormatPr baseColWidth="10" defaultRowHeight="15" x14ac:dyDescent="0"/>
  <cols>
    <col min="2" max="2" width="25.5" customWidth="1"/>
    <col min="3" max="3" width="19.6640625" bestFit="1" customWidth="1"/>
    <col min="4" max="4" width="13.1640625" bestFit="1" customWidth="1"/>
    <col min="5" max="5" width="10" bestFit="1" customWidth="1"/>
    <col min="6" max="6" width="18.5" bestFit="1" customWidth="1"/>
    <col min="7" max="7" width="18" bestFit="1" customWidth="1"/>
    <col min="8" max="8" width="16.5" bestFit="1" customWidth="1"/>
    <col min="9" max="9" width="9.5" bestFit="1" customWidth="1"/>
    <col min="10" max="10" width="10.1640625" bestFit="1" customWidth="1"/>
    <col min="11" max="11" width="7.6640625" customWidth="1"/>
    <col min="12" max="13" width="13.1640625" bestFit="1" customWidth="1"/>
    <col min="21" max="21" width="11" bestFit="1" customWidth="1"/>
  </cols>
  <sheetData>
    <row r="1" spans="1:9">
      <c r="A1" s="22" t="str">
        <f>'Cross Validation'!A1</f>
        <v>k-folds</v>
      </c>
      <c r="B1" s="5" t="s">
        <v>0</v>
      </c>
      <c r="C1" s="7" t="s">
        <v>1</v>
      </c>
      <c r="D1" s="11" t="s">
        <v>2</v>
      </c>
      <c r="E1" s="2">
        <f>232+136</f>
        <v>368</v>
      </c>
    </row>
    <row r="2" spans="1:9">
      <c r="A2" s="37">
        <v>4</v>
      </c>
      <c r="B2" s="6" t="str">
        <f>'Cross Validation'!B2</f>
        <v>↓ Real      Escolhido →</v>
      </c>
      <c r="C2" s="9" t="s">
        <v>3</v>
      </c>
      <c r="D2" s="30" t="s">
        <v>4</v>
      </c>
      <c r="E2" s="30"/>
    </row>
    <row r="3" spans="1:9">
      <c r="A3" s="37"/>
      <c r="B3" s="1" t="str">
        <f>C2</f>
        <v>yes</v>
      </c>
      <c r="C3" s="12">
        <f>(((218)*100)/E1)/100</f>
        <v>0.59239130434782605</v>
      </c>
      <c r="D3" s="31">
        <f>(((14)*100)/E1)/100</f>
        <v>3.8043478260869568E-2</v>
      </c>
      <c r="E3" s="31"/>
    </row>
    <row r="4" spans="1:9">
      <c r="A4" s="38"/>
      <c r="B4" s="1" t="str">
        <f>D2</f>
        <v>no</v>
      </c>
      <c r="C4" s="3">
        <f>(((39)*100)/E1)/100</f>
        <v>0.10597826086956522</v>
      </c>
      <c r="D4" s="32">
        <f>(((97)*100)/E1)/100</f>
        <v>0.26358695652173914</v>
      </c>
      <c r="E4" s="32"/>
    </row>
    <row r="6" spans="1:9">
      <c r="A6" s="22" t="str">
        <f>A1</f>
        <v>k-folds</v>
      </c>
      <c r="B6" s="5" t="s">
        <v>5</v>
      </c>
      <c r="C6" s="7" t="s">
        <v>6</v>
      </c>
      <c r="D6" s="35" t="s">
        <v>2</v>
      </c>
      <c r="E6" s="35"/>
      <c r="F6" s="35"/>
      <c r="G6" s="33">
        <f>112+254</f>
        <v>366</v>
      </c>
      <c r="H6" s="33"/>
      <c r="I6" s="34"/>
    </row>
    <row r="7" spans="1:9">
      <c r="A7" s="39">
        <v>2</v>
      </c>
      <c r="B7" s="10" t="str">
        <f>B2</f>
        <v>↓ Real      Escolhido →</v>
      </c>
      <c r="C7" s="9">
        <v>1</v>
      </c>
      <c r="D7" s="30">
        <v>2</v>
      </c>
      <c r="E7" s="30"/>
      <c r="F7" s="9">
        <v>3</v>
      </c>
      <c r="G7" s="1">
        <v>4</v>
      </c>
      <c r="H7" s="1">
        <v>5</v>
      </c>
      <c r="I7" s="1">
        <v>6</v>
      </c>
    </row>
    <row r="8" spans="1:9">
      <c r="A8" s="39"/>
      <c r="B8" s="1">
        <f>C7</f>
        <v>1</v>
      </c>
      <c r="C8" s="12">
        <f>(((107)*100)/G6)/100</f>
        <v>0.29234972677595628</v>
      </c>
      <c r="D8" s="31">
        <f>(((5)*100)/G6)/100</f>
        <v>1.3661202185792349E-2</v>
      </c>
      <c r="E8" s="31"/>
      <c r="F8" s="3">
        <v>0</v>
      </c>
      <c r="G8" s="3">
        <v>0</v>
      </c>
      <c r="H8" s="3">
        <v>0</v>
      </c>
      <c r="I8" s="3">
        <v>0</v>
      </c>
    </row>
    <row r="9" spans="1:9">
      <c r="A9" s="39"/>
      <c r="B9" s="1">
        <f>D7</f>
        <v>2</v>
      </c>
      <c r="C9" s="3">
        <f>(((2)*100)/G6)/100</f>
        <v>5.4644808743169408E-3</v>
      </c>
      <c r="D9" s="32">
        <f>(((56)*100)/G6)/100</f>
        <v>0.15300546448087432</v>
      </c>
      <c r="E9" s="32"/>
      <c r="F9" s="3">
        <v>0</v>
      </c>
      <c r="G9" s="3">
        <f>(((2)*100)/G6)/100</f>
        <v>5.4644808743169408E-3</v>
      </c>
      <c r="H9" s="3">
        <v>0</v>
      </c>
      <c r="I9" s="3">
        <f>(((1)*100)/G6)/100</f>
        <v>2.7322404371584704E-3</v>
      </c>
    </row>
    <row r="10" spans="1:9">
      <c r="A10" s="39"/>
      <c r="B10" s="1">
        <f>F7</f>
        <v>3</v>
      </c>
      <c r="C10" s="3">
        <f>(((2)*100)/G6)/100</f>
        <v>5.4644808743169408E-3</v>
      </c>
      <c r="D10" s="31">
        <v>0</v>
      </c>
      <c r="E10" s="31"/>
      <c r="F10" s="12">
        <f>(((68)*100)/G6)/100</f>
        <v>0.18579234972677597</v>
      </c>
      <c r="G10" s="3">
        <f>(((1)*100)/G6)/100</f>
        <v>2.7322404371584704E-3</v>
      </c>
      <c r="H10" s="3">
        <f>(((1)*100)/G6)/100</f>
        <v>2.7322404371584704E-3</v>
      </c>
      <c r="I10" s="3">
        <v>0</v>
      </c>
    </row>
    <row r="11" spans="1:9">
      <c r="A11" s="39"/>
      <c r="B11" s="1">
        <f>G7</f>
        <v>4</v>
      </c>
      <c r="C11" s="3">
        <f>(((2)*100)/G6)/100</f>
        <v>5.4644808743169408E-3</v>
      </c>
      <c r="D11" s="31">
        <f>(((3)*100)/G6)/100</f>
        <v>8.1967213114754103E-3</v>
      </c>
      <c r="E11" s="31"/>
      <c r="F11" s="3">
        <v>0</v>
      </c>
      <c r="G11" s="12">
        <f>(((44)*100)/G6)/100</f>
        <v>0.12021857923497267</v>
      </c>
      <c r="H11" s="3">
        <v>0</v>
      </c>
      <c r="I11" s="3">
        <v>0</v>
      </c>
    </row>
    <row r="12" spans="1:9">
      <c r="A12" s="39"/>
      <c r="B12" s="1">
        <f>H7</f>
        <v>5</v>
      </c>
      <c r="C12" s="3">
        <v>0</v>
      </c>
      <c r="D12" s="31">
        <v>0</v>
      </c>
      <c r="E12" s="31"/>
      <c r="F12" s="3">
        <v>0</v>
      </c>
      <c r="G12" s="3">
        <v>0</v>
      </c>
      <c r="H12" s="12">
        <f>(((52)*100)/G6)/100</f>
        <v>0.14207650273224043</v>
      </c>
      <c r="I12" s="3">
        <v>0</v>
      </c>
    </row>
    <row r="13" spans="1:9">
      <c r="A13" s="39"/>
      <c r="B13" s="1">
        <f>I7</f>
        <v>6</v>
      </c>
      <c r="C13" s="3">
        <f>(((5)*100)/G6)/100</f>
        <v>1.3661202185792349E-2</v>
      </c>
      <c r="D13" s="31">
        <v>0</v>
      </c>
      <c r="E13" s="31"/>
      <c r="F13" s="3">
        <v>0</v>
      </c>
      <c r="G13" s="3">
        <v>0</v>
      </c>
      <c r="H13" s="3">
        <v>0</v>
      </c>
      <c r="I13" s="12">
        <f>(((15)*100)/G6)/100</f>
        <v>4.0983606557377046E-2</v>
      </c>
    </row>
    <row r="15" spans="1:9">
      <c r="A15" s="22" t="str">
        <f>A1</f>
        <v>k-folds</v>
      </c>
      <c r="B15" s="5" t="s">
        <v>7</v>
      </c>
      <c r="C15" s="7" t="s">
        <v>6</v>
      </c>
      <c r="D15" s="11" t="s">
        <v>2</v>
      </c>
      <c r="E15" s="2">
        <f>500+268</f>
        <v>768</v>
      </c>
    </row>
    <row r="16" spans="1:9">
      <c r="A16" s="37">
        <v>5</v>
      </c>
      <c r="B16" s="6" t="str">
        <f>B2</f>
        <v>↓ Real      Escolhido →</v>
      </c>
      <c r="C16" s="9" t="s">
        <v>8</v>
      </c>
      <c r="D16" s="30" t="s">
        <v>9</v>
      </c>
      <c r="E16" s="30"/>
    </row>
    <row r="17" spans="1:10">
      <c r="A17" s="37"/>
      <c r="B17" s="1" t="str">
        <f>C16</f>
        <v>tested_negative</v>
      </c>
      <c r="C17" s="3">
        <f>(((385)*100)/E15)/100</f>
        <v>0.50130208333333337</v>
      </c>
      <c r="D17" s="31">
        <f>(((115)*100)/E15)/100</f>
        <v>0.14973958333333334</v>
      </c>
      <c r="E17" s="31"/>
    </row>
    <row r="18" spans="1:10">
      <c r="A18" s="38"/>
      <c r="B18" s="1" t="str">
        <f>D16</f>
        <v>tested_positive</v>
      </c>
      <c r="C18" s="3">
        <f>(((106)*100)/E15)/100</f>
        <v>0.13802083333333334</v>
      </c>
      <c r="D18" s="31">
        <f>(((162)*100)/E15)/100</f>
        <v>0.2109375</v>
      </c>
      <c r="E18" s="31"/>
    </row>
    <row r="20" spans="1:10">
      <c r="A20" s="22" t="str">
        <f>A1</f>
        <v>k-folds</v>
      </c>
      <c r="B20" s="5" t="s">
        <v>10</v>
      </c>
      <c r="C20" s="7" t="s">
        <v>11</v>
      </c>
      <c r="D20" s="35" t="s">
        <v>2</v>
      </c>
      <c r="E20" s="35"/>
      <c r="F20" s="35"/>
      <c r="G20" s="33">
        <f>76+138</f>
        <v>214</v>
      </c>
      <c r="H20" s="33"/>
      <c r="I20" s="33"/>
      <c r="J20" s="34"/>
    </row>
    <row r="21" spans="1:10">
      <c r="A21" s="39">
        <v>3</v>
      </c>
      <c r="B21" s="10" t="str">
        <f>B2</f>
        <v>↓ Real      Escolhido →</v>
      </c>
      <c r="C21" s="9" t="s">
        <v>12</v>
      </c>
      <c r="D21" s="30" t="s">
        <v>13</v>
      </c>
      <c r="E21" s="30"/>
      <c r="F21" s="9" t="s">
        <v>14</v>
      </c>
      <c r="G21" s="1" t="s">
        <v>15</v>
      </c>
      <c r="H21" s="1" t="s">
        <v>16</v>
      </c>
      <c r="I21" s="1" t="s">
        <v>17</v>
      </c>
      <c r="J21" s="1" t="s">
        <v>18</v>
      </c>
    </row>
    <row r="22" spans="1:10">
      <c r="A22" s="39"/>
      <c r="B22" s="1" t="str">
        <f>C21</f>
        <v>build wind float</v>
      </c>
      <c r="C22" s="13">
        <f>(((53)*100)/G20)/100</f>
        <v>0.24766355140186916</v>
      </c>
      <c r="D22" s="31">
        <f>(((15)*100)/G20)/100</f>
        <v>7.0093457943925228E-2</v>
      </c>
      <c r="E22" s="31"/>
      <c r="F22" s="4">
        <f>(((1)*100)/G20)/100</f>
        <v>4.6728971962616819E-3</v>
      </c>
      <c r="G22" s="4">
        <v>0</v>
      </c>
      <c r="H22" s="4">
        <v>0</v>
      </c>
      <c r="I22" s="4">
        <v>0</v>
      </c>
      <c r="J22" s="4">
        <f>(((1)*100)/G20)/100</f>
        <v>4.6728971962616819E-3</v>
      </c>
    </row>
    <row r="23" spans="1:10">
      <c r="A23" s="39"/>
      <c r="B23" s="1" t="str">
        <f>D21</f>
        <v>build wind non-float</v>
      </c>
      <c r="C23" s="4">
        <f>(((15)*100)/G20)/100</f>
        <v>7.0093457943925228E-2</v>
      </c>
      <c r="D23" s="32">
        <f>(((50)*100)/G20)/100</f>
        <v>0.23364485981308414</v>
      </c>
      <c r="E23" s="32"/>
      <c r="F23" s="4">
        <f>(((5)*100)/G20)/100</f>
        <v>2.336448598130841E-2</v>
      </c>
      <c r="G23" s="4">
        <v>0</v>
      </c>
      <c r="H23" s="4">
        <f>(((1)*100)/G20)/100</f>
        <v>4.6728971962616819E-3</v>
      </c>
      <c r="I23" s="4">
        <f>(((2)*100)/G20)/100</f>
        <v>9.3457943925233638E-3</v>
      </c>
      <c r="J23" s="4">
        <f>(((3)*100)/G20)/100</f>
        <v>1.4018691588785047E-2</v>
      </c>
    </row>
    <row r="24" spans="1:10">
      <c r="A24" s="39"/>
      <c r="B24" s="1" t="str">
        <f>F21</f>
        <v>vehic wind float</v>
      </c>
      <c r="C24" s="4">
        <f>(((8)*100)/G20)/100</f>
        <v>3.7383177570093455E-2</v>
      </c>
      <c r="D24" s="31">
        <f>(((2)*100)/G20)/100</f>
        <v>9.3457943925233638E-3</v>
      </c>
      <c r="E24" s="31"/>
      <c r="F24" s="13">
        <f>(((7)*100)/G20)/100</f>
        <v>3.2710280373831779E-2</v>
      </c>
      <c r="G24" s="4">
        <v>0</v>
      </c>
      <c r="H24" s="4">
        <v>0</v>
      </c>
      <c r="I24" s="4">
        <v>0</v>
      </c>
      <c r="J24" s="4">
        <v>0</v>
      </c>
    </row>
    <row r="25" spans="1:10">
      <c r="A25" s="39"/>
      <c r="B25" s="1" t="str">
        <f>G21</f>
        <v>vehic wind non-float</v>
      </c>
      <c r="C25" s="4">
        <v>0</v>
      </c>
      <c r="D25" s="31">
        <v>0</v>
      </c>
      <c r="E25" s="31"/>
      <c r="F25" s="4">
        <v>0</v>
      </c>
      <c r="G25" s="13">
        <v>0</v>
      </c>
      <c r="H25" s="4">
        <v>0</v>
      </c>
      <c r="I25" s="4">
        <v>0</v>
      </c>
      <c r="J25" s="4">
        <v>0</v>
      </c>
    </row>
    <row r="26" spans="1:10">
      <c r="A26" s="39"/>
      <c r="B26" s="1" t="str">
        <f>H21</f>
        <v>containers</v>
      </c>
      <c r="C26" s="4">
        <v>0</v>
      </c>
      <c r="D26" s="31">
        <f>(((6)*100)/G20)/100</f>
        <v>2.8037383177570093E-2</v>
      </c>
      <c r="E26" s="31"/>
      <c r="F26" s="4">
        <v>0</v>
      </c>
      <c r="G26" s="4">
        <v>0</v>
      </c>
      <c r="H26" s="13">
        <f>(((4)*100)/G20)/100</f>
        <v>1.8691588785046728E-2</v>
      </c>
      <c r="I26" s="4">
        <v>0</v>
      </c>
      <c r="J26" s="4">
        <f>(((3)*100)/G20)/100</f>
        <v>1.4018691588785047E-2</v>
      </c>
    </row>
    <row r="27" spans="1:10">
      <c r="A27" s="39"/>
      <c r="B27" s="1" t="str">
        <f>I21</f>
        <v>tableware</v>
      </c>
      <c r="C27" s="4">
        <f>(((1)*100)/G20)/100</f>
        <v>4.6728971962616819E-3</v>
      </c>
      <c r="D27" s="31">
        <v>0</v>
      </c>
      <c r="E27" s="31"/>
      <c r="F27" s="4">
        <v>0</v>
      </c>
      <c r="G27" s="4">
        <v>0</v>
      </c>
      <c r="H27" s="4">
        <f>(((1)*100)/G20)/100</f>
        <v>4.6728971962616819E-3</v>
      </c>
      <c r="I27" s="13">
        <f>(((7)*100)/G20)/100</f>
        <v>3.2710280373831779E-2</v>
      </c>
      <c r="J27" s="4">
        <v>0</v>
      </c>
    </row>
    <row r="28" spans="1:10">
      <c r="A28" s="39"/>
      <c r="B28" s="1" t="str">
        <f>J21</f>
        <v>headlamps</v>
      </c>
      <c r="C28" s="4">
        <f>(((1)*100)/G20)/100</f>
        <v>4.6728971962616819E-3</v>
      </c>
      <c r="D28" s="31">
        <f>(((1)*100)/G20)/100</f>
        <v>4.6728971962616819E-3</v>
      </c>
      <c r="E28" s="31"/>
      <c r="F28" s="4">
        <f>(((1)*100)/G20)/100</f>
        <v>4.6728971962616819E-3</v>
      </c>
      <c r="G28" s="4">
        <v>0</v>
      </c>
      <c r="H28" s="4">
        <f>(((1)*100)/G20)/100</f>
        <v>4.6728971962616819E-3</v>
      </c>
      <c r="I28" s="4">
        <f>(((1)*100)/G20)/100</f>
        <v>4.6728971962616819E-3</v>
      </c>
      <c r="J28" s="13">
        <f>(((24)*100)/G20)/100</f>
        <v>0.11214953271028037</v>
      </c>
    </row>
    <row r="30" spans="1:10">
      <c r="A30" s="22" t="str">
        <f>A1</f>
        <v>k-folds</v>
      </c>
      <c r="B30" s="5" t="s">
        <v>19</v>
      </c>
      <c r="C30" s="7" t="s">
        <v>20</v>
      </c>
      <c r="D30" s="11" t="s">
        <v>2</v>
      </c>
      <c r="E30" s="2">
        <f>123+32</f>
        <v>155</v>
      </c>
    </row>
    <row r="31" spans="1:10">
      <c r="A31" s="37">
        <v>6</v>
      </c>
      <c r="B31" s="6" t="str">
        <f>B2</f>
        <v>↓ Real      Escolhido →</v>
      </c>
      <c r="C31" s="9" t="s">
        <v>21</v>
      </c>
      <c r="D31" s="30" t="s">
        <v>22</v>
      </c>
      <c r="E31" s="30"/>
    </row>
    <row r="32" spans="1:10">
      <c r="A32" s="37"/>
      <c r="B32" s="1" t="str">
        <f>C31</f>
        <v>DIE</v>
      </c>
      <c r="C32" s="12">
        <f>(((15)*100)/E30)/100</f>
        <v>9.6774193548387094E-2</v>
      </c>
      <c r="D32" s="31">
        <f>(((17)*100)/E30)/100</f>
        <v>0.1096774193548387</v>
      </c>
      <c r="E32" s="31"/>
    </row>
    <row r="33" spans="1:24">
      <c r="A33" s="38"/>
      <c r="B33" s="1" t="str">
        <f>D31</f>
        <v>LIVE</v>
      </c>
      <c r="C33" s="3">
        <f>(((10)*100)/E30)/100</f>
        <v>6.4516129032258063E-2</v>
      </c>
      <c r="D33" s="32">
        <f>(((113)*100)/E30)/100</f>
        <v>0.7290322580645161</v>
      </c>
      <c r="E33" s="32"/>
    </row>
    <row r="35" spans="1:24">
      <c r="A35" s="22" t="str">
        <f>A1</f>
        <v>k-folds</v>
      </c>
      <c r="B35" s="5" t="s">
        <v>23</v>
      </c>
      <c r="C35" s="7" t="s">
        <v>20</v>
      </c>
      <c r="D35" s="11" t="s">
        <v>2</v>
      </c>
      <c r="E35" s="33">
        <f>3481+291</f>
        <v>3772</v>
      </c>
      <c r="F35" s="33"/>
      <c r="G35" s="33"/>
      <c r="H35" s="34"/>
    </row>
    <row r="36" spans="1:24">
      <c r="A36" s="39">
        <v>2</v>
      </c>
      <c r="B36" s="6" t="str">
        <f>B2</f>
        <v>↓ Real      Escolhido →</v>
      </c>
      <c r="C36" s="9" t="s">
        <v>24</v>
      </c>
      <c r="D36" s="30" t="s">
        <v>25</v>
      </c>
      <c r="E36" s="30"/>
      <c r="F36" s="9" t="s">
        <v>26</v>
      </c>
      <c r="G36" s="30" t="s">
        <v>27</v>
      </c>
      <c r="H36" s="30"/>
    </row>
    <row r="37" spans="1:24">
      <c r="A37" s="39"/>
      <c r="B37" s="1" t="str">
        <f>C36</f>
        <v>negative</v>
      </c>
      <c r="C37" s="12">
        <f>(((3475)*100)/E35)/100</f>
        <v>0.92126193001060441</v>
      </c>
      <c r="D37" s="31">
        <f>(((3)*100)/E35)/100</f>
        <v>7.9533404029692473E-4</v>
      </c>
      <c r="E37" s="31"/>
      <c r="F37" s="14">
        <f>(((3)*100)/E35)/100</f>
        <v>7.9533404029692473E-4</v>
      </c>
      <c r="G37" s="31">
        <v>0</v>
      </c>
      <c r="H37" s="31"/>
    </row>
    <row r="38" spans="1:24">
      <c r="A38" s="39"/>
      <c r="B38" s="1" t="str">
        <f>D36</f>
        <v>compensated_hypothyroid</v>
      </c>
      <c r="C38" s="3">
        <v>0</v>
      </c>
      <c r="D38" s="32">
        <f>(((192)*100)/E35)/100</f>
        <v>5.0901378579003183E-2</v>
      </c>
      <c r="E38" s="32"/>
      <c r="F38" s="3">
        <f>(((2)*100)/E35)/100</f>
        <v>5.3022269353128319E-4</v>
      </c>
      <c r="G38" s="36">
        <v>0</v>
      </c>
      <c r="H38" s="36"/>
    </row>
    <row r="39" spans="1:24">
      <c r="A39" s="39"/>
      <c r="B39" s="1" t="str">
        <f>F36</f>
        <v>primary_hypothyroid</v>
      </c>
      <c r="C39" s="14">
        <f>(((1)*100)/E35)/100</f>
        <v>2.651113467656416E-4</v>
      </c>
      <c r="D39" s="31">
        <f>(((9)*100)/E35)/100</f>
        <v>2.3860021208907743E-3</v>
      </c>
      <c r="E39" s="31"/>
      <c r="F39" s="12">
        <f>(((85)*100)/E35)/100</f>
        <v>2.2534464475079532E-2</v>
      </c>
      <c r="G39" s="31">
        <v>0</v>
      </c>
      <c r="H39" s="31"/>
    </row>
    <row r="40" spans="1:24">
      <c r="A40" s="39"/>
      <c r="B40" s="1" t="str">
        <f>G36</f>
        <v>secondary_hypothyroid</v>
      </c>
      <c r="C40" s="3">
        <f>(((2)*100)/E35)/100</f>
        <v>5.3022269353128319E-4</v>
      </c>
      <c r="D40" s="36">
        <v>0</v>
      </c>
      <c r="E40" s="36"/>
      <c r="F40" s="3">
        <v>0</v>
      </c>
      <c r="G40" s="32">
        <v>0</v>
      </c>
      <c r="H40" s="32"/>
    </row>
    <row r="42" spans="1:24">
      <c r="A42" s="22" t="str">
        <f>A1</f>
        <v>k-folds</v>
      </c>
      <c r="B42" s="5" t="s">
        <v>28</v>
      </c>
      <c r="C42" s="7" t="s">
        <v>6</v>
      </c>
      <c r="D42" s="11" t="s">
        <v>2</v>
      </c>
      <c r="E42" s="33">
        <f>50+100</f>
        <v>150</v>
      </c>
      <c r="F42" s="34"/>
    </row>
    <row r="43" spans="1:24">
      <c r="A43" s="39">
        <v>3</v>
      </c>
      <c r="B43" s="6" t="str">
        <f>B2</f>
        <v>↓ Real      Escolhido →</v>
      </c>
      <c r="C43" s="9" t="s">
        <v>29</v>
      </c>
      <c r="D43" s="30" t="s">
        <v>30</v>
      </c>
      <c r="E43" s="30"/>
      <c r="F43" s="9" t="s">
        <v>31</v>
      </c>
    </row>
    <row r="44" spans="1:24">
      <c r="A44" s="39"/>
      <c r="B44" s="1" t="str">
        <f>C43</f>
        <v>Iris-setosa</v>
      </c>
      <c r="C44" s="12">
        <f>(((48)*100)/E42)/100</f>
        <v>0.32</v>
      </c>
      <c r="D44" s="31">
        <f>(((2)*100)/E42)/100</f>
        <v>1.3333333333333332E-2</v>
      </c>
      <c r="E44" s="31"/>
      <c r="F44" s="14">
        <v>0</v>
      </c>
    </row>
    <row r="45" spans="1:24">
      <c r="A45" s="39"/>
      <c r="B45" s="1" t="str">
        <f>D43</f>
        <v>Iris-versicolor</v>
      </c>
      <c r="C45" s="3">
        <v>0</v>
      </c>
      <c r="D45" s="32">
        <f>(((45)*100)/E42)/100</f>
        <v>0.3</v>
      </c>
      <c r="E45" s="32"/>
      <c r="F45" s="3">
        <f>(((5)*100)/E42)/100</f>
        <v>3.3333333333333333E-2</v>
      </c>
    </row>
    <row r="46" spans="1:24">
      <c r="A46" s="39"/>
      <c r="B46" s="1" t="str">
        <f>F43</f>
        <v>Iris-virginica</v>
      </c>
      <c r="C46" s="14">
        <v>0</v>
      </c>
      <c r="D46" s="31">
        <f>(((3)*100)/E42)/100</f>
        <v>0.02</v>
      </c>
      <c r="E46" s="31"/>
      <c r="F46" s="12">
        <f>(((47)*100)/E42)/100</f>
        <v>0.3133333333333333</v>
      </c>
    </row>
    <row r="48" spans="1:24">
      <c r="A48" s="22" t="str">
        <f>A1</f>
        <v>k-folds</v>
      </c>
      <c r="B48" s="5" t="s">
        <v>32</v>
      </c>
      <c r="C48" s="7" t="s">
        <v>11</v>
      </c>
      <c r="D48" s="35" t="s">
        <v>2</v>
      </c>
      <c r="E48" s="35"/>
      <c r="F48" s="35"/>
      <c r="G48" s="33">
        <f>255+84</f>
        <v>339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</row>
    <row r="49" spans="1:24">
      <c r="A49" s="39">
        <v>5</v>
      </c>
      <c r="B49" s="10" t="str">
        <f>B2</f>
        <v>↓ Real      Escolhido →</v>
      </c>
      <c r="C49" s="16" t="s">
        <v>33</v>
      </c>
      <c r="D49" s="25" t="s">
        <v>34</v>
      </c>
      <c r="E49" s="17" t="s">
        <v>35</v>
      </c>
      <c r="F49" s="17" t="s">
        <v>36</v>
      </c>
      <c r="G49" s="17" t="s">
        <v>37</v>
      </c>
      <c r="H49" s="17" t="s">
        <v>38</v>
      </c>
      <c r="I49" s="17" t="s">
        <v>39</v>
      </c>
      <c r="J49" s="17" t="s">
        <v>40</v>
      </c>
      <c r="K49" s="17" t="s">
        <v>41</v>
      </c>
      <c r="L49" s="17" t="s">
        <v>42</v>
      </c>
      <c r="M49" s="17" t="s">
        <v>43</v>
      </c>
      <c r="N49" s="17" t="s">
        <v>44</v>
      </c>
      <c r="O49" s="17" t="s">
        <v>45</v>
      </c>
      <c r="P49" s="17" t="s">
        <v>46</v>
      </c>
      <c r="Q49" s="18" t="s">
        <v>47</v>
      </c>
      <c r="R49" s="18" t="s">
        <v>48</v>
      </c>
      <c r="S49" s="18" t="s">
        <v>49</v>
      </c>
      <c r="T49" s="18" t="s">
        <v>50</v>
      </c>
      <c r="U49" s="18" t="s">
        <v>51</v>
      </c>
      <c r="V49" s="18" t="s">
        <v>52</v>
      </c>
      <c r="W49" s="18" t="s">
        <v>53</v>
      </c>
      <c r="X49" s="18" t="s">
        <v>54</v>
      </c>
    </row>
    <row r="50" spans="1:24">
      <c r="A50" s="39"/>
      <c r="B50" s="1" t="str">
        <f>C49</f>
        <v>lung</v>
      </c>
      <c r="C50" s="12">
        <f>(((Dados!A30)*100)/$G$48)/100</f>
        <v>0.16519174041297935</v>
      </c>
      <c r="D50" s="15">
        <f>(((Dados!B30)*100)/$G$48)/100</f>
        <v>1.1799410029498525E-2</v>
      </c>
      <c r="E50" s="15">
        <f>(((Dados!C30)*100)/$G$48)/100</f>
        <v>2.9498525073746312E-3</v>
      </c>
      <c r="F50" s="15">
        <f>(((Dados!D30)*100)/$G$48)/100</f>
        <v>8.8495575221238937E-3</v>
      </c>
      <c r="G50" s="15">
        <f>(((Dados!E30)*100)/$G$48)/100</f>
        <v>1.1799410029498525E-2</v>
      </c>
      <c r="H50" s="15">
        <f>(((Dados!F30)*100)/$G$48)/100</f>
        <v>0</v>
      </c>
      <c r="I50" s="15">
        <f>(((Dados!G30)*100)/$G$48)/100</f>
        <v>5.8997050147492625E-3</v>
      </c>
      <c r="J50" s="15">
        <f>(((Dados!H30)*100)/$G$48)/100</f>
        <v>0</v>
      </c>
      <c r="K50" s="15">
        <f>(((Dados!I30)*100)/$G$48)/100</f>
        <v>0</v>
      </c>
      <c r="L50" s="15">
        <f>(((Dados!J30)*100)/$G$48)/100</f>
        <v>0</v>
      </c>
      <c r="M50" s="15">
        <f>(((Dados!K30)*100)/$G$48)/100</f>
        <v>1.1799410029498525E-2</v>
      </c>
      <c r="N50" s="15">
        <f>(((Dados!L30)*100)/$G$48)/100</f>
        <v>2.9498525073746312E-3</v>
      </c>
      <c r="O50" s="15">
        <f>(((Dados!M30)*100)/$G$48)/100</f>
        <v>0</v>
      </c>
      <c r="P50" s="15">
        <f>(((Dados!N30)*100)/$G$48)/100</f>
        <v>1.4749262536873156E-2</v>
      </c>
      <c r="Q50" s="15">
        <f>(((Dados!O30)*100)/$G$48)/100</f>
        <v>0</v>
      </c>
      <c r="R50" s="15">
        <f>(((Dados!P30)*100)/$G$48)/100</f>
        <v>0</v>
      </c>
      <c r="S50" s="15">
        <f>(((Dados!Q30)*100)/$G$48)/100</f>
        <v>2.9498525073746312E-3</v>
      </c>
      <c r="T50" s="15">
        <f>(((Dados!R30)*100)/$G$48)/100</f>
        <v>5.8997050147492625E-3</v>
      </c>
      <c r="U50" s="15">
        <f>(((Dados!S30)*100)/$G$48)/100</f>
        <v>0</v>
      </c>
      <c r="V50" s="15">
        <f>(((Dados!T30)*100)/$G$48)/100</f>
        <v>0</v>
      </c>
      <c r="W50" s="15">
        <f>(((Dados!U30)*100)/$G$48)/100</f>
        <v>0</v>
      </c>
      <c r="X50" s="15">
        <f>(((Dados!V30)*100)/$G$48)/100</f>
        <v>2.9498525073746312E-3</v>
      </c>
    </row>
    <row r="51" spans="1:24">
      <c r="A51" s="39"/>
      <c r="B51" s="1" t="str">
        <f>D49</f>
        <v>head and neck</v>
      </c>
      <c r="C51" s="15">
        <f>(((Dados!A31)*100)/$G$48)/100</f>
        <v>5.8997050147492625E-3</v>
      </c>
      <c r="D51" s="13">
        <f>(((Dados!B31)*100)/$G$48)/100</f>
        <v>5.3097345132743362E-2</v>
      </c>
      <c r="E51" s="15">
        <f>(((Dados!C31)*100)/$G$48)/100</f>
        <v>0</v>
      </c>
      <c r="F51" s="15">
        <f>(((Dados!D31)*100)/$G$48)/100</f>
        <v>0</v>
      </c>
      <c r="G51" s="15">
        <f>(((Dados!E31)*100)/$G$48)/100</f>
        <v>0</v>
      </c>
      <c r="H51" s="15">
        <f>(((Dados!F31)*100)/$G$48)/100</f>
        <v>0</v>
      </c>
      <c r="I51" s="15">
        <f>(((Dados!G31)*100)/$G$48)/100</f>
        <v>0</v>
      </c>
      <c r="J51" s="15">
        <f>(((Dados!H31)*100)/$G$48)/100</f>
        <v>0</v>
      </c>
      <c r="K51" s="15">
        <f>(((Dados!I31)*100)/$G$48)/100</f>
        <v>0</v>
      </c>
      <c r="L51" s="15">
        <f>(((Dados!J31)*100)/$G$48)/100</f>
        <v>0</v>
      </c>
      <c r="M51" s="15">
        <f>(((Dados!K31)*100)/$G$48)/100</f>
        <v>0</v>
      </c>
      <c r="N51" s="15">
        <f>(((Dados!L31)*100)/$G$48)/100</f>
        <v>0</v>
      </c>
      <c r="O51" s="15">
        <f>(((Dados!M31)*100)/$G$48)/100</f>
        <v>0</v>
      </c>
      <c r="P51" s="15">
        <f>(((Dados!N31)*100)/$G$48)/100</f>
        <v>0</v>
      </c>
      <c r="Q51" s="15">
        <f>(((Dados!O31)*100)/$G$48)/100</f>
        <v>0</v>
      </c>
      <c r="R51" s="15">
        <f>(((Dados!P31)*100)/$G$48)/100</f>
        <v>0</v>
      </c>
      <c r="S51" s="15">
        <f>(((Dados!Q31)*100)/$G$48)/100</f>
        <v>0</v>
      </c>
      <c r="T51" s="15">
        <f>(((Dados!R31)*100)/$G$48)/100</f>
        <v>0</v>
      </c>
      <c r="U51" s="15">
        <f>(((Dados!S31)*100)/$G$48)/100</f>
        <v>0</v>
      </c>
      <c r="V51" s="15">
        <f>(((Dados!T31)*100)/$G$48)/100</f>
        <v>0</v>
      </c>
      <c r="W51" s="15">
        <f>(((Dados!U31)*100)/$G$48)/100</f>
        <v>0</v>
      </c>
      <c r="X51" s="15">
        <f>(((Dados!V31)*100)/$G$48)/100</f>
        <v>0</v>
      </c>
    </row>
    <row r="52" spans="1:24">
      <c r="A52" s="39"/>
      <c r="B52" s="1" t="str">
        <f>E49</f>
        <v>esophagus</v>
      </c>
      <c r="C52" s="15">
        <f>(((Dados!A32)*100)/$G$48)/100</f>
        <v>1.4749262536873156E-2</v>
      </c>
      <c r="D52" s="15">
        <f>(((Dados!B32)*100)/$G$48)/100</f>
        <v>2.9498525073746312E-3</v>
      </c>
      <c r="E52" s="13">
        <f>(((Dados!C32)*100)/$G$48)/100</f>
        <v>0</v>
      </c>
      <c r="F52" s="15">
        <f>(((Dados!D32)*100)/$G$48)/100</f>
        <v>0</v>
      </c>
      <c r="G52" s="15">
        <f>(((Dados!E32)*100)/$G$48)/100</f>
        <v>0</v>
      </c>
      <c r="H52" s="15">
        <f>(((Dados!F32)*100)/$G$48)/100</f>
        <v>0</v>
      </c>
      <c r="I52" s="15">
        <f>(((Dados!G32)*100)/$G$48)/100</f>
        <v>0</v>
      </c>
      <c r="J52" s="15">
        <f>(((Dados!H32)*100)/$G$48)/100</f>
        <v>0</v>
      </c>
      <c r="K52" s="15">
        <f>(((Dados!I32)*100)/$G$48)/100</f>
        <v>0</v>
      </c>
      <c r="L52" s="15">
        <f>(((Dados!J32)*100)/$G$48)/100</f>
        <v>0</v>
      </c>
      <c r="M52" s="15">
        <f>(((Dados!K32)*100)/$G$48)/100</f>
        <v>5.8997050147492625E-3</v>
      </c>
      <c r="N52" s="15">
        <f>(((Dados!L32)*100)/$G$48)/100</f>
        <v>0</v>
      </c>
      <c r="O52" s="15">
        <f>(((Dados!M32)*100)/$G$48)/100</f>
        <v>0</v>
      </c>
      <c r="P52" s="15">
        <f>(((Dados!N32)*100)/$G$48)/100</f>
        <v>0</v>
      </c>
      <c r="Q52" s="15">
        <f>(((Dados!O32)*100)/$G$48)/100</f>
        <v>0</v>
      </c>
      <c r="R52" s="15">
        <f>(((Dados!P32)*100)/$G$48)/100</f>
        <v>0</v>
      </c>
      <c r="S52" s="15">
        <f>(((Dados!Q32)*100)/$G$48)/100</f>
        <v>0</v>
      </c>
      <c r="T52" s="15">
        <f>(((Dados!R32)*100)/$G$48)/100</f>
        <v>0</v>
      </c>
      <c r="U52" s="15">
        <f>(((Dados!S32)*100)/$G$48)/100</f>
        <v>0</v>
      </c>
      <c r="V52" s="15">
        <f>(((Dados!T32)*100)/$G$48)/100</f>
        <v>0</v>
      </c>
      <c r="W52" s="15">
        <f>(((Dados!U32)*100)/$G$48)/100</f>
        <v>0</v>
      </c>
      <c r="X52" s="15">
        <f>(((Dados!V32)*100)/$G$48)/100</f>
        <v>2.9498525073746312E-3</v>
      </c>
    </row>
    <row r="53" spans="1:24">
      <c r="A53" s="39"/>
      <c r="B53" s="1" t="str">
        <f>F49</f>
        <v>thyroid</v>
      </c>
      <c r="C53" s="15">
        <f>(((Dados!A33)*100)/$G$48)/100</f>
        <v>2.0648967551622419E-2</v>
      </c>
      <c r="D53" s="15">
        <f>(((Dados!B33)*100)/$G$48)/100</f>
        <v>0</v>
      </c>
      <c r="E53" s="15">
        <f>(((Dados!C33)*100)/$G$48)/100</f>
        <v>0</v>
      </c>
      <c r="F53" s="13">
        <f>(((Dados!D33)*100)/$G$48)/100</f>
        <v>8.8495575221238937E-3</v>
      </c>
      <c r="G53" s="15">
        <f>(((Dados!E33)*100)/$G$48)/100</f>
        <v>0</v>
      </c>
      <c r="H53" s="15">
        <f>(((Dados!F33)*100)/$G$48)/100</f>
        <v>0</v>
      </c>
      <c r="I53" s="15">
        <f>(((Dados!G33)*100)/$G$48)/100</f>
        <v>0</v>
      </c>
      <c r="J53" s="15">
        <f>(((Dados!H33)*100)/$G$48)/100</f>
        <v>0</v>
      </c>
      <c r="K53" s="15">
        <f>(((Dados!I33)*100)/$G$48)/100</f>
        <v>0</v>
      </c>
      <c r="L53" s="15">
        <f>(((Dados!J33)*100)/$G$48)/100</f>
        <v>0</v>
      </c>
      <c r="M53" s="15">
        <f>(((Dados!K33)*100)/$G$48)/100</f>
        <v>0</v>
      </c>
      <c r="N53" s="15">
        <f>(((Dados!L33)*100)/$G$48)/100</f>
        <v>0</v>
      </c>
      <c r="O53" s="15">
        <f>(((Dados!M33)*100)/$G$48)/100</f>
        <v>0</v>
      </c>
      <c r="P53" s="15">
        <f>(((Dados!N33)*100)/$G$48)/100</f>
        <v>8.8495575221238937E-3</v>
      </c>
      <c r="Q53" s="15">
        <f>(((Dados!O33)*100)/$G$48)/100</f>
        <v>0</v>
      </c>
      <c r="R53" s="15">
        <f>(((Dados!P33)*100)/$G$48)/100</f>
        <v>0</v>
      </c>
      <c r="S53" s="15">
        <f>(((Dados!Q33)*100)/$G$48)/100</f>
        <v>0</v>
      </c>
      <c r="T53" s="15">
        <f>(((Dados!R33)*100)/$G$48)/100</f>
        <v>0</v>
      </c>
      <c r="U53" s="15">
        <f>(((Dados!S33)*100)/$G$48)/100</f>
        <v>0</v>
      </c>
      <c r="V53" s="15">
        <f>(((Dados!T33)*100)/$G$48)/100</f>
        <v>0</v>
      </c>
      <c r="W53" s="15">
        <f>(((Dados!U33)*100)/$G$48)/100</f>
        <v>0</v>
      </c>
      <c r="X53" s="15">
        <f>(((Dados!V33)*100)/$G$48)/100</f>
        <v>2.9498525073746312E-3</v>
      </c>
    </row>
    <row r="54" spans="1:24">
      <c r="A54" s="39"/>
      <c r="B54" s="1" t="str">
        <f>G49</f>
        <v>stomach</v>
      </c>
      <c r="C54" s="15">
        <f>(((Dados!A34)*100)/$G$48)/100</f>
        <v>2.9498525073746312E-2</v>
      </c>
      <c r="D54" s="15">
        <f>(((Dados!B34)*100)/$G$48)/100</f>
        <v>0</v>
      </c>
      <c r="E54" s="15">
        <f>(((Dados!C34)*100)/$G$48)/100</f>
        <v>2.9498525073746312E-3</v>
      </c>
      <c r="F54" s="15">
        <f>(((Dados!D34)*100)/$G$48)/100</f>
        <v>5.8997050147492625E-3</v>
      </c>
      <c r="G54" s="13">
        <f>(((Dados!E34)*100)/$G$48)/100</f>
        <v>5.8997050147492625E-3</v>
      </c>
      <c r="H54" s="15">
        <f>(((Dados!F34)*100)/$G$48)/100</f>
        <v>0</v>
      </c>
      <c r="I54" s="15">
        <f>(((Dados!G34)*100)/$G$48)/100</f>
        <v>0</v>
      </c>
      <c r="J54" s="15">
        <f>(((Dados!H34)*100)/$G$48)/100</f>
        <v>2.9498525073746312E-3</v>
      </c>
      <c r="K54" s="15">
        <f>(((Dados!I34)*100)/$G$48)/100</f>
        <v>0</v>
      </c>
      <c r="L54" s="15">
        <f>(((Dados!J34)*100)/$G$48)/100</f>
        <v>0</v>
      </c>
      <c r="M54" s="15">
        <f>(((Dados!K34)*100)/$G$48)/100</f>
        <v>1.4749262536873156E-2</v>
      </c>
      <c r="N54" s="15">
        <f>(((Dados!L34)*100)/$G$48)/100</f>
        <v>1.4749262536873156E-2</v>
      </c>
      <c r="O54" s="15">
        <f>(((Dados!M34)*100)/$G$48)/100</f>
        <v>0</v>
      </c>
      <c r="P54" s="15">
        <f>(((Dados!N34)*100)/$G$48)/100</f>
        <v>1.1799410029498525E-2</v>
      </c>
      <c r="Q54" s="15">
        <f>(((Dados!O34)*100)/$G$48)/100</f>
        <v>0</v>
      </c>
      <c r="R54" s="15">
        <f>(((Dados!P34)*100)/$G$48)/100</f>
        <v>0</v>
      </c>
      <c r="S54" s="15">
        <f>(((Dados!Q34)*100)/$G$48)/100</f>
        <v>0</v>
      </c>
      <c r="T54" s="15">
        <f>(((Dados!R34)*100)/$G$48)/100</f>
        <v>1.7699115044247787E-2</v>
      </c>
      <c r="U54" s="15">
        <f>(((Dados!S34)*100)/$G$48)/100</f>
        <v>0</v>
      </c>
      <c r="V54" s="15">
        <f>(((Dados!T34)*100)/$G$48)/100</f>
        <v>0</v>
      </c>
      <c r="W54" s="15">
        <f>(((Dados!U34)*100)/$G$48)/100</f>
        <v>0</v>
      </c>
      <c r="X54" s="15">
        <f>(((Dados!V34)*100)/$G$48)/100</f>
        <v>8.8495575221238937E-3</v>
      </c>
    </row>
    <row r="55" spans="1:24">
      <c r="A55" s="39"/>
      <c r="B55" s="1" t="str">
        <f>H49</f>
        <v>duoden and sm.int</v>
      </c>
      <c r="C55" s="15">
        <f>(((Dados!A35)*100)/$G$48)/100</f>
        <v>0</v>
      </c>
      <c r="D55" s="15">
        <f>(((Dados!B35)*100)/$G$48)/100</f>
        <v>0</v>
      </c>
      <c r="E55" s="15">
        <f>(((Dados!C35)*100)/$G$48)/100</f>
        <v>0</v>
      </c>
      <c r="F55" s="15">
        <f>(((Dados!D35)*100)/$G$48)/100</f>
        <v>0</v>
      </c>
      <c r="G55" s="15">
        <f>(((Dados!E35)*100)/$G$48)/100</f>
        <v>0</v>
      </c>
      <c r="H55" s="13">
        <f>(((Dados!F35)*100)/$G$48)/100</f>
        <v>0</v>
      </c>
      <c r="I55" s="15">
        <f>(((Dados!G35)*100)/$G$48)/100</f>
        <v>0</v>
      </c>
      <c r="J55" s="15">
        <f>(((Dados!H35)*100)/$G$48)/100</f>
        <v>0</v>
      </c>
      <c r="K55" s="15">
        <f>(((Dados!I35)*100)/$G$48)/100</f>
        <v>0</v>
      </c>
      <c r="L55" s="15">
        <f>(((Dados!J35)*100)/$G$48)/100</f>
        <v>0</v>
      </c>
      <c r="M55" s="15">
        <f>(((Dados!K35)*100)/$G$48)/100</f>
        <v>0</v>
      </c>
      <c r="N55" s="15">
        <f>(((Dados!L35)*100)/$G$48)/100</f>
        <v>2.9498525073746312E-3</v>
      </c>
      <c r="O55" s="15">
        <f>(((Dados!M35)*100)/$G$48)/100</f>
        <v>0</v>
      </c>
      <c r="P55" s="15">
        <f>(((Dados!N35)*100)/$G$48)/100</f>
        <v>0</v>
      </c>
      <c r="Q55" s="15">
        <f>(((Dados!O35)*100)/$G$48)/100</f>
        <v>0</v>
      </c>
      <c r="R55" s="15">
        <f>(((Dados!P35)*100)/$G$48)/100</f>
        <v>0</v>
      </c>
      <c r="S55" s="15">
        <f>(((Dados!Q35)*100)/$G$48)/100</f>
        <v>0</v>
      </c>
      <c r="T55" s="15">
        <f>(((Dados!R35)*100)/$G$48)/100</f>
        <v>0</v>
      </c>
      <c r="U55" s="15">
        <f>(((Dados!S35)*100)/$G$48)/100</f>
        <v>0</v>
      </c>
      <c r="V55" s="15">
        <f>(((Dados!T35)*100)/$G$48)/100</f>
        <v>0</v>
      </c>
      <c r="W55" s="15">
        <f>(((Dados!U35)*100)/$G$48)/100</f>
        <v>0</v>
      </c>
      <c r="X55" s="15">
        <f>(((Dados!V35)*100)/$G$48)/100</f>
        <v>0</v>
      </c>
    </row>
    <row r="56" spans="1:24">
      <c r="A56" s="39"/>
      <c r="B56" s="1" t="str">
        <f>I49</f>
        <v>colon</v>
      </c>
      <c r="C56" s="15">
        <f>(((Dados!A36)*100)/$G$48)/100</f>
        <v>2.9498525073746312E-3</v>
      </c>
      <c r="D56" s="15">
        <f>(((Dados!B36)*100)/$G$48)/100</f>
        <v>0</v>
      </c>
      <c r="E56" s="15">
        <f>(((Dados!C36)*100)/$G$48)/100</f>
        <v>0</v>
      </c>
      <c r="F56" s="15">
        <f>(((Dados!D36)*100)/$G$48)/100</f>
        <v>0</v>
      </c>
      <c r="G56" s="15">
        <f>(((Dados!E36)*100)/$G$48)/100</f>
        <v>1.1799410029498525E-2</v>
      </c>
      <c r="H56" s="15">
        <f>(((Dados!F36)*100)/$G$48)/100</f>
        <v>0</v>
      </c>
      <c r="I56" s="13">
        <f>(((Dados!G36)*100)/$G$48)/100</f>
        <v>2.9498525073746312E-3</v>
      </c>
      <c r="J56" s="15">
        <f>(((Dados!H36)*100)/$G$48)/100</f>
        <v>0</v>
      </c>
      <c r="K56" s="15">
        <f>(((Dados!I36)*100)/$G$48)/100</f>
        <v>0</v>
      </c>
      <c r="L56" s="15">
        <f>(((Dados!J36)*100)/$G$48)/100</f>
        <v>0</v>
      </c>
      <c r="M56" s="15">
        <f>(((Dados!K36)*100)/$G$48)/100</f>
        <v>2.9498525073746312E-3</v>
      </c>
      <c r="N56" s="15">
        <f>(((Dados!L36)*100)/$G$48)/100</f>
        <v>8.8495575221238937E-3</v>
      </c>
      <c r="O56" s="15">
        <f>(((Dados!M36)*100)/$G$48)/100</f>
        <v>2.9498525073746312E-3</v>
      </c>
      <c r="P56" s="15">
        <f>(((Dados!N36)*100)/$G$48)/100</f>
        <v>2.9498525073746312E-3</v>
      </c>
      <c r="Q56" s="15">
        <f>(((Dados!O36)*100)/$G$48)/100</f>
        <v>0</v>
      </c>
      <c r="R56" s="15">
        <f>(((Dados!P36)*100)/$G$48)/100</f>
        <v>0</v>
      </c>
      <c r="S56" s="15">
        <f>(((Dados!Q36)*100)/$G$48)/100</f>
        <v>0</v>
      </c>
      <c r="T56" s="15">
        <f>(((Dados!R36)*100)/$G$48)/100</f>
        <v>5.8997050147492625E-3</v>
      </c>
      <c r="U56" s="15">
        <f>(((Dados!S36)*100)/$G$48)/100</f>
        <v>0</v>
      </c>
      <c r="V56" s="15">
        <f>(((Dados!T36)*100)/$G$48)/100</f>
        <v>0</v>
      </c>
      <c r="W56" s="15">
        <f>(((Dados!U36)*100)/$G$48)/100</f>
        <v>0</v>
      </c>
      <c r="X56" s="15">
        <f>(((Dados!V36)*100)/$G$48)/100</f>
        <v>0</v>
      </c>
    </row>
    <row r="57" spans="1:24">
      <c r="A57" s="39"/>
      <c r="B57" s="1" t="str">
        <f>J49</f>
        <v>rectum</v>
      </c>
      <c r="C57" s="15">
        <f>(((Dados!A37)*100)/$G$48)/100</f>
        <v>0</v>
      </c>
      <c r="D57" s="15">
        <f>(((Dados!B37)*100)/$G$48)/100</f>
        <v>2.9498525073746312E-3</v>
      </c>
      <c r="E57" s="15">
        <f>(((Dados!C37)*100)/$G$48)/100</f>
        <v>0</v>
      </c>
      <c r="F57" s="15">
        <f>(((Dados!D37)*100)/$G$48)/100</f>
        <v>0</v>
      </c>
      <c r="G57" s="15">
        <f>(((Dados!E37)*100)/$G$48)/100</f>
        <v>5.8997050147492625E-3</v>
      </c>
      <c r="H57" s="15">
        <f>(((Dados!F37)*100)/$G$48)/100</f>
        <v>0</v>
      </c>
      <c r="I57" s="15">
        <f>(((Dados!G37)*100)/$G$48)/100</f>
        <v>0</v>
      </c>
      <c r="J57" s="13">
        <f>(((Dados!H37)*100)/$G$48)/100</f>
        <v>0</v>
      </c>
      <c r="K57" s="15">
        <f>(((Dados!I37)*100)/$G$48)/100</f>
        <v>0</v>
      </c>
      <c r="L57" s="15">
        <f>(((Dados!J37)*100)/$G$48)/100</f>
        <v>0</v>
      </c>
      <c r="M57" s="15">
        <f>(((Dados!K37)*100)/$G$48)/100</f>
        <v>2.9498525073746312E-3</v>
      </c>
      <c r="N57" s="15">
        <f>(((Dados!L37)*100)/$G$48)/100</f>
        <v>2.9498525073746312E-3</v>
      </c>
      <c r="O57" s="15">
        <f>(((Dados!M37)*100)/$G$48)/100</f>
        <v>0</v>
      </c>
      <c r="P57" s="15">
        <f>(((Dados!N37)*100)/$G$48)/100</f>
        <v>0</v>
      </c>
      <c r="Q57" s="15">
        <f>(((Dados!O37)*100)/$G$48)/100</f>
        <v>0</v>
      </c>
      <c r="R57" s="15">
        <f>(((Dados!P37)*100)/$G$48)/100</f>
        <v>0</v>
      </c>
      <c r="S57" s="15">
        <f>(((Dados!Q37)*100)/$G$48)/100</f>
        <v>0</v>
      </c>
      <c r="T57" s="15">
        <f>(((Dados!R37)*100)/$G$48)/100</f>
        <v>2.9498525073746312E-3</v>
      </c>
      <c r="U57" s="15">
        <f>(((Dados!S37)*100)/$G$48)/100</f>
        <v>0</v>
      </c>
      <c r="V57" s="15">
        <f>(((Dados!T37)*100)/$G$48)/100</f>
        <v>0</v>
      </c>
      <c r="W57" s="15">
        <f>(((Dados!U37)*100)/$G$48)/100</f>
        <v>0</v>
      </c>
      <c r="X57" s="15">
        <f>(((Dados!V37)*100)/$G$48)/100</f>
        <v>0</v>
      </c>
    </row>
    <row r="58" spans="1:24">
      <c r="A58" s="39"/>
      <c r="B58" s="1" t="str">
        <f>K49</f>
        <v>anus</v>
      </c>
      <c r="C58" s="15">
        <f>(((Dados!A38)*100)/$G$48)/100</f>
        <v>0</v>
      </c>
      <c r="D58" s="15">
        <f>(((Dados!B38)*100)/$G$48)/100</f>
        <v>0</v>
      </c>
      <c r="E58" s="15">
        <f>(((Dados!C38)*100)/$G$48)/100</f>
        <v>0</v>
      </c>
      <c r="F58" s="15">
        <f>(((Dados!D38)*100)/$G$48)/100</f>
        <v>0</v>
      </c>
      <c r="G58" s="15">
        <f>(((Dados!E38)*100)/$G$48)/100</f>
        <v>0</v>
      </c>
      <c r="H58" s="15">
        <f>(((Dados!F38)*100)/$G$48)/100</f>
        <v>0</v>
      </c>
      <c r="I58" s="15">
        <f>(((Dados!G38)*100)/$G$48)/100</f>
        <v>0</v>
      </c>
      <c r="J58" s="15">
        <f>(((Dados!H38)*100)/$G$48)/100</f>
        <v>0</v>
      </c>
      <c r="K58" s="13">
        <f>(((Dados!I38)*100)/$G$48)/100</f>
        <v>0</v>
      </c>
      <c r="L58" s="15">
        <f>(((Dados!J38)*100)/$G$48)/100</f>
        <v>0</v>
      </c>
      <c r="M58" s="15">
        <f>(((Dados!K38)*100)/$G$48)/100</f>
        <v>0</v>
      </c>
      <c r="N58" s="15">
        <f>(((Dados!L38)*100)/$G$48)/100</f>
        <v>0</v>
      </c>
      <c r="O58" s="15">
        <f>(((Dados!M38)*100)/$G$48)/100</f>
        <v>0</v>
      </c>
      <c r="P58" s="15">
        <f>(((Dados!N38)*100)/$G$48)/100</f>
        <v>0</v>
      </c>
      <c r="Q58" s="15">
        <f>(((Dados!O38)*100)/$G$48)/100</f>
        <v>0</v>
      </c>
      <c r="R58" s="15">
        <f>(((Dados!P38)*100)/$G$48)/100</f>
        <v>0</v>
      </c>
      <c r="S58" s="15">
        <f>(((Dados!Q38)*100)/$G$48)/100</f>
        <v>0</v>
      </c>
      <c r="T58" s="15">
        <f>(((Dados!R38)*100)/$G$48)/100</f>
        <v>0</v>
      </c>
      <c r="U58" s="15">
        <f>(((Dados!S38)*100)/$G$48)/100</f>
        <v>0</v>
      </c>
      <c r="V58" s="15">
        <f>(((Dados!T38)*100)/$G$48)/100</f>
        <v>0</v>
      </c>
      <c r="W58" s="15">
        <f>(((Dados!U38)*100)/$G$48)/100</f>
        <v>0</v>
      </c>
      <c r="X58" s="15">
        <f>(((Dados!V38)*100)/$G$48)/100</f>
        <v>0</v>
      </c>
    </row>
    <row r="59" spans="1:24">
      <c r="A59" s="39"/>
      <c r="B59" s="1" t="str">
        <f>L49</f>
        <v>salivary glands</v>
      </c>
      <c r="C59" s="15">
        <f>(((Dados!A39)*100)/$G$48)/100</f>
        <v>2.9498525073746312E-3</v>
      </c>
      <c r="D59" s="15">
        <f>(((Dados!B39)*100)/$G$48)/100</f>
        <v>2.9498525073746312E-3</v>
      </c>
      <c r="E59" s="15">
        <f>(((Dados!C39)*100)/$G$48)/100</f>
        <v>0</v>
      </c>
      <c r="F59" s="15">
        <f>(((Dados!D39)*100)/$G$48)/100</f>
        <v>0</v>
      </c>
      <c r="G59" s="15">
        <f>(((Dados!E39)*100)/$G$48)/100</f>
        <v>0</v>
      </c>
      <c r="H59" s="15">
        <f>(((Dados!F39)*100)/$G$48)/100</f>
        <v>0</v>
      </c>
      <c r="I59" s="15">
        <f>(((Dados!G39)*100)/$G$48)/100</f>
        <v>0</v>
      </c>
      <c r="J59" s="15">
        <f>(((Dados!H39)*100)/$G$48)/100</f>
        <v>0</v>
      </c>
      <c r="K59" s="15">
        <f>(((Dados!I39)*100)/$G$48)/100</f>
        <v>0</v>
      </c>
      <c r="L59" s="13">
        <f>(((Dados!J39)*100)/$G$48)/100</f>
        <v>0</v>
      </c>
      <c r="M59" s="15">
        <f>(((Dados!K39)*100)/$G$48)/100</f>
        <v>0</v>
      </c>
      <c r="N59" s="15">
        <f>(((Dados!L39)*100)/$G$48)/100</f>
        <v>0</v>
      </c>
      <c r="O59" s="15">
        <f>(((Dados!M39)*100)/$G$48)/100</f>
        <v>0</v>
      </c>
      <c r="P59" s="15">
        <f>(((Dados!N39)*100)/$G$48)/100</f>
        <v>0</v>
      </c>
      <c r="Q59" s="15">
        <f>(((Dados!O39)*100)/$G$48)/100</f>
        <v>0</v>
      </c>
      <c r="R59" s="15">
        <f>(((Dados!P39)*100)/$G$48)/100</f>
        <v>0</v>
      </c>
      <c r="S59" s="15">
        <f>(((Dados!Q39)*100)/$G$48)/100</f>
        <v>0</v>
      </c>
      <c r="T59" s="15">
        <f>(((Dados!R39)*100)/$G$48)/100</f>
        <v>0</v>
      </c>
      <c r="U59" s="15">
        <f>(((Dados!S39)*100)/$G$48)/100</f>
        <v>0</v>
      </c>
      <c r="V59" s="15">
        <f>(((Dados!T39)*100)/$G$48)/100</f>
        <v>0</v>
      </c>
      <c r="W59" s="15">
        <f>(((Dados!U39)*100)/$G$48)/100</f>
        <v>0</v>
      </c>
      <c r="X59" s="15">
        <f>(((Dados!V39)*100)/$G$48)/100</f>
        <v>0</v>
      </c>
    </row>
    <row r="60" spans="1:24">
      <c r="A60" s="39"/>
      <c r="B60" s="1" t="str">
        <f>M49</f>
        <v>pancreas</v>
      </c>
      <c r="C60" s="15">
        <f>(((Dados!A40)*100)/$G$48)/100</f>
        <v>1.4749262536873156E-2</v>
      </c>
      <c r="D60" s="15">
        <f>(((Dados!B40)*100)/$G$48)/100</f>
        <v>0</v>
      </c>
      <c r="E60" s="15">
        <f>(((Dados!C40)*100)/$G$48)/100</f>
        <v>0</v>
      </c>
      <c r="F60" s="15">
        <f>(((Dados!D40)*100)/$G$48)/100</f>
        <v>0</v>
      </c>
      <c r="G60" s="15">
        <f>(((Dados!E40)*100)/$G$48)/100</f>
        <v>1.1799410029498525E-2</v>
      </c>
      <c r="H60" s="15">
        <f>(((Dados!F40)*100)/$G$48)/100</f>
        <v>0</v>
      </c>
      <c r="I60" s="15">
        <f>(((Dados!G40)*100)/$G$48)/100</f>
        <v>8.8495575221238937E-3</v>
      </c>
      <c r="J60" s="15">
        <f>(((Dados!H40)*100)/$G$48)/100</f>
        <v>0</v>
      </c>
      <c r="K60" s="15">
        <f>(((Dados!I40)*100)/$G$48)/100</f>
        <v>0</v>
      </c>
      <c r="L60" s="15">
        <f>(((Dados!J40)*100)/$G$48)/100</f>
        <v>0</v>
      </c>
      <c r="M60" s="13">
        <f>(((Dados!K40)*100)/$G$48)/100</f>
        <v>1.7699115044247787E-2</v>
      </c>
      <c r="N60" s="15">
        <f>(((Dados!L40)*100)/$G$48)/100</f>
        <v>1.1799410029498525E-2</v>
      </c>
      <c r="O60" s="15">
        <f>(((Dados!M40)*100)/$G$48)/100</f>
        <v>0</v>
      </c>
      <c r="P60" s="15">
        <f>(((Dados!N40)*100)/$G$48)/100</f>
        <v>0</v>
      </c>
      <c r="Q60" s="15">
        <f>(((Dados!O40)*100)/$G$48)/100</f>
        <v>0</v>
      </c>
      <c r="R60" s="15">
        <f>(((Dados!P40)*100)/$G$48)/100</f>
        <v>0</v>
      </c>
      <c r="S60" s="15">
        <f>(((Dados!Q40)*100)/$G$48)/100</f>
        <v>0</v>
      </c>
      <c r="T60" s="15">
        <f>(((Dados!R40)*100)/$G$48)/100</f>
        <v>1.7699115044247787E-2</v>
      </c>
      <c r="U60" s="15">
        <f>(((Dados!S40)*100)/$G$48)/100</f>
        <v>0</v>
      </c>
      <c r="V60" s="15">
        <f>(((Dados!T40)*100)/$G$48)/100</f>
        <v>0</v>
      </c>
      <c r="W60" s="15">
        <f>(((Dados!U40)*100)/$G$48)/100</f>
        <v>0</v>
      </c>
      <c r="X60" s="15">
        <f>(((Dados!V40)*100)/$G$48)/100</f>
        <v>0</v>
      </c>
    </row>
    <row r="61" spans="1:24">
      <c r="A61" s="39"/>
      <c r="B61" s="1" t="str">
        <f>N49</f>
        <v>gallbladder</v>
      </c>
      <c r="C61" s="15">
        <f>(((Dados!A41)*100)/$G$48)/100</f>
        <v>8.8495575221238937E-3</v>
      </c>
      <c r="D61" s="15">
        <f>(((Dados!B41)*100)/$G$48)/100</f>
        <v>0</v>
      </c>
      <c r="E61" s="15">
        <f>(((Dados!C41)*100)/$G$48)/100</f>
        <v>0</v>
      </c>
      <c r="F61" s="15">
        <f>(((Dados!D41)*100)/$G$48)/100</f>
        <v>0</v>
      </c>
      <c r="G61" s="15">
        <f>(((Dados!E41)*100)/$G$48)/100</f>
        <v>0</v>
      </c>
      <c r="H61" s="15">
        <f>(((Dados!F41)*100)/$G$48)/100</f>
        <v>0</v>
      </c>
      <c r="I61" s="15">
        <f>(((Dados!G41)*100)/$G$48)/100</f>
        <v>2.9498525073746312E-3</v>
      </c>
      <c r="J61" s="15">
        <f>(((Dados!H41)*100)/$G$48)/100</f>
        <v>0</v>
      </c>
      <c r="K61" s="15">
        <f>(((Dados!I41)*100)/$G$48)/100</f>
        <v>0</v>
      </c>
      <c r="L61" s="15">
        <f>(((Dados!J41)*100)/$G$48)/100</f>
        <v>0</v>
      </c>
      <c r="M61" s="15">
        <f>(((Dados!K41)*100)/$G$48)/100</f>
        <v>2.9498525073746312E-3</v>
      </c>
      <c r="N61" s="13">
        <f>(((Dados!L41)*100)/$G$48)/100</f>
        <v>2.6548672566371681E-2</v>
      </c>
      <c r="O61" s="15">
        <f>(((Dados!M41)*100)/$G$48)/100</f>
        <v>0</v>
      </c>
      <c r="P61" s="15">
        <f>(((Dados!N41)*100)/$G$48)/100</f>
        <v>0</v>
      </c>
      <c r="Q61" s="15">
        <f>(((Dados!O41)*100)/$G$48)/100</f>
        <v>0</v>
      </c>
      <c r="R61" s="15">
        <f>(((Dados!P41)*100)/$G$48)/100</f>
        <v>0</v>
      </c>
      <c r="S61" s="15">
        <f>(((Dados!Q41)*100)/$G$48)/100</f>
        <v>0</v>
      </c>
      <c r="T61" s="15">
        <f>(((Dados!R41)*100)/$G$48)/100</f>
        <v>5.8997050147492625E-3</v>
      </c>
      <c r="U61" s="15">
        <f>(((Dados!S41)*100)/$G$48)/100</f>
        <v>0</v>
      </c>
      <c r="V61" s="15">
        <f>(((Dados!T41)*100)/$G$48)/100</f>
        <v>0</v>
      </c>
      <c r="W61" s="15">
        <f>(((Dados!U41)*100)/$G$48)/100</f>
        <v>0</v>
      </c>
      <c r="X61" s="15">
        <f>(((Dados!V41)*100)/$G$48)/100</f>
        <v>0</v>
      </c>
    </row>
    <row r="62" spans="1:24">
      <c r="A62" s="39"/>
      <c r="B62" s="1" t="str">
        <f>O49</f>
        <v>liver</v>
      </c>
      <c r="C62" s="15">
        <f>(((Dados!A42)*100)/$G$48)/100</f>
        <v>1.4749262536873156E-2</v>
      </c>
      <c r="D62" s="15">
        <f>(((Dados!B42)*100)/$G$48)/100</f>
        <v>0</v>
      </c>
      <c r="E62" s="15">
        <f>(((Dados!C42)*100)/$G$48)/100</f>
        <v>0</v>
      </c>
      <c r="F62" s="15">
        <f>(((Dados!D42)*100)/$G$48)/100</f>
        <v>0</v>
      </c>
      <c r="G62" s="15">
        <f>(((Dados!E42)*100)/$G$48)/100</f>
        <v>2.9498525073746312E-3</v>
      </c>
      <c r="H62" s="15">
        <f>(((Dados!F42)*100)/$G$48)/100</f>
        <v>2.9498525073746312E-3</v>
      </c>
      <c r="I62" s="15">
        <f>(((Dados!G42)*100)/$G$48)/100</f>
        <v>0</v>
      </c>
      <c r="J62" s="15">
        <f>(((Dados!H42)*100)/$G$48)/100</f>
        <v>0</v>
      </c>
      <c r="K62" s="15">
        <f>(((Dados!I42)*100)/$G$48)/100</f>
        <v>0</v>
      </c>
      <c r="L62" s="15">
        <f>(((Dados!J42)*100)/$G$48)/100</f>
        <v>0</v>
      </c>
      <c r="M62" s="15">
        <f>(((Dados!K42)*100)/$G$48)/100</f>
        <v>0</v>
      </c>
      <c r="N62" s="15">
        <f>(((Dados!L42)*100)/$G$48)/100</f>
        <v>0</v>
      </c>
      <c r="O62" s="13">
        <f>(((Dados!M42)*100)/$G$48)/100</f>
        <v>0</v>
      </c>
      <c r="P62" s="15">
        <f>(((Dados!N42)*100)/$G$48)/100</f>
        <v>0</v>
      </c>
      <c r="Q62" s="15">
        <f>(((Dados!O42)*100)/$G$48)/100</f>
        <v>0</v>
      </c>
      <c r="R62" s="15">
        <f>(((Dados!P42)*100)/$G$48)/100</f>
        <v>0</v>
      </c>
      <c r="S62" s="15">
        <f>(((Dados!Q42)*100)/$G$48)/100</f>
        <v>0</v>
      </c>
      <c r="T62" s="15">
        <f>(((Dados!R42)*100)/$G$48)/100</f>
        <v>0</v>
      </c>
      <c r="U62" s="15">
        <f>(((Dados!S42)*100)/$G$48)/100</f>
        <v>0</v>
      </c>
      <c r="V62" s="15">
        <f>(((Dados!T42)*100)/$G$48)/100</f>
        <v>0</v>
      </c>
      <c r="W62" s="15">
        <f>(((Dados!U42)*100)/$G$48)/100</f>
        <v>0</v>
      </c>
      <c r="X62" s="15">
        <f>(((Dados!V42)*100)/$G$48)/100</f>
        <v>0</v>
      </c>
    </row>
    <row r="63" spans="1:24">
      <c r="A63" s="39"/>
      <c r="B63" s="1" t="str">
        <f>P49</f>
        <v>kidney</v>
      </c>
      <c r="C63" s="15">
        <f>(((Dados!A43)*100)/$G$48)/100</f>
        <v>3.5398230088495575E-2</v>
      </c>
      <c r="D63" s="15">
        <f>(((Dados!B43)*100)/$G$48)/100</f>
        <v>0</v>
      </c>
      <c r="E63" s="15">
        <f>(((Dados!C43)*100)/$G$48)/100</f>
        <v>0</v>
      </c>
      <c r="F63" s="15">
        <f>(((Dados!D43)*100)/$G$48)/100</f>
        <v>0</v>
      </c>
      <c r="G63" s="15">
        <f>(((Dados!E43)*100)/$G$48)/100</f>
        <v>2.9498525073746312E-3</v>
      </c>
      <c r="H63" s="15">
        <f>(((Dados!F43)*100)/$G$48)/100</f>
        <v>2.9498525073746312E-3</v>
      </c>
      <c r="I63" s="15">
        <f>(((Dados!G43)*100)/$G$48)/100</f>
        <v>2.9498525073746312E-3</v>
      </c>
      <c r="J63" s="15">
        <f>(((Dados!H43)*100)/$G$48)/100</f>
        <v>0</v>
      </c>
      <c r="K63" s="15">
        <f>(((Dados!I43)*100)/$G$48)/100</f>
        <v>0</v>
      </c>
      <c r="L63" s="15">
        <f>(((Dados!J43)*100)/$G$48)/100</f>
        <v>0</v>
      </c>
      <c r="M63" s="15">
        <f>(((Dados!K43)*100)/$G$48)/100</f>
        <v>5.8997050147492625E-3</v>
      </c>
      <c r="N63" s="15">
        <f>(((Dados!L43)*100)/$G$48)/100</f>
        <v>0</v>
      </c>
      <c r="O63" s="15">
        <f>(((Dados!M43)*100)/$G$48)/100</f>
        <v>0</v>
      </c>
      <c r="P63" s="13">
        <f>(((Dados!N43)*100)/$G$48)/100</f>
        <v>1.7699115044247787E-2</v>
      </c>
      <c r="Q63" s="15">
        <f>(((Dados!O43)*100)/$G$48)/100</f>
        <v>0</v>
      </c>
      <c r="R63" s="15">
        <f>(((Dados!P43)*100)/$G$48)/100</f>
        <v>0</v>
      </c>
      <c r="S63" s="15">
        <f>(((Dados!Q43)*100)/$G$48)/100</f>
        <v>0</v>
      </c>
      <c r="T63" s="15">
        <f>(((Dados!R43)*100)/$G$48)/100</f>
        <v>2.9498525073746312E-3</v>
      </c>
      <c r="U63" s="15">
        <f>(((Dados!S43)*100)/$G$48)/100</f>
        <v>0</v>
      </c>
      <c r="V63" s="15">
        <f>(((Dados!T43)*100)/$G$48)/100</f>
        <v>0</v>
      </c>
      <c r="W63" s="15">
        <f>(((Dados!U43)*100)/$G$48)/100</f>
        <v>0</v>
      </c>
      <c r="X63" s="15">
        <f>(((Dados!V43)*100)/$G$48)/100</f>
        <v>0</v>
      </c>
    </row>
    <row r="64" spans="1:24">
      <c r="A64" s="39"/>
      <c r="B64" s="1" t="str">
        <f>Q49</f>
        <v>bladder</v>
      </c>
      <c r="C64" s="15">
        <f>(((Dados!A44)*100)/$G$48)/100</f>
        <v>5.8997050147492625E-3</v>
      </c>
      <c r="D64" s="15">
        <f>(((Dados!B44)*100)/$G$48)/100</f>
        <v>0</v>
      </c>
      <c r="E64" s="15">
        <f>(((Dados!C44)*100)/$G$48)/100</f>
        <v>0</v>
      </c>
      <c r="F64" s="15">
        <f>(((Dados!D44)*100)/$G$48)/100</f>
        <v>0</v>
      </c>
      <c r="G64" s="15">
        <f>(((Dados!E44)*100)/$G$48)/100</f>
        <v>0</v>
      </c>
      <c r="H64" s="15">
        <f>(((Dados!F44)*100)/$G$48)/100</f>
        <v>0</v>
      </c>
      <c r="I64" s="15">
        <f>(((Dados!G44)*100)/$G$48)/100</f>
        <v>0</v>
      </c>
      <c r="J64" s="15">
        <f>(((Dados!H44)*100)/$G$48)/100</f>
        <v>0</v>
      </c>
      <c r="K64" s="15">
        <f>(((Dados!I44)*100)/$G$48)/100</f>
        <v>0</v>
      </c>
      <c r="L64" s="15">
        <f>(((Dados!J44)*100)/$G$48)/100</f>
        <v>0</v>
      </c>
      <c r="M64" s="15">
        <f>(((Dados!K44)*100)/$G$48)/100</f>
        <v>0</v>
      </c>
      <c r="N64" s="15">
        <f>(((Dados!L44)*100)/$G$48)/100</f>
        <v>0</v>
      </c>
      <c r="O64" s="15">
        <f>(((Dados!M44)*100)/$G$48)/100</f>
        <v>0</v>
      </c>
      <c r="P64" s="15">
        <f>(((Dados!N44)*100)/$G$48)/100</f>
        <v>0</v>
      </c>
      <c r="Q64" s="13">
        <f>(((Dados!O44)*100)/$G$48)/100</f>
        <v>0</v>
      </c>
      <c r="R64" s="15">
        <f>(((Dados!P44)*100)/$G$48)/100</f>
        <v>0</v>
      </c>
      <c r="S64" s="15">
        <f>(((Dados!Q44)*100)/$G$48)/100</f>
        <v>0</v>
      </c>
      <c r="T64" s="15">
        <f>(((Dados!R44)*100)/$G$48)/100</f>
        <v>0</v>
      </c>
      <c r="U64" s="15">
        <f>(((Dados!S44)*100)/$G$48)/100</f>
        <v>0</v>
      </c>
      <c r="V64" s="15">
        <f>(((Dados!T44)*100)/$G$48)/100</f>
        <v>0</v>
      </c>
      <c r="W64" s="15">
        <f>(((Dados!U44)*100)/$G$48)/100</f>
        <v>0</v>
      </c>
      <c r="X64" s="15">
        <f>(((Dados!V44)*100)/$G$48)/100</f>
        <v>0</v>
      </c>
    </row>
    <row r="65" spans="1:24">
      <c r="A65" s="39"/>
      <c r="B65" s="1" t="str">
        <f>R49</f>
        <v>testis</v>
      </c>
      <c r="C65" s="15">
        <f>(((Dados!A45)*100)/$G$48)/100</f>
        <v>0</v>
      </c>
      <c r="D65" s="15">
        <f>(((Dados!B45)*100)/$G$48)/100</f>
        <v>0</v>
      </c>
      <c r="E65" s="15">
        <f>(((Dados!C45)*100)/$G$48)/100</f>
        <v>0</v>
      </c>
      <c r="F65" s="15">
        <f>(((Dados!D45)*100)/$G$48)/100</f>
        <v>0</v>
      </c>
      <c r="G65" s="15">
        <f>(((Dados!E45)*100)/$G$48)/100</f>
        <v>0</v>
      </c>
      <c r="H65" s="15">
        <f>(((Dados!F45)*100)/$G$48)/100</f>
        <v>0</v>
      </c>
      <c r="I65" s="15">
        <f>(((Dados!G45)*100)/$G$48)/100</f>
        <v>0</v>
      </c>
      <c r="J65" s="15">
        <f>(((Dados!H45)*100)/$G$48)/100</f>
        <v>0</v>
      </c>
      <c r="K65" s="15">
        <f>(((Dados!I45)*100)/$G$48)/100</f>
        <v>0</v>
      </c>
      <c r="L65" s="15">
        <f>(((Dados!J45)*100)/$G$48)/100</f>
        <v>0</v>
      </c>
      <c r="M65" s="15">
        <f>(((Dados!K45)*100)/$G$48)/100</f>
        <v>0</v>
      </c>
      <c r="N65" s="15">
        <f>(((Dados!L45)*100)/$G$48)/100</f>
        <v>0</v>
      </c>
      <c r="O65" s="15">
        <f>(((Dados!M45)*100)/$G$48)/100</f>
        <v>2.9498525073746312E-3</v>
      </c>
      <c r="P65" s="15">
        <f>(((Dados!N45)*100)/$G$48)/100</f>
        <v>0</v>
      </c>
      <c r="Q65" s="15">
        <f>(((Dados!O45)*100)/$G$48)/100</f>
        <v>0</v>
      </c>
      <c r="R65" s="13">
        <f>(((Dados!P45)*100)/$G$48)/100</f>
        <v>0</v>
      </c>
      <c r="S65" s="15">
        <f>(((Dados!Q45)*100)/$G$48)/100</f>
        <v>0</v>
      </c>
      <c r="T65" s="15">
        <f>(((Dados!R45)*100)/$G$48)/100</f>
        <v>0</v>
      </c>
      <c r="U65" s="15">
        <f>(((Dados!S45)*100)/$G$48)/100</f>
        <v>0</v>
      </c>
      <c r="V65" s="15">
        <f>(((Dados!T45)*100)/$G$48)/100</f>
        <v>0</v>
      </c>
      <c r="W65" s="15">
        <f>(((Dados!U45)*100)/$G$48)/100</f>
        <v>0</v>
      </c>
      <c r="X65" s="15">
        <f>(((Dados!V45)*100)/$G$48)/100</f>
        <v>0</v>
      </c>
    </row>
    <row r="66" spans="1:24">
      <c r="A66" s="39"/>
      <c r="B66" s="1" t="str">
        <f>S49</f>
        <v>prostate</v>
      </c>
      <c r="C66" s="15">
        <f>(((Dados!A46)*100)/$G$48)/100</f>
        <v>1.1799410029498525E-2</v>
      </c>
      <c r="D66" s="15">
        <f>(((Dados!B46)*100)/$G$48)/100</f>
        <v>2.9498525073746312E-3</v>
      </c>
      <c r="E66" s="15">
        <f>(((Dados!C46)*100)/$G$48)/100</f>
        <v>0</v>
      </c>
      <c r="F66" s="15">
        <f>(((Dados!D46)*100)/$G$48)/100</f>
        <v>0</v>
      </c>
      <c r="G66" s="15">
        <f>(((Dados!E46)*100)/$G$48)/100</f>
        <v>2.9498525073746312E-3</v>
      </c>
      <c r="H66" s="15">
        <f>(((Dados!F46)*100)/$G$48)/100</f>
        <v>0</v>
      </c>
      <c r="I66" s="15">
        <f>(((Dados!G46)*100)/$G$48)/100</f>
        <v>0</v>
      </c>
      <c r="J66" s="15">
        <f>(((Dados!H46)*100)/$G$48)/100</f>
        <v>0</v>
      </c>
      <c r="K66" s="15">
        <f>(((Dados!I46)*100)/$G$48)/100</f>
        <v>0</v>
      </c>
      <c r="L66" s="15">
        <f>(((Dados!J46)*100)/$G$48)/100</f>
        <v>0</v>
      </c>
      <c r="M66" s="15">
        <f>(((Dados!K46)*100)/$G$48)/100</f>
        <v>2.9498525073746312E-3</v>
      </c>
      <c r="N66" s="15">
        <f>(((Dados!L46)*100)/$G$48)/100</f>
        <v>0</v>
      </c>
      <c r="O66" s="15">
        <f>(((Dados!M46)*100)/$G$48)/100</f>
        <v>0</v>
      </c>
      <c r="P66" s="15">
        <f>(((Dados!N46)*100)/$G$48)/100</f>
        <v>5.8997050147492625E-3</v>
      </c>
      <c r="Q66" s="15">
        <f>(((Dados!O46)*100)/$G$48)/100</f>
        <v>0</v>
      </c>
      <c r="R66" s="15">
        <f>(((Dados!P46)*100)/$G$48)/100</f>
        <v>0</v>
      </c>
      <c r="S66" s="13">
        <f>(((Dados!Q46)*100)/$G$48)/100</f>
        <v>2.9498525073746312E-3</v>
      </c>
      <c r="T66" s="15">
        <f>(((Dados!R46)*100)/$G$48)/100</f>
        <v>0</v>
      </c>
      <c r="U66" s="15">
        <f>(((Dados!S46)*100)/$G$48)/100</f>
        <v>0</v>
      </c>
      <c r="V66" s="15">
        <f>(((Dados!T46)*100)/$G$48)/100</f>
        <v>0</v>
      </c>
      <c r="W66" s="15">
        <f>(((Dados!U46)*100)/$G$48)/100</f>
        <v>0</v>
      </c>
      <c r="X66" s="15">
        <f>(((Dados!V46)*100)/$G$48)/100</f>
        <v>0</v>
      </c>
    </row>
    <row r="67" spans="1:24">
      <c r="A67" s="39"/>
      <c r="B67" s="1" t="str">
        <f>T49</f>
        <v>ovary</v>
      </c>
      <c r="C67" s="15">
        <f>(((Dados!A47)*100)/$G$48)/100</f>
        <v>5.8997050147492625E-3</v>
      </c>
      <c r="D67" s="15">
        <f>(((Dados!B47)*100)/$G$48)/100</f>
        <v>0</v>
      </c>
      <c r="E67" s="15">
        <f>(((Dados!C47)*100)/$G$48)/100</f>
        <v>0</v>
      </c>
      <c r="F67" s="15">
        <f>(((Dados!D47)*100)/$G$48)/100</f>
        <v>0</v>
      </c>
      <c r="G67" s="15">
        <f>(((Dados!E47)*100)/$G$48)/100</f>
        <v>0</v>
      </c>
      <c r="H67" s="15">
        <f>(((Dados!F47)*100)/$G$48)/100</f>
        <v>0</v>
      </c>
      <c r="I67" s="15">
        <f>(((Dados!G47)*100)/$G$48)/100</f>
        <v>0</v>
      </c>
      <c r="J67" s="15">
        <f>(((Dados!H47)*100)/$G$48)/100</f>
        <v>0</v>
      </c>
      <c r="K67" s="15">
        <f>(((Dados!I47)*100)/$G$48)/100</f>
        <v>0</v>
      </c>
      <c r="L67" s="15">
        <f>(((Dados!J47)*100)/$G$48)/100</f>
        <v>0</v>
      </c>
      <c r="M67" s="15">
        <f>(((Dados!K47)*100)/$G$48)/100</f>
        <v>2.0648967551622419E-2</v>
      </c>
      <c r="N67" s="15">
        <f>(((Dados!L47)*100)/$G$48)/100</f>
        <v>2.9498525073746312E-3</v>
      </c>
      <c r="O67" s="15">
        <f>(((Dados!M47)*100)/$G$48)/100</f>
        <v>0</v>
      </c>
      <c r="P67" s="15">
        <f>(((Dados!N47)*100)/$G$48)/100</f>
        <v>0</v>
      </c>
      <c r="Q67" s="15">
        <f>(((Dados!O47)*100)/$G$48)/100</f>
        <v>0</v>
      </c>
      <c r="R67" s="15">
        <f>(((Dados!P47)*100)/$G$48)/100</f>
        <v>0</v>
      </c>
      <c r="S67" s="15">
        <f>(((Dados!Q47)*100)/$G$48)/100</f>
        <v>0</v>
      </c>
      <c r="T67" s="13">
        <f>(((Dados!R47)*100)/$G$48)/100</f>
        <v>5.6047197640118E-2</v>
      </c>
      <c r="U67" s="15">
        <f>(((Dados!S47)*100)/$G$48)/100</f>
        <v>0</v>
      </c>
      <c r="V67" s="15">
        <f>(((Dados!T47)*100)/$G$48)/100</f>
        <v>0</v>
      </c>
      <c r="W67" s="15">
        <f>(((Dados!U47)*100)/$G$48)/100</f>
        <v>0</v>
      </c>
      <c r="X67" s="15">
        <f>(((Dados!V47)*100)/$G$48)/100</f>
        <v>0</v>
      </c>
    </row>
    <row r="68" spans="1:24">
      <c r="A68" s="39"/>
      <c r="B68" s="1" t="str">
        <f>U49</f>
        <v>corpus uteri</v>
      </c>
      <c r="C68" s="15">
        <f>(((Dados!A48)*100)/$G$48)/100</f>
        <v>5.8997050147492625E-3</v>
      </c>
      <c r="D68" s="15">
        <f>(((Dados!B48)*100)/$G$48)/100</f>
        <v>0</v>
      </c>
      <c r="E68" s="15">
        <f>(((Dados!C48)*100)/$G$48)/100</f>
        <v>0</v>
      </c>
      <c r="F68" s="15">
        <f>(((Dados!D48)*100)/$G$48)/100</f>
        <v>2.9498525073746312E-3</v>
      </c>
      <c r="G68" s="15">
        <f>(((Dados!E48)*100)/$G$48)/100</f>
        <v>2.9498525073746312E-3</v>
      </c>
      <c r="H68" s="15">
        <f>(((Dados!F48)*100)/$G$48)/100</f>
        <v>2.9498525073746312E-3</v>
      </c>
      <c r="I68" s="15">
        <f>(((Dados!G48)*100)/$G$48)/100</f>
        <v>0</v>
      </c>
      <c r="J68" s="15">
        <f>(((Dados!H48)*100)/$G$48)/100</f>
        <v>0</v>
      </c>
      <c r="K68" s="15">
        <f>(((Dados!I48)*100)/$G$48)/100</f>
        <v>0</v>
      </c>
      <c r="L68" s="15">
        <f>(((Dados!J48)*100)/$G$48)/100</f>
        <v>0</v>
      </c>
      <c r="M68" s="15">
        <f>(((Dados!K48)*100)/$G$48)/100</f>
        <v>2.9498525073746312E-3</v>
      </c>
      <c r="N68" s="15">
        <f>(((Dados!L48)*100)/$G$48)/100</f>
        <v>0</v>
      </c>
      <c r="O68" s="15">
        <f>(((Dados!M48)*100)/$G$48)/100</f>
        <v>0</v>
      </c>
      <c r="P68" s="15">
        <f>(((Dados!N48)*100)/$G$48)/100</f>
        <v>0</v>
      </c>
      <c r="Q68" s="15">
        <f>(((Dados!O48)*100)/$G$48)/100</f>
        <v>0</v>
      </c>
      <c r="R68" s="15">
        <f>(((Dados!P48)*100)/$G$48)/100</f>
        <v>0</v>
      </c>
      <c r="S68" s="15">
        <f>(((Dados!Q48)*100)/$G$48)/100</f>
        <v>0</v>
      </c>
      <c r="T68" s="15">
        <f>(((Dados!R48)*100)/$G$48)/100</f>
        <v>0</v>
      </c>
      <c r="U68" s="13">
        <f>(((Dados!S48)*100)/$G$48)/100</f>
        <v>0</v>
      </c>
      <c r="V68" s="15">
        <f>(((Dados!T48)*100)/$G$48)/100</f>
        <v>0</v>
      </c>
      <c r="W68" s="15">
        <f>(((Dados!U48)*100)/$G$48)/100</f>
        <v>0</v>
      </c>
      <c r="X68" s="15">
        <f>(((Dados!V48)*100)/$G$48)/100</f>
        <v>0</v>
      </c>
    </row>
    <row r="69" spans="1:24">
      <c r="A69" s="39"/>
      <c r="B69" s="1" t="str">
        <f>V49</f>
        <v>cervix uteri</v>
      </c>
      <c r="C69" s="15">
        <f>(((Dados!A49)*100)/$G$48)/100</f>
        <v>5.8997050147492625E-3</v>
      </c>
      <c r="D69" s="15">
        <f>(((Dados!B49)*100)/$G$48)/100</f>
        <v>0</v>
      </c>
      <c r="E69" s="15">
        <f>(((Dados!C49)*100)/$G$48)/100</f>
        <v>0</v>
      </c>
      <c r="F69" s="15">
        <f>(((Dados!D49)*100)/$G$48)/100</f>
        <v>0</v>
      </c>
      <c r="G69" s="15">
        <f>(((Dados!E49)*100)/$G$48)/100</f>
        <v>0</v>
      </c>
      <c r="H69" s="15">
        <f>(((Dados!F49)*100)/$G$48)/100</f>
        <v>0</v>
      </c>
      <c r="I69" s="15">
        <f>(((Dados!G49)*100)/$G$48)/100</f>
        <v>0</v>
      </c>
      <c r="J69" s="15">
        <f>(((Dados!H49)*100)/$G$48)/100</f>
        <v>0</v>
      </c>
      <c r="K69" s="15">
        <f>(((Dados!I49)*100)/$G$48)/100</f>
        <v>0</v>
      </c>
      <c r="L69" s="15">
        <f>(((Dados!J49)*100)/$G$48)/100</f>
        <v>0</v>
      </c>
      <c r="M69" s="15">
        <f>(((Dados!K49)*100)/$G$48)/100</f>
        <v>0</v>
      </c>
      <c r="N69" s="15">
        <f>(((Dados!L49)*100)/$G$48)/100</f>
        <v>0</v>
      </c>
      <c r="O69" s="15">
        <f>(((Dados!M49)*100)/$G$48)/100</f>
        <v>0</v>
      </c>
      <c r="P69" s="15">
        <f>(((Dados!N49)*100)/$G$48)/100</f>
        <v>0</v>
      </c>
      <c r="Q69" s="15">
        <f>(((Dados!O49)*100)/$G$48)/100</f>
        <v>0</v>
      </c>
      <c r="R69" s="15">
        <f>(((Dados!P49)*100)/$G$48)/100</f>
        <v>0</v>
      </c>
      <c r="S69" s="15">
        <f>(((Dados!Q49)*100)/$G$48)/100</f>
        <v>0</v>
      </c>
      <c r="T69" s="15">
        <f>(((Dados!R49)*100)/$G$48)/100</f>
        <v>0</v>
      </c>
      <c r="U69" s="15">
        <f>(((Dados!S49)*100)/$G$48)/100</f>
        <v>0</v>
      </c>
      <c r="V69" s="13">
        <f>(((Dados!T49)*100)/$G$48)/100</f>
        <v>0</v>
      </c>
      <c r="W69" s="15">
        <f>(((Dados!U49)*100)/$G$48)/100</f>
        <v>0</v>
      </c>
      <c r="X69" s="15">
        <f>(((Dados!V49)*100)/$G$48)/100</f>
        <v>0</v>
      </c>
    </row>
    <row r="70" spans="1:24">
      <c r="A70" s="39"/>
      <c r="B70" s="1" t="str">
        <f>W49</f>
        <v>vagina</v>
      </c>
      <c r="C70" s="15">
        <f>(((Dados!A50)*100)/$G$48)/100</f>
        <v>0</v>
      </c>
      <c r="D70" s="15">
        <f>(((Dados!B50)*100)/$G$48)/100</f>
        <v>0</v>
      </c>
      <c r="E70" s="15">
        <f>(((Dados!C50)*100)/$G$48)/100</f>
        <v>0</v>
      </c>
      <c r="F70" s="15">
        <f>(((Dados!D50)*100)/$G$48)/100</f>
        <v>2.9498525073746312E-3</v>
      </c>
      <c r="G70" s="15">
        <f>(((Dados!E50)*100)/$G$48)/100</f>
        <v>0</v>
      </c>
      <c r="H70" s="15">
        <f>(((Dados!F50)*100)/$G$48)/100</f>
        <v>0</v>
      </c>
      <c r="I70" s="15">
        <f>(((Dados!G50)*100)/$G$48)/100</f>
        <v>0</v>
      </c>
      <c r="J70" s="15">
        <f>(((Dados!H50)*100)/$G$48)/100</f>
        <v>0</v>
      </c>
      <c r="K70" s="15">
        <f>(((Dados!I50)*100)/$G$48)/100</f>
        <v>0</v>
      </c>
      <c r="L70" s="15">
        <f>(((Dados!J50)*100)/$G$48)/100</f>
        <v>0</v>
      </c>
      <c r="M70" s="15">
        <f>(((Dados!K50)*100)/$G$48)/100</f>
        <v>0</v>
      </c>
      <c r="N70" s="15">
        <f>(((Dados!L50)*100)/$G$48)/100</f>
        <v>0</v>
      </c>
      <c r="O70" s="15">
        <f>(((Dados!M50)*100)/$G$48)/100</f>
        <v>0</v>
      </c>
      <c r="P70" s="15">
        <f>(((Dados!N50)*100)/$G$48)/100</f>
        <v>0</v>
      </c>
      <c r="Q70" s="15">
        <f>(((Dados!O50)*100)/$G$48)/100</f>
        <v>0</v>
      </c>
      <c r="R70" s="15">
        <f>(((Dados!P50)*100)/$G$48)/100</f>
        <v>0</v>
      </c>
      <c r="S70" s="15">
        <f>(((Dados!Q50)*100)/$G$48)/100</f>
        <v>0</v>
      </c>
      <c r="T70" s="15">
        <f>(((Dados!R50)*100)/$G$48)/100</f>
        <v>0</v>
      </c>
      <c r="U70" s="15">
        <f>(((Dados!S50)*100)/$G$48)/100</f>
        <v>0</v>
      </c>
      <c r="V70" s="15">
        <f>(((Dados!T50)*100)/$G$48)/100</f>
        <v>0</v>
      </c>
      <c r="W70" s="13">
        <f>(((Dados!U50)*100)/$G$48)/100</f>
        <v>0</v>
      </c>
      <c r="X70" s="15">
        <f>(((Dados!V50)*100)/$G$48)/100</f>
        <v>0</v>
      </c>
    </row>
    <row r="71" spans="1:24">
      <c r="A71" s="39"/>
      <c r="B71" s="1" t="str">
        <f>X49</f>
        <v>breast</v>
      </c>
      <c r="C71" s="15">
        <f>(((Dados!A51)*100)/$G$48)/100</f>
        <v>8.8495575221238937E-3</v>
      </c>
      <c r="D71" s="15">
        <f>(((Dados!B51)*100)/$G$48)/100</f>
        <v>0</v>
      </c>
      <c r="E71" s="15">
        <f>(((Dados!C51)*100)/$G$48)/100</f>
        <v>2.9498525073746312E-3</v>
      </c>
      <c r="F71" s="15">
        <f>(((Dados!D51)*100)/$G$48)/100</f>
        <v>0</v>
      </c>
      <c r="G71" s="15">
        <f>(((Dados!E51)*100)/$G$48)/100</f>
        <v>8.8495575221238937E-3</v>
      </c>
      <c r="H71" s="15">
        <f>(((Dados!F51)*100)/$G$48)/100</f>
        <v>0</v>
      </c>
      <c r="I71" s="15">
        <f>(((Dados!G51)*100)/$G$48)/100</f>
        <v>0</v>
      </c>
      <c r="J71" s="15">
        <f>(((Dados!H51)*100)/$G$48)/100</f>
        <v>0</v>
      </c>
      <c r="K71" s="15">
        <f>(((Dados!I51)*100)/$G$48)/100</f>
        <v>0</v>
      </c>
      <c r="L71" s="15">
        <f>(((Dados!J51)*100)/$G$48)/100</f>
        <v>0</v>
      </c>
      <c r="M71" s="15">
        <f>(((Dados!K51)*100)/$G$48)/100</f>
        <v>0</v>
      </c>
      <c r="N71" s="15">
        <f>(((Dados!L51)*100)/$G$48)/100</f>
        <v>0</v>
      </c>
      <c r="O71" s="15">
        <f>(((Dados!M51)*100)/$G$48)/100</f>
        <v>0</v>
      </c>
      <c r="P71" s="15">
        <f>(((Dados!N51)*100)/$G$48)/100</f>
        <v>0</v>
      </c>
      <c r="Q71" s="15">
        <f>(((Dados!O51)*100)/$G$48)/100</f>
        <v>0</v>
      </c>
      <c r="R71" s="15">
        <f>(((Dados!P51)*100)/$G$48)/100</f>
        <v>0</v>
      </c>
      <c r="S71" s="15">
        <f>(((Dados!Q51)*100)/$G$48)/100</f>
        <v>0</v>
      </c>
      <c r="T71" s="15">
        <f>(((Dados!R51)*100)/$G$48)/100</f>
        <v>0</v>
      </c>
      <c r="U71" s="15">
        <f>(((Dados!S51)*100)/$G$48)/100</f>
        <v>0</v>
      </c>
      <c r="V71" s="15">
        <f>(((Dados!T51)*100)/$G$48)/100</f>
        <v>0</v>
      </c>
      <c r="W71" s="15">
        <f>(((Dados!U51)*100)/$G$48)/100</f>
        <v>0</v>
      </c>
      <c r="X71" s="13">
        <f>(((Dados!V51)*100)/$G$48)/100</f>
        <v>5.0147492625368731E-2</v>
      </c>
    </row>
    <row r="73" spans="1:24">
      <c r="A73" s="22" t="str">
        <f>A1</f>
        <v>k-folds</v>
      </c>
      <c r="B73" s="5" t="s">
        <v>55</v>
      </c>
      <c r="C73" s="7" t="s">
        <v>20</v>
      </c>
      <c r="D73" s="11" t="s">
        <v>2</v>
      </c>
      <c r="E73" s="33">
        <f>629+217</f>
        <v>846</v>
      </c>
      <c r="F73" s="33"/>
      <c r="G73" s="33"/>
      <c r="H73" s="34"/>
    </row>
    <row r="74" spans="1:24">
      <c r="A74" s="39">
        <v>3</v>
      </c>
      <c r="B74" s="6" t="str">
        <f>B2</f>
        <v>↓ Real      Escolhido →</v>
      </c>
      <c r="C74" s="9" t="s">
        <v>56</v>
      </c>
      <c r="D74" s="30" t="s">
        <v>57</v>
      </c>
      <c r="E74" s="30"/>
      <c r="F74" s="9" t="s">
        <v>58</v>
      </c>
      <c r="G74" s="30" t="s">
        <v>59</v>
      </c>
      <c r="H74" s="30"/>
    </row>
    <row r="75" spans="1:24">
      <c r="A75" s="39"/>
      <c r="B75" s="1" t="str">
        <f>C74</f>
        <v>opel</v>
      </c>
      <c r="C75" s="12">
        <f>(((109)*100)/E73)/100</f>
        <v>0.12884160756501181</v>
      </c>
      <c r="D75" s="31">
        <f>(((87)*100)/E73)/100</f>
        <v>0.10283687943262411</v>
      </c>
      <c r="E75" s="31"/>
      <c r="F75" s="14">
        <f>(((7)*100)/E73)/100</f>
        <v>8.2742316784869974E-3</v>
      </c>
      <c r="G75" s="31">
        <f>(((9)*100)/E73)/100</f>
        <v>1.0638297872340425E-2</v>
      </c>
      <c r="H75" s="31"/>
    </row>
    <row r="76" spans="1:24">
      <c r="A76" s="39"/>
      <c r="B76" s="1" t="str">
        <f>D74</f>
        <v>saab</v>
      </c>
      <c r="C76" s="3">
        <f>(((69)*100)/E73)/100</f>
        <v>8.1560283687943255E-2</v>
      </c>
      <c r="D76" s="32">
        <f>(((119)*100)/E73)/100</f>
        <v>0.14066193853427897</v>
      </c>
      <c r="E76" s="32"/>
      <c r="F76" s="3">
        <f>(((14)*100)/E73)/100</f>
        <v>1.6548463356973995E-2</v>
      </c>
      <c r="G76" s="36">
        <f>(((15)*100)/E73)/100</f>
        <v>1.7730496453900707E-2</v>
      </c>
      <c r="H76" s="36"/>
    </row>
    <row r="77" spans="1:24">
      <c r="A77" s="39"/>
      <c r="B77" s="1" t="str">
        <f>F74</f>
        <v>bus</v>
      </c>
      <c r="C77" s="14">
        <f>(((2)*100)/E73)/100</f>
        <v>2.3640661938534278E-3</v>
      </c>
      <c r="D77" s="31">
        <f>(((6)*100)/E73)/100</f>
        <v>7.0921985815602835E-3</v>
      </c>
      <c r="E77" s="31"/>
      <c r="F77" s="12">
        <f>(((207)*100)/E73)/100</f>
        <v>0.24468085106382978</v>
      </c>
      <c r="G77" s="31">
        <f>(((3)*100)/E73)/100</f>
        <v>3.5460992907801418E-3</v>
      </c>
      <c r="H77" s="31"/>
    </row>
    <row r="78" spans="1:24">
      <c r="A78" s="39"/>
      <c r="B78" s="1" t="str">
        <f>G74</f>
        <v>van</v>
      </c>
      <c r="C78" s="3">
        <f>(((8)*100)/E73)/100</f>
        <v>9.4562647754137114E-3</v>
      </c>
      <c r="D78" s="36">
        <f>(((8)*100)/E73)/100</f>
        <v>9.4562647754137114E-3</v>
      </c>
      <c r="E78" s="36"/>
      <c r="F78" s="3">
        <f>(((3)*100)/E73)/100</f>
        <v>3.5460992907801418E-3</v>
      </c>
      <c r="G78" s="32">
        <f>(((180)*100)/E73)/100</f>
        <v>0.21276595744680851</v>
      </c>
      <c r="H78" s="32"/>
    </row>
    <row r="80" spans="1:24">
      <c r="A80" s="22" t="str">
        <f>A1</f>
        <v>k-folds</v>
      </c>
      <c r="B80" s="5" t="s">
        <v>60</v>
      </c>
      <c r="C80" s="7" t="s">
        <v>61</v>
      </c>
      <c r="D80" s="11" t="s">
        <v>2</v>
      </c>
      <c r="E80" s="33">
        <f>52+99</f>
        <v>151</v>
      </c>
      <c r="F80" s="34"/>
    </row>
    <row r="81" spans="1:6">
      <c r="A81" s="39">
        <v>2</v>
      </c>
      <c r="B81" s="6" t="str">
        <f>B2</f>
        <v>↓ Real      Escolhido →</v>
      </c>
      <c r="C81" s="9">
        <v>1</v>
      </c>
      <c r="D81" s="30">
        <v>2</v>
      </c>
      <c r="E81" s="30"/>
      <c r="F81" s="9">
        <v>3</v>
      </c>
    </row>
    <row r="82" spans="1:6">
      <c r="A82" s="39"/>
      <c r="B82" s="1">
        <f>C81</f>
        <v>1</v>
      </c>
      <c r="C82" s="12">
        <f>(((26)*100)/E80)/100</f>
        <v>0.17218543046357618</v>
      </c>
      <c r="D82" s="31">
        <f>(((17)*100)/E80)/100</f>
        <v>0.11258278145695363</v>
      </c>
      <c r="E82" s="31"/>
      <c r="F82" s="14">
        <f>(((6)*100)/E80)/100</f>
        <v>3.9735099337748346E-2</v>
      </c>
    </row>
    <row r="83" spans="1:6">
      <c r="A83" s="39"/>
      <c r="B83" s="1">
        <f>D81</f>
        <v>2</v>
      </c>
      <c r="C83" s="3">
        <f>(((18)*100)/E80)/100</f>
        <v>0.11920529801324503</v>
      </c>
      <c r="D83" s="32">
        <f>(((23)*100)/E80)/100</f>
        <v>0.15231788079470199</v>
      </c>
      <c r="E83" s="32"/>
      <c r="F83" s="3">
        <f>(((9)*100)/E80)/100</f>
        <v>5.9602649006622516E-2</v>
      </c>
    </row>
    <row r="84" spans="1:6">
      <c r="A84" s="39"/>
      <c r="B84" s="1">
        <f>F81</f>
        <v>3</v>
      </c>
      <c r="C84" s="14">
        <f>(((10)*100)/E80)/100</f>
        <v>6.6225165562913912E-2</v>
      </c>
      <c r="D84" s="31">
        <f>(((10)*100)/E80)/100</f>
        <v>6.6225165562913912E-2</v>
      </c>
      <c r="E84" s="31"/>
      <c r="F84" s="12">
        <f>(((32)*100)/E80)/100</f>
        <v>0.21192052980132453</v>
      </c>
    </row>
  </sheetData>
  <mergeCells count="72">
    <mergeCell ref="A36:A40"/>
    <mergeCell ref="A43:A46"/>
    <mergeCell ref="A49:A71"/>
    <mergeCell ref="A74:A78"/>
    <mergeCell ref="A81:A84"/>
    <mergeCell ref="E80:F80"/>
    <mergeCell ref="D81:E81"/>
    <mergeCell ref="D82:E82"/>
    <mergeCell ref="D83:E83"/>
    <mergeCell ref="D84:E84"/>
    <mergeCell ref="A2:A4"/>
    <mergeCell ref="A7:A13"/>
    <mergeCell ref="A16:A18"/>
    <mergeCell ref="A21:A28"/>
    <mergeCell ref="A31:A33"/>
    <mergeCell ref="D76:E76"/>
    <mergeCell ref="G76:H76"/>
    <mergeCell ref="D77:E77"/>
    <mergeCell ref="G77:H77"/>
    <mergeCell ref="D78:E78"/>
    <mergeCell ref="G78:H78"/>
    <mergeCell ref="D45:E45"/>
    <mergeCell ref="D46:E46"/>
    <mergeCell ref="D48:F48"/>
    <mergeCell ref="D75:E75"/>
    <mergeCell ref="G75:H75"/>
    <mergeCell ref="E73:H73"/>
    <mergeCell ref="D74:E74"/>
    <mergeCell ref="G74:H74"/>
    <mergeCell ref="D40:E40"/>
    <mergeCell ref="G40:H40"/>
    <mergeCell ref="E42:F42"/>
    <mergeCell ref="D43:E43"/>
    <mergeCell ref="D44:E44"/>
    <mergeCell ref="D37:E37"/>
    <mergeCell ref="G37:H37"/>
    <mergeCell ref="D38:E38"/>
    <mergeCell ref="G38:H38"/>
    <mergeCell ref="D39:E39"/>
    <mergeCell ref="G39:H39"/>
    <mergeCell ref="D18:E18"/>
    <mergeCell ref="D20:F20"/>
    <mergeCell ref="G20:J20"/>
    <mergeCell ref="D36:E36"/>
    <mergeCell ref="G36:H36"/>
    <mergeCell ref="D22:E22"/>
    <mergeCell ref="D23:E23"/>
    <mergeCell ref="D24:E24"/>
    <mergeCell ref="D25:E25"/>
    <mergeCell ref="D26:E26"/>
    <mergeCell ref="D27:E27"/>
    <mergeCell ref="D28:E28"/>
    <mergeCell ref="D31:E31"/>
    <mergeCell ref="D32:E32"/>
    <mergeCell ref="D33:E33"/>
    <mergeCell ref="E35:H35"/>
    <mergeCell ref="D7:E7"/>
    <mergeCell ref="G48:X48"/>
    <mergeCell ref="D2:E2"/>
    <mergeCell ref="D3:E3"/>
    <mergeCell ref="D4:E4"/>
    <mergeCell ref="D6:F6"/>
    <mergeCell ref="G6:I6"/>
    <mergeCell ref="D21:E21"/>
    <mergeCell ref="D8:E8"/>
    <mergeCell ref="D9:E9"/>
    <mergeCell ref="D10:E10"/>
    <mergeCell ref="D11:E11"/>
    <mergeCell ref="D12:E12"/>
    <mergeCell ref="D13:E13"/>
    <mergeCell ref="D16:E16"/>
    <mergeCell ref="D17:E17"/>
  </mergeCells>
  <phoneticPr fontId="8" type="noConversion"/>
  <pageMargins left="0.75" right="0.75" top="1" bottom="1" header="0.5" footer="0.5"/>
  <pageSetup paperSize="9" scale="2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4"/>
  <sheetViews>
    <sheetView showGridLines="0" workbookViewId="0"/>
  </sheetViews>
  <sheetFormatPr baseColWidth="10" defaultRowHeight="15" x14ac:dyDescent="0"/>
  <cols>
    <col min="2" max="2" width="25.5" customWidth="1"/>
    <col min="3" max="3" width="19.6640625" bestFit="1" customWidth="1"/>
    <col min="4" max="4" width="13.1640625" bestFit="1" customWidth="1"/>
    <col min="5" max="5" width="14" customWidth="1"/>
    <col min="6" max="6" width="18.5" bestFit="1" customWidth="1"/>
    <col min="7" max="7" width="18" bestFit="1" customWidth="1"/>
    <col min="8" max="9" width="16.5" bestFit="1" customWidth="1"/>
    <col min="12" max="13" width="13.1640625" bestFit="1" customWidth="1"/>
    <col min="21" max="21" width="11" bestFit="1" customWidth="1"/>
  </cols>
  <sheetData>
    <row r="1" spans="1:9">
      <c r="A1" s="22" t="str">
        <f>'Cross Validation'!A1</f>
        <v>k-folds</v>
      </c>
      <c r="B1" s="5" t="s">
        <v>0</v>
      </c>
      <c r="C1" s="7" t="s">
        <v>1</v>
      </c>
      <c r="D1" s="11" t="s">
        <v>2</v>
      </c>
      <c r="E1" s="2">
        <f>232+136</f>
        <v>368</v>
      </c>
    </row>
    <row r="2" spans="1:9">
      <c r="A2" s="37">
        <v>10</v>
      </c>
      <c r="B2" s="6" t="str">
        <f>'Cross Validation'!B2</f>
        <v>↓ Real      Escolhido →</v>
      </c>
      <c r="C2" s="9" t="s">
        <v>3</v>
      </c>
      <c r="D2" s="30" t="s">
        <v>4</v>
      </c>
      <c r="E2" s="30"/>
    </row>
    <row r="3" spans="1:9">
      <c r="A3" s="37"/>
      <c r="B3" s="1" t="str">
        <f>C2</f>
        <v>yes</v>
      </c>
      <c r="C3" s="12">
        <f>(((194)*100)/E1)/100</f>
        <v>0.52717391304347827</v>
      </c>
      <c r="D3" s="31">
        <f>(((38)*100)/E1)/100</f>
        <v>0.10326086956521738</v>
      </c>
      <c r="E3" s="31"/>
    </row>
    <row r="4" spans="1:9">
      <c r="A4" s="38"/>
      <c r="B4" s="1" t="str">
        <f>D2</f>
        <v>no</v>
      </c>
      <c r="C4" s="3">
        <f>(((34)*100)/E1)/100</f>
        <v>9.2391304347826095E-2</v>
      </c>
      <c r="D4" s="32">
        <f>(((102)*100)/E1)/100</f>
        <v>0.27717391304347827</v>
      </c>
      <c r="E4" s="32"/>
    </row>
    <row r="6" spans="1:9">
      <c r="A6" s="22" t="str">
        <f>A1</f>
        <v>k-folds</v>
      </c>
      <c r="B6" s="5" t="s">
        <v>5</v>
      </c>
      <c r="C6" s="7" t="s">
        <v>6</v>
      </c>
      <c r="D6" s="35" t="s">
        <v>2</v>
      </c>
      <c r="E6" s="35"/>
      <c r="F6" s="35"/>
      <c r="G6" s="33">
        <f>112+254</f>
        <v>366</v>
      </c>
      <c r="H6" s="33"/>
      <c r="I6" s="34"/>
    </row>
    <row r="7" spans="1:9">
      <c r="A7" s="39">
        <v>2</v>
      </c>
      <c r="B7" s="10" t="str">
        <f>B2</f>
        <v>↓ Real      Escolhido →</v>
      </c>
      <c r="C7" s="9">
        <v>1</v>
      </c>
      <c r="D7" s="30">
        <v>2</v>
      </c>
      <c r="E7" s="30"/>
      <c r="F7" s="9">
        <v>3</v>
      </c>
      <c r="G7" s="1">
        <v>4</v>
      </c>
      <c r="H7" s="1">
        <v>5</v>
      </c>
      <c r="I7" s="1">
        <v>6</v>
      </c>
    </row>
    <row r="8" spans="1:9">
      <c r="A8" s="39"/>
      <c r="B8" s="1">
        <f>C7</f>
        <v>1</v>
      </c>
      <c r="C8" s="12">
        <f>(((112)*100)/G6)/100</f>
        <v>0.30601092896174864</v>
      </c>
      <c r="D8" s="31">
        <v>0</v>
      </c>
      <c r="E8" s="31"/>
      <c r="F8" s="3">
        <v>0</v>
      </c>
      <c r="G8" s="3">
        <v>0</v>
      </c>
      <c r="H8" s="3">
        <v>0</v>
      </c>
      <c r="I8" s="3">
        <v>0</v>
      </c>
    </row>
    <row r="9" spans="1:9">
      <c r="A9" s="39"/>
      <c r="B9" s="1">
        <f>D7</f>
        <v>2</v>
      </c>
      <c r="C9" s="3">
        <f>(((1)*100)/G6)/100</f>
        <v>2.7322404371584704E-3</v>
      </c>
      <c r="D9" s="32">
        <f>(((53)*100)/G6)/100</f>
        <v>0.1448087431693989</v>
      </c>
      <c r="E9" s="32"/>
      <c r="F9" s="3">
        <v>0</v>
      </c>
      <c r="G9" s="3">
        <f>(((7)*100)/G6)/100</f>
        <v>1.912568306010929E-2</v>
      </c>
      <c r="H9" s="3">
        <v>0</v>
      </c>
      <c r="I9" s="3">
        <v>0</v>
      </c>
    </row>
    <row r="10" spans="1:9">
      <c r="A10" s="39"/>
      <c r="B10" s="1">
        <f>F7</f>
        <v>3</v>
      </c>
      <c r="C10" s="3">
        <v>0</v>
      </c>
      <c r="D10" s="31">
        <v>0</v>
      </c>
      <c r="E10" s="31"/>
      <c r="F10" s="12">
        <f>(((72)*100)/G6)/100</f>
        <v>0.19672131147540983</v>
      </c>
      <c r="G10" s="3">
        <v>0</v>
      </c>
      <c r="H10" s="3">
        <v>0</v>
      </c>
      <c r="I10" s="3">
        <v>0</v>
      </c>
    </row>
    <row r="11" spans="1:9">
      <c r="A11" s="39"/>
      <c r="B11" s="1">
        <f>G7</f>
        <v>4</v>
      </c>
      <c r="C11" s="3">
        <v>0</v>
      </c>
      <c r="D11" s="31">
        <f>(((5)*100)/G6)/100</f>
        <v>1.3661202185792349E-2</v>
      </c>
      <c r="E11" s="31"/>
      <c r="F11" s="3">
        <v>0</v>
      </c>
      <c r="G11" s="12">
        <f>(((44)*100)/G6)/100</f>
        <v>0.12021857923497267</v>
      </c>
      <c r="H11" s="3">
        <v>0</v>
      </c>
      <c r="I11" s="3">
        <v>0</v>
      </c>
    </row>
    <row r="12" spans="1:9">
      <c r="A12" s="39"/>
      <c r="B12" s="1">
        <f>H7</f>
        <v>5</v>
      </c>
      <c r="C12" s="3">
        <v>0</v>
      </c>
      <c r="D12" s="31">
        <v>0</v>
      </c>
      <c r="E12" s="31"/>
      <c r="F12" s="3">
        <v>0</v>
      </c>
      <c r="G12" s="3">
        <v>0</v>
      </c>
      <c r="H12" s="12">
        <f>(((52)*100)/G6)/100</f>
        <v>0.14207650273224043</v>
      </c>
      <c r="I12" s="3">
        <v>0</v>
      </c>
    </row>
    <row r="13" spans="1:9">
      <c r="A13" s="39"/>
      <c r="B13" s="1">
        <f>I7</f>
        <v>6</v>
      </c>
      <c r="C13" s="3">
        <v>0</v>
      </c>
      <c r="D13" s="31">
        <v>0</v>
      </c>
      <c r="E13" s="31"/>
      <c r="F13" s="3">
        <v>0</v>
      </c>
      <c r="G13" s="3">
        <v>0</v>
      </c>
      <c r="H13" s="3">
        <v>0</v>
      </c>
      <c r="I13" s="12">
        <f>(((20)*100)/G6)/100</f>
        <v>5.4644808743169397E-2</v>
      </c>
    </row>
    <row r="15" spans="1:9">
      <c r="A15" s="22" t="str">
        <f>A1</f>
        <v>k-folds</v>
      </c>
      <c r="B15" s="5" t="s">
        <v>7</v>
      </c>
      <c r="C15" s="7" t="s">
        <v>6</v>
      </c>
      <c r="D15" s="11" t="s">
        <v>2</v>
      </c>
      <c r="E15" s="2">
        <f>500+268</f>
        <v>768</v>
      </c>
    </row>
    <row r="16" spans="1:9">
      <c r="A16" s="37">
        <v>3</v>
      </c>
      <c r="B16" s="6" t="str">
        <f>B2</f>
        <v>↓ Real      Escolhido →</v>
      </c>
      <c r="C16" s="9" t="s">
        <v>8</v>
      </c>
      <c r="D16" s="30" t="s">
        <v>9</v>
      </c>
      <c r="E16" s="30"/>
    </row>
    <row r="17" spans="1:10">
      <c r="A17" s="37"/>
      <c r="B17" s="1" t="str">
        <f>C16</f>
        <v>tested_negative</v>
      </c>
      <c r="C17" s="3">
        <f>(((405)*100)/E15)/100</f>
        <v>0.52734375</v>
      </c>
      <c r="D17" s="31">
        <f>(((95)*100)/E15)/100</f>
        <v>0.12369791666666666</v>
      </c>
      <c r="E17" s="31"/>
    </row>
    <row r="18" spans="1:10">
      <c r="A18" s="38"/>
      <c r="B18" s="1" t="str">
        <f>D16</f>
        <v>tested_positive</v>
      </c>
      <c r="C18" s="3">
        <f>(((95)*100)/E15)/100</f>
        <v>0.12369791666666666</v>
      </c>
      <c r="D18" s="31">
        <f>(((173)*100)/E15)/100</f>
        <v>0.22526041666666669</v>
      </c>
      <c r="E18" s="31"/>
    </row>
    <row r="20" spans="1:10">
      <c r="A20" s="22" t="str">
        <f>A1</f>
        <v>k-folds</v>
      </c>
      <c r="B20" s="5" t="s">
        <v>10</v>
      </c>
      <c r="C20" s="7" t="s">
        <v>11</v>
      </c>
      <c r="D20" s="35" t="s">
        <v>2</v>
      </c>
      <c r="E20" s="35"/>
      <c r="F20" s="35"/>
      <c r="G20" s="33">
        <f>76+138</f>
        <v>214</v>
      </c>
      <c r="H20" s="33"/>
      <c r="I20" s="33"/>
      <c r="J20" s="34"/>
    </row>
    <row r="21" spans="1:10">
      <c r="A21" s="39">
        <v>4</v>
      </c>
      <c r="B21" s="10" t="str">
        <f>B2</f>
        <v>↓ Real      Escolhido →</v>
      </c>
      <c r="C21" s="9" t="s">
        <v>12</v>
      </c>
      <c r="D21" s="30" t="s">
        <v>13</v>
      </c>
      <c r="E21" s="30"/>
      <c r="F21" s="9" t="s">
        <v>14</v>
      </c>
      <c r="G21" s="1" t="s">
        <v>15</v>
      </c>
      <c r="H21" s="1" t="s">
        <v>16</v>
      </c>
      <c r="I21" s="1" t="s">
        <v>17</v>
      </c>
      <c r="J21" s="1" t="s">
        <v>18</v>
      </c>
    </row>
    <row r="22" spans="1:10">
      <c r="A22" s="39"/>
      <c r="B22" s="1" t="str">
        <f>C21</f>
        <v>build wind float</v>
      </c>
      <c r="C22" s="12">
        <f>(((53)*100)/G20)/100</f>
        <v>0.24766355140186916</v>
      </c>
      <c r="D22" s="31">
        <f>(((14)*100)/G20)/100</f>
        <v>6.5420560747663559E-2</v>
      </c>
      <c r="E22" s="31"/>
      <c r="F22" s="3">
        <f>(((2)*100)/G20)/100</f>
        <v>9.3457943925233638E-3</v>
      </c>
      <c r="G22" s="3">
        <v>0</v>
      </c>
      <c r="H22" s="3">
        <v>0</v>
      </c>
      <c r="I22" s="3">
        <v>0</v>
      </c>
      <c r="J22" s="3">
        <f>(((1)*100)/G20)/100</f>
        <v>4.6728971962616819E-3</v>
      </c>
    </row>
    <row r="23" spans="1:10">
      <c r="A23" s="39"/>
      <c r="B23" s="1" t="str">
        <f>D21</f>
        <v>build wind non-float</v>
      </c>
      <c r="C23" s="3">
        <f>(((18)*100)/G20)/100</f>
        <v>8.4112149532710276E-2</v>
      </c>
      <c r="D23" s="32">
        <f>(((52)*100)/G20)/100</f>
        <v>0.24299065420560748</v>
      </c>
      <c r="E23" s="32"/>
      <c r="F23" s="3">
        <f>(((1)*100)/G20)/100</f>
        <v>4.6728971962616819E-3</v>
      </c>
      <c r="G23" s="3">
        <v>0</v>
      </c>
      <c r="H23" s="3">
        <f>(((2)*100)/G20)/100</f>
        <v>9.3457943925233638E-3</v>
      </c>
      <c r="I23" s="3">
        <f>(((2)*100)/G20)/100</f>
        <v>9.3457943925233638E-3</v>
      </c>
      <c r="J23" s="3">
        <f>(((1)*100)/G20)/100</f>
        <v>4.6728971962616819E-3</v>
      </c>
    </row>
    <row r="24" spans="1:10">
      <c r="A24" s="39"/>
      <c r="B24" s="1" t="str">
        <f>F21</f>
        <v>vehic wind float</v>
      </c>
      <c r="C24" s="3">
        <f>(((7)*100)/G20)/100</f>
        <v>3.2710280373831779E-2</v>
      </c>
      <c r="D24" s="31">
        <f>(((8)*100)/G20)/100</f>
        <v>3.7383177570093455E-2</v>
      </c>
      <c r="E24" s="31"/>
      <c r="F24" s="12">
        <f>(((2)*100)/G20)/100</f>
        <v>9.3457943925233638E-3</v>
      </c>
      <c r="G24" s="3">
        <v>0</v>
      </c>
      <c r="H24" s="3">
        <v>0</v>
      </c>
      <c r="I24" s="3">
        <v>0</v>
      </c>
      <c r="J24" s="3">
        <v>0</v>
      </c>
    </row>
    <row r="25" spans="1:10">
      <c r="A25" s="39"/>
      <c r="B25" s="1" t="str">
        <f>G21</f>
        <v>vehic wind non-float</v>
      </c>
      <c r="C25" s="3">
        <v>0</v>
      </c>
      <c r="D25" s="31">
        <v>0</v>
      </c>
      <c r="E25" s="31"/>
      <c r="F25" s="3">
        <v>0</v>
      </c>
      <c r="G25" s="12">
        <v>0</v>
      </c>
      <c r="H25" s="3">
        <v>0</v>
      </c>
      <c r="I25" s="3">
        <v>0</v>
      </c>
      <c r="J25" s="3">
        <v>0</v>
      </c>
    </row>
    <row r="26" spans="1:10">
      <c r="A26" s="39"/>
      <c r="B26" s="1" t="str">
        <f>H21</f>
        <v>containers</v>
      </c>
      <c r="C26" s="3">
        <v>0</v>
      </c>
      <c r="D26" s="31">
        <f>(((5)*100)/G20)/100</f>
        <v>2.336448598130841E-2</v>
      </c>
      <c r="E26" s="31"/>
      <c r="F26" s="3">
        <v>0</v>
      </c>
      <c r="G26" s="3">
        <v>0</v>
      </c>
      <c r="H26" s="12">
        <f>(((6)*100)/G20)/100</f>
        <v>2.8037383177570093E-2</v>
      </c>
      <c r="I26" s="3">
        <f>(((1)*100)/G20)/100</f>
        <v>4.6728971962616819E-3</v>
      </c>
      <c r="J26" s="3">
        <f>(((1)*100)/G20)/100</f>
        <v>4.6728971962616819E-3</v>
      </c>
    </row>
    <row r="27" spans="1:10">
      <c r="A27" s="39"/>
      <c r="B27" s="1" t="str">
        <f>I21</f>
        <v>tableware</v>
      </c>
      <c r="C27" s="3">
        <v>0</v>
      </c>
      <c r="D27" s="31">
        <f>(((1)*100)/G20)/100</f>
        <v>4.6728971962616819E-3</v>
      </c>
      <c r="E27" s="31"/>
      <c r="F27" s="3">
        <f>(((1)*100)/G20)/100</f>
        <v>4.6728971962616819E-3</v>
      </c>
      <c r="G27" s="3">
        <v>0</v>
      </c>
      <c r="H27" s="3">
        <f>(((1)*100)/G20)/100</f>
        <v>4.6728971962616819E-3</v>
      </c>
      <c r="I27" s="12">
        <f>(((6)*100)/G20)/100</f>
        <v>2.8037383177570093E-2</v>
      </c>
      <c r="J27" s="3">
        <v>0</v>
      </c>
    </row>
    <row r="28" spans="1:10">
      <c r="A28" s="39"/>
      <c r="B28" s="1" t="str">
        <f>J21</f>
        <v>headlamps</v>
      </c>
      <c r="C28" s="3">
        <f>(((1)*100)/G20)/100</f>
        <v>4.6728971962616819E-3</v>
      </c>
      <c r="D28" s="31">
        <f>(((1)*100)/G20)/100</f>
        <v>4.6728971962616819E-3</v>
      </c>
      <c r="E28" s="31"/>
      <c r="F28" s="3">
        <v>0</v>
      </c>
      <c r="G28" s="3">
        <v>0</v>
      </c>
      <c r="H28" s="3">
        <f>(((2)*100)/G20)/100</f>
        <v>9.3457943925233638E-3</v>
      </c>
      <c r="I28" s="3">
        <v>0</v>
      </c>
      <c r="J28" s="12">
        <f>(((25)*100)/G20)/100</f>
        <v>0.11682242990654207</v>
      </c>
    </row>
    <row r="30" spans="1:10">
      <c r="A30" s="22" t="str">
        <f>A1</f>
        <v>k-folds</v>
      </c>
      <c r="B30" s="5" t="s">
        <v>19</v>
      </c>
      <c r="C30" s="7" t="s">
        <v>20</v>
      </c>
      <c r="D30" s="11" t="s">
        <v>2</v>
      </c>
      <c r="E30" s="2">
        <f>123+32</f>
        <v>155</v>
      </c>
    </row>
    <row r="31" spans="1:10">
      <c r="A31" s="37">
        <v>5</v>
      </c>
      <c r="B31" s="6" t="str">
        <f>B2</f>
        <v>↓ Real      Escolhido →</v>
      </c>
      <c r="C31" s="9" t="s">
        <v>21</v>
      </c>
      <c r="D31" s="30" t="s">
        <v>22</v>
      </c>
      <c r="E31" s="30"/>
    </row>
    <row r="32" spans="1:10">
      <c r="A32" s="37"/>
      <c r="B32" s="1" t="str">
        <f>C31</f>
        <v>DIE</v>
      </c>
      <c r="C32" s="12">
        <f>(((13)*100)/E30)/100</f>
        <v>8.3870967741935476E-2</v>
      </c>
      <c r="D32" s="31">
        <f>(((19)*100)/E30)/100</f>
        <v>0.12258064516129032</v>
      </c>
      <c r="E32" s="31"/>
    </row>
    <row r="33" spans="1:24">
      <c r="A33" s="38"/>
      <c r="B33" s="1" t="str">
        <f>D31</f>
        <v>LIVE</v>
      </c>
      <c r="C33" s="3">
        <f>(((15)*100)/E30)/100</f>
        <v>9.6774193548387094E-2</v>
      </c>
      <c r="D33" s="32">
        <f>(((108)*100)/E30)/100</f>
        <v>0.6967741935483871</v>
      </c>
      <c r="E33" s="32"/>
    </row>
    <row r="35" spans="1:24">
      <c r="A35" s="22" t="str">
        <f>A1</f>
        <v>k-folds</v>
      </c>
      <c r="B35" s="5" t="s">
        <v>23</v>
      </c>
      <c r="C35" s="7" t="s">
        <v>20</v>
      </c>
      <c r="D35" s="11" t="s">
        <v>2</v>
      </c>
      <c r="E35" s="33">
        <f>3481+291</f>
        <v>3772</v>
      </c>
      <c r="F35" s="33"/>
      <c r="G35" s="33"/>
      <c r="H35" s="34"/>
    </row>
    <row r="36" spans="1:24">
      <c r="A36" s="39">
        <v>6</v>
      </c>
      <c r="B36" s="6" t="str">
        <f>B2</f>
        <v>↓ Real      Escolhido →</v>
      </c>
      <c r="C36" s="9" t="s">
        <v>24</v>
      </c>
      <c r="D36" s="30" t="s">
        <v>25</v>
      </c>
      <c r="E36" s="30"/>
      <c r="F36" s="9" t="s">
        <v>26</v>
      </c>
      <c r="G36" s="30" t="s">
        <v>27</v>
      </c>
      <c r="H36" s="30"/>
    </row>
    <row r="37" spans="1:24">
      <c r="A37" s="39"/>
      <c r="B37" s="1" t="str">
        <f>C36</f>
        <v>negative</v>
      </c>
      <c r="C37" s="12">
        <f>(((3440)*100)/E35)/100</f>
        <v>0.911983032873807</v>
      </c>
      <c r="D37" s="31">
        <f>(((36)*100)/E35)/100</f>
        <v>9.5440084835630972E-3</v>
      </c>
      <c r="E37" s="31"/>
      <c r="F37" s="14">
        <f>(((5)*100)/E35)/100</f>
        <v>1.3255567338282079E-3</v>
      </c>
      <c r="G37" s="31">
        <v>0</v>
      </c>
      <c r="H37" s="31"/>
    </row>
    <row r="38" spans="1:24">
      <c r="A38" s="39"/>
      <c r="B38" s="1" t="str">
        <f>D36</f>
        <v>compensated_hypothyroid</v>
      </c>
      <c r="C38" s="3">
        <f>(((139)*100)/E35)/100</f>
        <v>3.6850477200424177E-2</v>
      </c>
      <c r="D38" s="32">
        <f>(((47)*100)/E35)/100</f>
        <v>1.2460233297985153E-2</v>
      </c>
      <c r="E38" s="32"/>
      <c r="F38" s="3">
        <f>(((8)*100)/E35)/100</f>
        <v>2.1208907741251328E-3</v>
      </c>
      <c r="G38" s="36">
        <v>0</v>
      </c>
      <c r="H38" s="36"/>
    </row>
    <row r="39" spans="1:24">
      <c r="A39" s="39"/>
      <c r="B39" s="1" t="str">
        <f>F36</f>
        <v>primary_hypothyroid</v>
      </c>
      <c r="C39" s="14">
        <f>(((12)*100)/E35)/100</f>
        <v>3.1813361611876989E-3</v>
      </c>
      <c r="D39" s="31">
        <f>(((4)*100)/E35)/100</f>
        <v>1.0604453870625664E-3</v>
      </c>
      <c r="E39" s="31"/>
      <c r="F39" s="12">
        <f>(((79)*100)/E35)/100</f>
        <v>2.0943796394485684E-2</v>
      </c>
      <c r="G39" s="31">
        <v>0</v>
      </c>
      <c r="H39" s="31"/>
    </row>
    <row r="40" spans="1:24">
      <c r="A40" s="39"/>
      <c r="B40" s="1" t="str">
        <f>G36</f>
        <v>secondary_hypothyroid</v>
      </c>
      <c r="C40" s="3">
        <f>(((2)*100)/E35)/100</f>
        <v>5.3022269353128319E-4</v>
      </c>
      <c r="D40" s="36">
        <v>0</v>
      </c>
      <c r="E40" s="36"/>
      <c r="F40" s="3">
        <v>0</v>
      </c>
      <c r="G40" s="32">
        <v>0</v>
      </c>
      <c r="H40" s="32"/>
    </row>
    <row r="42" spans="1:24">
      <c r="A42" s="22" t="str">
        <f>A1</f>
        <v>k-folds</v>
      </c>
      <c r="B42" s="5" t="s">
        <v>28</v>
      </c>
      <c r="C42" s="7" t="s">
        <v>6</v>
      </c>
      <c r="D42" s="11" t="s">
        <v>2</v>
      </c>
      <c r="E42" s="33">
        <f>50+100</f>
        <v>150</v>
      </c>
      <c r="F42" s="34"/>
    </row>
    <row r="43" spans="1:24">
      <c r="A43" s="39">
        <v>2</v>
      </c>
      <c r="B43" s="6" t="str">
        <f>B2</f>
        <v>↓ Real      Escolhido →</v>
      </c>
      <c r="C43" s="9" t="s">
        <v>29</v>
      </c>
      <c r="D43" s="30" t="s">
        <v>30</v>
      </c>
      <c r="E43" s="30"/>
      <c r="F43" s="9" t="s">
        <v>31</v>
      </c>
    </row>
    <row r="44" spans="1:24">
      <c r="A44" s="39"/>
      <c r="B44" s="1" t="str">
        <f>C43</f>
        <v>Iris-setosa</v>
      </c>
      <c r="C44" s="12">
        <f>(((50)*100)/E42)/100</f>
        <v>0.33333333333333337</v>
      </c>
      <c r="D44" s="31">
        <v>0</v>
      </c>
      <c r="E44" s="31"/>
      <c r="F44" s="14">
        <v>0</v>
      </c>
    </row>
    <row r="45" spans="1:24">
      <c r="A45" s="39"/>
      <c r="B45" s="1" t="str">
        <f>D43</f>
        <v>Iris-versicolor</v>
      </c>
      <c r="C45" s="3">
        <v>0</v>
      </c>
      <c r="D45" s="32">
        <f>(((44)*100)/E42)/100</f>
        <v>0.29333333333333333</v>
      </c>
      <c r="E45" s="32"/>
      <c r="F45" s="3">
        <f>(((6)*100)/E42)/100</f>
        <v>0.04</v>
      </c>
    </row>
    <row r="46" spans="1:24">
      <c r="A46" s="39"/>
      <c r="B46" s="1" t="str">
        <f>F43</f>
        <v>Iris-virginica</v>
      </c>
      <c r="C46" s="14">
        <v>0</v>
      </c>
      <c r="D46" s="31">
        <f>(((2)*100)/E42)/100</f>
        <v>1.3333333333333332E-2</v>
      </c>
      <c r="E46" s="31"/>
      <c r="F46" s="12">
        <f>(((48)*100)/E42)/100</f>
        <v>0.32</v>
      </c>
    </row>
    <row r="48" spans="1:24">
      <c r="A48" s="22" t="str">
        <f>A1</f>
        <v>k-folds</v>
      </c>
      <c r="B48" s="5" t="s">
        <v>32</v>
      </c>
      <c r="C48" s="7" t="s">
        <v>11</v>
      </c>
      <c r="D48" s="35" t="s">
        <v>2</v>
      </c>
      <c r="E48" s="35"/>
      <c r="F48" s="35"/>
      <c r="G48" s="33">
        <f>255+84</f>
        <v>339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4"/>
    </row>
    <row r="49" spans="1:24">
      <c r="A49" s="39">
        <v>3</v>
      </c>
      <c r="B49" s="10" t="str">
        <f>B2</f>
        <v>↓ Real      Escolhido →</v>
      </c>
      <c r="C49" s="16" t="s">
        <v>33</v>
      </c>
      <c r="D49" s="29" t="s">
        <v>34</v>
      </c>
      <c r="E49" s="16" t="s">
        <v>35</v>
      </c>
      <c r="F49" s="16" t="s">
        <v>36</v>
      </c>
      <c r="G49" s="16" t="s">
        <v>37</v>
      </c>
      <c r="H49" s="16" t="s">
        <v>38</v>
      </c>
      <c r="I49" s="16" t="s">
        <v>39</v>
      </c>
      <c r="J49" s="16" t="s">
        <v>40</v>
      </c>
      <c r="K49" s="16" t="s">
        <v>41</v>
      </c>
      <c r="L49" s="16" t="s">
        <v>42</v>
      </c>
      <c r="M49" s="16" t="s">
        <v>43</v>
      </c>
      <c r="N49" s="16" t="s">
        <v>44</v>
      </c>
      <c r="O49" s="16" t="s">
        <v>45</v>
      </c>
      <c r="P49" s="16" t="s">
        <v>46</v>
      </c>
      <c r="Q49" s="18" t="s">
        <v>47</v>
      </c>
      <c r="R49" s="18" t="s">
        <v>48</v>
      </c>
      <c r="S49" s="18" t="s">
        <v>49</v>
      </c>
      <c r="T49" s="18" t="s">
        <v>50</v>
      </c>
      <c r="U49" s="18" t="s">
        <v>51</v>
      </c>
      <c r="V49" s="18" t="s">
        <v>52</v>
      </c>
      <c r="W49" s="18" t="s">
        <v>53</v>
      </c>
      <c r="X49" s="18" t="s">
        <v>54</v>
      </c>
    </row>
    <row r="50" spans="1:24">
      <c r="A50" s="39"/>
      <c r="B50" s="1" t="str">
        <f>C49</f>
        <v>lung</v>
      </c>
      <c r="C50" s="12">
        <f>(((Dados!X30)*100)/$G$48)/100</f>
        <v>0.16814159292035399</v>
      </c>
      <c r="D50" s="15">
        <f>(((Dados!Y30)*100)/$G$48)/100</f>
        <v>5.8997050147492625E-3</v>
      </c>
      <c r="E50" s="15">
        <f>(((Dados!Z30)*100)/$G$48)/100</f>
        <v>5.8997050147492625E-3</v>
      </c>
      <c r="F50" s="15">
        <f>(((Dados!AA30)*100)/$G$48)/100</f>
        <v>5.8997050147492625E-3</v>
      </c>
      <c r="G50" s="15">
        <f>(((Dados!AB30)*100)/$G$48)/100</f>
        <v>5.8997050147492625E-3</v>
      </c>
      <c r="H50" s="15">
        <f>(((Dados!AC30)*100)/$G$48)/100</f>
        <v>0</v>
      </c>
      <c r="I50" s="15">
        <f>(((Dados!AD30)*100)/$G$48)/100</f>
        <v>0</v>
      </c>
      <c r="J50" s="15">
        <f>(((Dados!AE30)*100)/$G$48)/100</f>
        <v>0</v>
      </c>
      <c r="K50" s="15">
        <f>(((Dados!AF30)*100)/$G$48)/100</f>
        <v>0</v>
      </c>
      <c r="L50" s="15">
        <f>(((Dados!AG30)*100)/$G$48)/100</f>
        <v>0</v>
      </c>
      <c r="M50" s="15">
        <f>(((Dados!AH30)*100)/$G$48)/100</f>
        <v>1.1799410029498525E-2</v>
      </c>
      <c r="N50" s="15">
        <f>(((Dados!AI30)*100)/$G$48)/100</f>
        <v>2.9498525073746312E-3</v>
      </c>
      <c r="O50" s="15">
        <f>(((Dados!AJ30)*100)/$G$48)/100</f>
        <v>0</v>
      </c>
      <c r="P50" s="15">
        <f>(((Dados!AK30)*100)/$G$48)/100</f>
        <v>1.7699115044247787E-2</v>
      </c>
      <c r="Q50" s="15">
        <f>(((Dados!AL30)*100)/$G$48)/100</f>
        <v>0</v>
      </c>
      <c r="R50" s="15">
        <f>(((Dados!AM30)*100)/$G$48)/100</f>
        <v>0</v>
      </c>
      <c r="S50" s="15">
        <f>(((Dados!AN30)*100)/$G$48)/100</f>
        <v>2.9498525073746312E-3</v>
      </c>
      <c r="T50" s="15">
        <f>(((Dados!AO30)*100)/$G$48)/100</f>
        <v>5.8997050147492625E-3</v>
      </c>
      <c r="U50" s="15">
        <f>(((Dados!AP30)*100)/$G$48)/100</f>
        <v>2.9498525073746312E-3</v>
      </c>
      <c r="V50" s="15">
        <f>(((Dados!AQ30)*100)/$G$48)/100</f>
        <v>0</v>
      </c>
      <c r="W50" s="15">
        <f>(((Dados!AR30)*100)/$G$48)/100</f>
        <v>0</v>
      </c>
      <c r="X50" s="15">
        <f>(((Dados!AS30)*100)/$G$48)/100</f>
        <v>1.1799410029498525E-2</v>
      </c>
    </row>
    <row r="51" spans="1:24">
      <c r="A51" s="39"/>
      <c r="B51" s="1" t="str">
        <f>D49</f>
        <v>head and neck</v>
      </c>
      <c r="C51" s="15">
        <f>(((Dados!X31)*100)/$G$48)/100</f>
        <v>5.8997050147492625E-3</v>
      </c>
      <c r="D51" s="13">
        <f>(((Dados!Y31)*100)/$G$48)/100</f>
        <v>5.0147492625368731E-2</v>
      </c>
      <c r="E51" s="15">
        <f>(((Dados!Z31)*100)/$G$48)/100</f>
        <v>2.9498525073746312E-3</v>
      </c>
      <c r="F51" s="15">
        <f>(((Dados!AA31)*100)/$G$48)/100</f>
        <v>0</v>
      </c>
      <c r="G51" s="15">
        <f>(((Dados!AB31)*100)/$G$48)/100</f>
        <v>0</v>
      </c>
      <c r="H51" s="15">
        <f>(((Dados!AC31)*100)/$G$48)/100</f>
        <v>0</v>
      </c>
      <c r="I51" s="15">
        <f>(((Dados!AD31)*100)/$G$48)/100</f>
        <v>0</v>
      </c>
      <c r="J51" s="15">
        <f>(((Dados!AE31)*100)/$G$48)/100</f>
        <v>0</v>
      </c>
      <c r="K51" s="15">
        <f>(((Dados!AF31)*100)/$G$48)/100</f>
        <v>0</v>
      </c>
      <c r="L51" s="15">
        <f>(((Dados!AG31)*100)/$G$48)/100</f>
        <v>0</v>
      </c>
      <c r="M51" s="15">
        <f>(((Dados!AH31)*100)/$G$48)/100</f>
        <v>0</v>
      </c>
      <c r="N51" s="15">
        <f>(((Dados!AI31)*100)/$G$48)/100</f>
        <v>0</v>
      </c>
      <c r="O51" s="15">
        <f>(((Dados!AJ31)*100)/$G$48)/100</f>
        <v>0</v>
      </c>
      <c r="P51" s="15">
        <f>(((Dados!AK31)*100)/$G$48)/100</f>
        <v>0</v>
      </c>
      <c r="Q51" s="15">
        <f>(((Dados!AL31)*100)/$G$48)/100</f>
        <v>0</v>
      </c>
      <c r="R51" s="15">
        <f>(((Dados!AM31)*100)/$G$48)/100</f>
        <v>0</v>
      </c>
      <c r="S51" s="15">
        <f>(((Dados!AN31)*100)/$G$48)/100</f>
        <v>0</v>
      </c>
      <c r="T51" s="15">
        <f>(((Dados!AO31)*100)/$G$48)/100</f>
        <v>0</v>
      </c>
      <c r="U51" s="15">
        <f>(((Dados!AP31)*100)/$G$48)/100</f>
        <v>0</v>
      </c>
      <c r="V51" s="15">
        <f>(((Dados!AQ31)*100)/$G$48)/100</f>
        <v>0</v>
      </c>
      <c r="W51" s="15">
        <f>(((Dados!AR31)*100)/$G$48)/100</f>
        <v>0</v>
      </c>
      <c r="X51" s="15">
        <f>(((Dados!AS31)*100)/$G$48)/100</f>
        <v>0</v>
      </c>
    </row>
    <row r="52" spans="1:24">
      <c r="A52" s="39"/>
      <c r="B52" s="1" t="str">
        <f>E49</f>
        <v>esophagus</v>
      </c>
      <c r="C52" s="15">
        <f>(((Dados!X32)*100)/$G$48)/100</f>
        <v>1.4749262536873156E-2</v>
      </c>
      <c r="D52" s="15">
        <f>(((Dados!Y32)*100)/$G$48)/100</f>
        <v>5.8997050147492625E-3</v>
      </c>
      <c r="E52" s="13">
        <f>(((Dados!Z32)*100)/$G$48)/100</f>
        <v>0</v>
      </c>
      <c r="F52" s="15">
        <f>(((Dados!AA32)*100)/$G$48)/100</f>
        <v>0</v>
      </c>
      <c r="G52" s="15">
        <f>(((Dados!AB32)*100)/$G$48)/100</f>
        <v>0</v>
      </c>
      <c r="H52" s="15">
        <f>(((Dados!AC32)*100)/$G$48)/100</f>
        <v>0</v>
      </c>
      <c r="I52" s="15">
        <f>(((Dados!AD32)*100)/$G$48)/100</f>
        <v>0</v>
      </c>
      <c r="J52" s="15">
        <f>(((Dados!AE32)*100)/$G$48)/100</f>
        <v>0</v>
      </c>
      <c r="K52" s="15">
        <f>(((Dados!AF32)*100)/$G$48)/100</f>
        <v>0</v>
      </c>
      <c r="L52" s="15">
        <f>(((Dados!AG32)*100)/$G$48)/100</f>
        <v>0</v>
      </c>
      <c r="M52" s="15">
        <f>(((Dados!AH32)*100)/$G$48)/100</f>
        <v>2.9498525073746312E-3</v>
      </c>
      <c r="N52" s="15">
        <f>(((Dados!AI32)*100)/$G$48)/100</f>
        <v>0</v>
      </c>
      <c r="O52" s="15">
        <f>(((Dados!AJ32)*100)/$G$48)/100</f>
        <v>0</v>
      </c>
      <c r="P52" s="15">
        <f>(((Dados!AK32)*100)/$G$48)/100</f>
        <v>2.9498525073746312E-3</v>
      </c>
      <c r="Q52" s="15">
        <f>(((Dados!AL32)*100)/$G$48)/100</f>
        <v>0</v>
      </c>
      <c r="R52" s="15">
        <f>(((Dados!AM32)*100)/$G$48)/100</f>
        <v>0</v>
      </c>
      <c r="S52" s="15">
        <f>(((Dados!AN32)*100)/$G$48)/100</f>
        <v>0</v>
      </c>
      <c r="T52" s="15">
        <f>(((Dados!AO32)*100)/$G$48)/100</f>
        <v>0</v>
      </c>
      <c r="U52" s="15">
        <f>(((Dados!AP32)*100)/$G$48)/100</f>
        <v>0</v>
      </c>
      <c r="V52" s="15">
        <f>(((Dados!AQ32)*100)/$G$48)/100</f>
        <v>0</v>
      </c>
      <c r="W52" s="15">
        <f>(((Dados!AR32)*100)/$G$48)/100</f>
        <v>0</v>
      </c>
      <c r="X52" s="15">
        <f>(((Dados!AS32)*100)/$G$48)/100</f>
        <v>0</v>
      </c>
    </row>
    <row r="53" spans="1:24">
      <c r="A53" s="39"/>
      <c r="B53" s="1" t="str">
        <f>F49</f>
        <v>thyroid</v>
      </c>
      <c r="C53" s="15">
        <f>(((Dados!X33)*100)/$G$48)/100</f>
        <v>5.8997050147492625E-3</v>
      </c>
      <c r="D53" s="15">
        <f>(((Dados!Y33)*100)/$G$48)/100</f>
        <v>2.9498525073746312E-3</v>
      </c>
      <c r="E53" s="15">
        <f>(((Dados!Z33)*100)/$G$48)/100</f>
        <v>0</v>
      </c>
      <c r="F53" s="13">
        <f>(((Dados!AA33)*100)/$G$48)/100</f>
        <v>1.1799410029498525E-2</v>
      </c>
      <c r="G53" s="15">
        <f>(((Dados!AB33)*100)/$G$48)/100</f>
        <v>2.9498525073746312E-3</v>
      </c>
      <c r="H53" s="15">
        <f>(((Dados!AC33)*100)/$G$48)/100</f>
        <v>0</v>
      </c>
      <c r="I53" s="15">
        <f>(((Dados!AD33)*100)/$G$48)/100</f>
        <v>0</v>
      </c>
      <c r="J53" s="15">
        <f>(((Dados!AE33)*100)/$G$48)/100</f>
        <v>0</v>
      </c>
      <c r="K53" s="15">
        <f>(((Dados!AF33)*100)/$G$48)/100</f>
        <v>0</v>
      </c>
      <c r="L53" s="15">
        <f>(((Dados!AG33)*100)/$G$48)/100</f>
        <v>0</v>
      </c>
      <c r="M53" s="15">
        <f>(((Dados!AH33)*100)/$G$48)/100</f>
        <v>0</v>
      </c>
      <c r="N53" s="15">
        <f>(((Dados!AI33)*100)/$G$48)/100</f>
        <v>0</v>
      </c>
      <c r="O53" s="15">
        <f>(((Dados!AJ33)*100)/$G$48)/100</f>
        <v>0</v>
      </c>
      <c r="P53" s="15">
        <f>(((Dados!AK33)*100)/$G$48)/100</f>
        <v>5.8997050147492625E-3</v>
      </c>
      <c r="Q53" s="15">
        <f>(((Dados!AL33)*100)/$G$48)/100</f>
        <v>2.9498525073746312E-3</v>
      </c>
      <c r="R53" s="15">
        <f>(((Dados!AM33)*100)/$G$48)/100</f>
        <v>0</v>
      </c>
      <c r="S53" s="15">
        <f>(((Dados!AN33)*100)/$G$48)/100</f>
        <v>5.8997050147492625E-3</v>
      </c>
      <c r="T53" s="15">
        <f>(((Dados!AO33)*100)/$G$48)/100</f>
        <v>0</v>
      </c>
      <c r="U53" s="15">
        <f>(((Dados!AP33)*100)/$G$48)/100</f>
        <v>0</v>
      </c>
      <c r="V53" s="15">
        <f>(((Dados!AQ33)*100)/$G$48)/100</f>
        <v>0</v>
      </c>
      <c r="W53" s="15">
        <f>(((Dados!AR33)*100)/$G$48)/100</f>
        <v>0</v>
      </c>
      <c r="X53" s="15">
        <f>(((Dados!AS33)*100)/$G$48)/100</f>
        <v>2.9498525073746312E-3</v>
      </c>
    </row>
    <row r="54" spans="1:24">
      <c r="A54" s="39"/>
      <c r="B54" s="1" t="str">
        <f>G49</f>
        <v>stomach</v>
      </c>
      <c r="C54" s="15">
        <f>(((Dados!X34)*100)/$G$48)/100</f>
        <v>8.8495575221238937E-3</v>
      </c>
      <c r="D54" s="15">
        <f>(((Dados!Y34)*100)/$G$48)/100</f>
        <v>0</v>
      </c>
      <c r="E54" s="15">
        <f>(((Dados!Z34)*100)/$G$48)/100</f>
        <v>5.8997050147492625E-3</v>
      </c>
      <c r="F54" s="15">
        <f>(((Dados!AA34)*100)/$G$48)/100</f>
        <v>0</v>
      </c>
      <c r="G54" s="13">
        <f>(((Dados!AB34)*100)/$G$48)/100</f>
        <v>1.4749262536873156E-2</v>
      </c>
      <c r="H54" s="15">
        <f>(((Dados!AC34)*100)/$G$48)/100</f>
        <v>0</v>
      </c>
      <c r="I54" s="15">
        <f>(((Dados!AD34)*100)/$G$48)/100</f>
        <v>5.8997050147492625E-3</v>
      </c>
      <c r="J54" s="15">
        <f>(((Dados!AE34)*100)/$G$48)/100</f>
        <v>2.9498525073746312E-3</v>
      </c>
      <c r="K54" s="15">
        <f>(((Dados!AF34)*100)/$G$48)/100</f>
        <v>0</v>
      </c>
      <c r="L54" s="15">
        <f>(((Dados!AG34)*100)/$G$48)/100</f>
        <v>0</v>
      </c>
      <c r="M54" s="15">
        <f>(((Dados!AH34)*100)/$G$48)/100</f>
        <v>1.4749262536873156E-2</v>
      </c>
      <c r="N54" s="15">
        <f>(((Dados!AI34)*100)/$G$48)/100</f>
        <v>1.4749262536873156E-2</v>
      </c>
      <c r="O54" s="15">
        <f>(((Dados!AJ34)*100)/$G$48)/100</f>
        <v>0</v>
      </c>
      <c r="P54" s="15">
        <f>(((Dados!AK34)*100)/$G$48)/100</f>
        <v>1.7699115044247787E-2</v>
      </c>
      <c r="Q54" s="15">
        <f>(((Dados!AL34)*100)/$G$48)/100</f>
        <v>0</v>
      </c>
      <c r="R54" s="15">
        <f>(((Dados!AM34)*100)/$G$48)/100</f>
        <v>0</v>
      </c>
      <c r="S54" s="15">
        <f>(((Dados!AN34)*100)/$G$48)/100</f>
        <v>8.8495575221238937E-3</v>
      </c>
      <c r="T54" s="15">
        <f>(((Dados!AO34)*100)/$G$48)/100</f>
        <v>1.4749262536873156E-2</v>
      </c>
      <c r="U54" s="15">
        <f>(((Dados!AP34)*100)/$G$48)/100</f>
        <v>0</v>
      </c>
      <c r="V54" s="15">
        <f>(((Dados!AQ34)*100)/$G$48)/100</f>
        <v>0</v>
      </c>
      <c r="W54" s="15">
        <f>(((Dados!AR34)*100)/$G$48)/100</f>
        <v>0</v>
      </c>
      <c r="X54" s="15">
        <f>(((Dados!AS34)*100)/$G$48)/100</f>
        <v>5.8997050147492625E-3</v>
      </c>
    </row>
    <row r="55" spans="1:24">
      <c r="A55" s="39"/>
      <c r="B55" s="1" t="str">
        <f>H49</f>
        <v>duoden and sm.int</v>
      </c>
      <c r="C55" s="15">
        <f>(((Dados!X35)*100)/$G$48)/100</f>
        <v>0</v>
      </c>
      <c r="D55" s="15">
        <f>(((Dados!Y35)*100)/$G$48)/100</f>
        <v>0</v>
      </c>
      <c r="E55" s="15">
        <f>(((Dados!Z35)*100)/$G$48)/100</f>
        <v>0</v>
      </c>
      <c r="F55" s="15">
        <f>(((Dados!AA35)*100)/$G$48)/100</f>
        <v>0</v>
      </c>
      <c r="G55" s="15">
        <f>(((Dados!AB35)*100)/$G$48)/100</f>
        <v>0</v>
      </c>
      <c r="H55" s="13">
        <f>(((Dados!AC35)*100)/$G$48)/100</f>
        <v>0</v>
      </c>
      <c r="I55" s="15">
        <f>(((Dados!AD35)*100)/$G$48)/100</f>
        <v>0</v>
      </c>
      <c r="J55" s="15">
        <f>(((Dados!AE35)*100)/$G$48)/100</f>
        <v>0</v>
      </c>
      <c r="K55" s="15">
        <f>(((Dados!AF35)*100)/$G$48)/100</f>
        <v>0</v>
      </c>
      <c r="L55" s="15">
        <f>(((Dados!AG35)*100)/$G$48)/100</f>
        <v>0</v>
      </c>
      <c r="M55" s="15">
        <f>(((Dados!AH35)*100)/$G$48)/100</f>
        <v>0</v>
      </c>
      <c r="N55" s="15">
        <f>(((Dados!AI35)*100)/$G$48)/100</f>
        <v>0</v>
      </c>
      <c r="O55" s="15">
        <f>(((Dados!AJ35)*100)/$G$48)/100</f>
        <v>2.9498525073746312E-3</v>
      </c>
      <c r="P55" s="15">
        <f>(((Dados!AK35)*100)/$G$48)/100</f>
        <v>0</v>
      </c>
      <c r="Q55" s="15">
        <f>(((Dados!AL35)*100)/$G$48)/100</f>
        <v>0</v>
      </c>
      <c r="R55" s="15">
        <f>(((Dados!AM35)*100)/$G$48)/100</f>
        <v>0</v>
      </c>
      <c r="S55" s="15">
        <f>(((Dados!AN35)*100)/$G$48)/100</f>
        <v>0</v>
      </c>
      <c r="T55" s="15">
        <f>(((Dados!AO35)*100)/$G$48)/100</f>
        <v>0</v>
      </c>
      <c r="U55" s="15">
        <f>(((Dados!AP35)*100)/$G$48)/100</f>
        <v>0</v>
      </c>
      <c r="V55" s="15">
        <f>(((Dados!AQ35)*100)/$G$48)/100</f>
        <v>0</v>
      </c>
      <c r="W55" s="15">
        <f>(((Dados!AR35)*100)/$G$48)/100</f>
        <v>0</v>
      </c>
      <c r="X55" s="15">
        <f>(((Dados!AS35)*100)/$G$48)/100</f>
        <v>0</v>
      </c>
    </row>
    <row r="56" spans="1:24">
      <c r="A56" s="39"/>
      <c r="B56" s="1" t="str">
        <f>I49</f>
        <v>colon</v>
      </c>
      <c r="C56" s="15">
        <f>(((Dados!X36)*100)/$G$48)/100</f>
        <v>0</v>
      </c>
      <c r="D56" s="15">
        <f>(((Dados!Y36)*100)/$G$48)/100</f>
        <v>0</v>
      </c>
      <c r="E56" s="15">
        <f>(((Dados!Z36)*100)/$G$48)/100</f>
        <v>0</v>
      </c>
      <c r="F56" s="15">
        <f>(((Dados!AA36)*100)/$G$48)/100</f>
        <v>0</v>
      </c>
      <c r="G56" s="15">
        <f>(((Dados!AB36)*100)/$G$48)/100</f>
        <v>8.8495575221238937E-3</v>
      </c>
      <c r="H56" s="15">
        <f>(((Dados!AC36)*100)/$G$48)/100</f>
        <v>2.9498525073746312E-3</v>
      </c>
      <c r="I56" s="13">
        <f>(((Dados!AD36)*100)/$G$48)/100</f>
        <v>0</v>
      </c>
      <c r="J56" s="15">
        <f>(((Dados!AE36)*100)/$G$48)/100</f>
        <v>0</v>
      </c>
      <c r="K56" s="15">
        <f>(((Dados!AF36)*100)/$G$48)/100</f>
        <v>0</v>
      </c>
      <c r="L56" s="15">
        <f>(((Dados!AG36)*100)/$G$48)/100</f>
        <v>0</v>
      </c>
      <c r="M56" s="15">
        <f>(((Dados!AH36)*100)/$G$48)/100</f>
        <v>8.8495575221238937E-3</v>
      </c>
      <c r="N56" s="15">
        <f>(((Dados!AI36)*100)/$G$48)/100</f>
        <v>8.8495575221238937E-3</v>
      </c>
      <c r="O56" s="15">
        <f>(((Dados!AJ36)*100)/$G$48)/100</f>
        <v>2.9498525073746312E-3</v>
      </c>
      <c r="P56" s="15">
        <f>(((Dados!AK36)*100)/$G$48)/100</f>
        <v>2.9498525073746312E-3</v>
      </c>
      <c r="Q56" s="15">
        <f>(((Dados!AL36)*100)/$G$48)/100</f>
        <v>0</v>
      </c>
      <c r="R56" s="15">
        <f>(((Dados!AM36)*100)/$G$48)/100</f>
        <v>0</v>
      </c>
      <c r="S56" s="15">
        <f>(((Dados!AN36)*100)/$G$48)/100</f>
        <v>2.9498525073746312E-3</v>
      </c>
      <c r="T56" s="15">
        <f>(((Dados!AO36)*100)/$G$48)/100</f>
        <v>2.9498525073746312E-3</v>
      </c>
      <c r="U56" s="15">
        <f>(((Dados!AP36)*100)/$G$48)/100</f>
        <v>0</v>
      </c>
      <c r="V56" s="15">
        <f>(((Dados!AQ36)*100)/$G$48)/100</f>
        <v>0</v>
      </c>
      <c r="W56" s="15">
        <f>(((Dados!AR36)*100)/$G$48)/100</f>
        <v>0</v>
      </c>
      <c r="X56" s="15">
        <f>(((Dados!AS36)*100)/$G$48)/100</f>
        <v>0</v>
      </c>
    </row>
    <row r="57" spans="1:24">
      <c r="A57" s="39"/>
      <c r="B57" s="1" t="str">
        <f>J49</f>
        <v>rectum</v>
      </c>
      <c r="C57" s="15">
        <f>(((Dados!X37)*100)/$G$48)/100</f>
        <v>0</v>
      </c>
      <c r="D57" s="15">
        <f>(((Dados!Y37)*100)/$G$48)/100</f>
        <v>2.9498525073746312E-3</v>
      </c>
      <c r="E57" s="15">
        <f>(((Dados!Z37)*100)/$G$48)/100</f>
        <v>0</v>
      </c>
      <c r="F57" s="15">
        <f>(((Dados!AA37)*100)/$G$48)/100</f>
        <v>0</v>
      </c>
      <c r="G57" s="15">
        <f>(((Dados!AB37)*100)/$G$48)/100</f>
        <v>2.9498525073746312E-3</v>
      </c>
      <c r="H57" s="15">
        <f>(((Dados!AC37)*100)/$G$48)/100</f>
        <v>0</v>
      </c>
      <c r="I57" s="15">
        <f>(((Dados!AD37)*100)/$G$48)/100</f>
        <v>0</v>
      </c>
      <c r="J57" s="13">
        <f>(((Dados!AE37)*100)/$G$48)/100</f>
        <v>2.9498525073746312E-3</v>
      </c>
      <c r="K57" s="15">
        <f>(((Dados!AF37)*100)/$G$48)/100</f>
        <v>0</v>
      </c>
      <c r="L57" s="15">
        <f>(((Dados!AG37)*100)/$G$48)/100</f>
        <v>0</v>
      </c>
      <c r="M57" s="15">
        <f>(((Dados!AH37)*100)/$G$48)/100</f>
        <v>2.9498525073746312E-3</v>
      </c>
      <c r="N57" s="15">
        <f>(((Dados!AI37)*100)/$G$48)/100</f>
        <v>0</v>
      </c>
      <c r="O57" s="15">
        <f>(((Dados!AJ37)*100)/$G$48)/100</f>
        <v>0</v>
      </c>
      <c r="P57" s="15">
        <f>(((Dados!AK37)*100)/$G$48)/100</f>
        <v>2.9498525073746312E-3</v>
      </c>
      <c r="Q57" s="15">
        <f>(((Dados!AL37)*100)/$G$48)/100</f>
        <v>0</v>
      </c>
      <c r="R57" s="15">
        <f>(((Dados!AM37)*100)/$G$48)/100</f>
        <v>0</v>
      </c>
      <c r="S57" s="15">
        <f>(((Dados!AN37)*100)/$G$48)/100</f>
        <v>0</v>
      </c>
      <c r="T57" s="15">
        <f>(((Dados!AO37)*100)/$G$48)/100</f>
        <v>2.9498525073746312E-3</v>
      </c>
      <c r="U57" s="15">
        <f>(((Dados!AP37)*100)/$G$48)/100</f>
        <v>0</v>
      </c>
      <c r="V57" s="15">
        <f>(((Dados!AQ37)*100)/$G$48)/100</f>
        <v>0</v>
      </c>
      <c r="W57" s="15">
        <f>(((Dados!AR37)*100)/$G$48)/100</f>
        <v>0</v>
      </c>
      <c r="X57" s="15">
        <f>(((Dados!AS37)*100)/$G$48)/100</f>
        <v>0</v>
      </c>
    </row>
    <row r="58" spans="1:24">
      <c r="A58" s="39"/>
      <c r="B58" s="1" t="str">
        <f>K49</f>
        <v>anus</v>
      </c>
      <c r="C58" s="15">
        <f>(((Dados!X38)*100)/$G$48)/100</f>
        <v>0</v>
      </c>
      <c r="D58" s="15">
        <f>(((Dados!Y38)*100)/$G$48)/100</f>
        <v>0</v>
      </c>
      <c r="E58" s="15">
        <f>(((Dados!Z38)*100)/$G$48)/100</f>
        <v>0</v>
      </c>
      <c r="F58" s="15">
        <f>(((Dados!AA38)*100)/$G$48)/100</f>
        <v>0</v>
      </c>
      <c r="G58" s="15">
        <f>(((Dados!AB38)*100)/$G$48)/100</f>
        <v>0</v>
      </c>
      <c r="H58" s="15">
        <f>(((Dados!AC38)*100)/$G$48)/100</f>
        <v>0</v>
      </c>
      <c r="I58" s="15">
        <f>(((Dados!AD38)*100)/$G$48)/100</f>
        <v>0</v>
      </c>
      <c r="J58" s="15">
        <f>(((Dados!AE38)*100)/$G$48)/100</f>
        <v>0</v>
      </c>
      <c r="K58" s="13">
        <f>(((Dados!AF38)*100)/$G$48)/100</f>
        <v>0</v>
      </c>
      <c r="L58" s="15">
        <f>(((Dados!AG38)*100)/$G$48)/100</f>
        <v>0</v>
      </c>
      <c r="M58" s="15">
        <f>(((Dados!AH38)*100)/$G$48)/100</f>
        <v>0</v>
      </c>
      <c r="N58" s="15">
        <f>(((Dados!AI38)*100)/$G$48)/100</f>
        <v>0</v>
      </c>
      <c r="O58" s="15">
        <f>(((Dados!AJ38)*100)/$G$48)/100</f>
        <v>0</v>
      </c>
      <c r="P58" s="15">
        <f>(((Dados!AK38)*100)/$G$48)/100</f>
        <v>0</v>
      </c>
      <c r="Q58" s="15">
        <f>(((Dados!AL38)*100)/$G$48)/100</f>
        <v>0</v>
      </c>
      <c r="R58" s="15">
        <f>(((Dados!AM38)*100)/$G$48)/100</f>
        <v>0</v>
      </c>
      <c r="S58" s="15">
        <f>(((Dados!AN38)*100)/$G$48)/100</f>
        <v>0</v>
      </c>
      <c r="T58" s="15">
        <f>(((Dados!AO38)*100)/$G$48)/100</f>
        <v>0</v>
      </c>
      <c r="U58" s="15">
        <f>(((Dados!AP38)*100)/$G$48)/100</f>
        <v>0</v>
      </c>
      <c r="V58" s="15">
        <f>(((Dados!AQ38)*100)/$G$48)/100</f>
        <v>0</v>
      </c>
      <c r="W58" s="15">
        <f>(((Dados!AR38)*100)/$G$48)/100</f>
        <v>0</v>
      </c>
      <c r="X58" s="15">
        <f>(((Dados!AS38)*100)/$G$48)/100</f>
        <v>0</v>
      </c>
    </row>
    <row r="59" spans="1:24">
      <c r="A59" s="39"/>
      <c r="B59" s="1" t="str">
        <f>L49</f>
        <v>salivary glands</v>
      </c>
      <c r="C59" s="15">
        <f>(((Dados!X39)*100)/$G$48)/100</f>
        <v>2.9498525073746312E-3</v>
      </c>
      <c r="D59" s="15">
        <f>(((Dados!Y39)*100)/$G$48)/100</f>
        <v>2.9498525073746312E-3</v>
      </c>
      <c r="E59" s="15">
        <f>(((Dados!Z39)*100)/$G$48)/100</f>
        <v>0</v>
      </c>
      <c r="F59" s="15">
        <f>(((Dados!AA39)*100)/$G$48)/100</f>
        <v>0</v>
      </c>
      <c r="G59" s="15">
        <f>(((Dados!AB39)*100)/$G$48)/100</f>
        <v>0</v>
      </c>
      <c r="H59" s="15">
        <f>(((Dados!AC39)*100)/$G$48)/100</f>
        <v>0</v>
      </c>
      <c r="I59" s="15">
        <f>(((Dados!AD39)*100)/$G$48)/100</f>
        <v>0</v>
      </c>
      <c r="J59" s="15">
        <f>(((Dados!AE39)*100)/$G$48)/100</f>
        <v>0</v>
      </c>
      <c r="K59" s="15">
        <f>(((Dados!AF39)*100)/$G$48)/100</f>
        <v>0</v>
      </c>
      <c r="L59" s="13">
        <f>(((Dados!AG39)*100)/$G$48)/100</f>
        <v>0</v>
      </c>
      <c r="M59" s="15">
        <f>(((Dados!AH39)*100)/$G$48)/100</f>
        <v>0</v>
      </c>
      <c r="N59" s="15">
        <f>(((Dados!AI39)*100)/$G$48)/100</f>
        <v>0</v>
      </c>
      <c r="O59" s="15">
        <f>(((Dados!AJ39)*100)/$G$48)/100</f>
        <v>0</v>
      </c>
      <c r="P59" s="15">
        <f>(((Dados!AK39)*100)/$G$48)/100</f>
        <v>0</v>
      </c>
      <c r="Q59" s="15">
        <f>(((Dados!AL39)*100)/$G$48)/100</f>
        <v>0</v>
      </c>
      <c r="R59" s="15">
        <f>(((Dados!AM39)*100)/$G$48)/100</f>
        <v>0</v>
      </c>
      <c r="S59" s="15">
        <f>(((Dados!AN39)*100)/$G$48)/100</f>
        <v>0</v>
      </c>
      <c r="T59" s="15">
        <f>(((Dados!AO39)*100)/$G$48)/100</f>
        <v>0</v>
      </c>
      <c r="U59" s="15">
        <f>(((Dados!AP39)*100)/$G$48)/100</f>
        <v>0</v>
      </c>
      <c r="V59" s="15">
        <f>(((Dados!AQ39)*100)/$G$48)/100</f>
        <v>0</v>
      </c>
      <c r="W59" s="15">
        <f>(((Dados!AR39)*100)/$G$48)/100</f>
        <v>0</v>
      </c>
      <c r="X59" s="15">
        <f>(((Dados!AS39)*100)/$G$48)/100</f>
        <v>0</v>
      </c>
    </row>
    <row r="60" spans="1:24">
      <c r="A60" s="39"/>
      <c r="B60" s="1" t="str">
        <f>M49</f>
        <v>pancreas</v>
      </c>
      <c r="C60" s="15">
        <f>(((Dados!X40)*100)/$G$48)/100</f>
        <v>8.8495575221238937E-3</v>
      </c>
      <c r="D60" s="15">
        <f>(((Dados!Y40)*100)/$G$48)/100</f>
        <v>0</v>
      </c>
      <c r="E60" s="15">
        <f>(((Dados!Z40)*100)/$G$48)/100</f>
        <v>0</v>
      </c>
      <c r="F60" s="15">
        <f>(((Dados!AA40)*100)/$G$48)/100</f>
        <v>0</v>
      </c>
      <c r="G60" s="15">
        <f>(((Dados!AB40)*100)/$G$48)/100</f>
        <v>1.4749262536873156E-2</v>
      </c>
      <c r="H60" s="15">
        <f>(((Dados!AC40)*100)/$G$48)/100</f>
        <v>0</v>
      </c>
      <c r="I60" s="15">
        <f>(((Dados!AD40)*100)/$G$48)/100</f>
        <v>1.1799410029498525E-2</v>
      </c>
      <c r="J60" s="15">
        <f>(((Dados!AE40)*100)/$G$48)/100</f>
        <v>0</v>
      </c>
      <c r="K60" s="15">
        <f>(((Dados!AF40)*100)/$G$48)/100</f>
        <v>0</v>
      </c>
      <c r="L60" s="15">
        <f>(((Dados!AG40)*100)/$G$48)/100</f>
        <v>0</v>
      </c>
      <c r="M60" s="13">
        <f>(((Dados!AH40)*100)/$G$48)/100</f>
        <v>1.7699115044247787E-2</v>
      </c>
      <c r="N60" s="15">
        <f>(((Dados!AI40)*100)/$G$48)/100</f>
        <v>5.8997050147492625E-3</v>
      </c>
      <c r="O60" s="15">
        <f>(((Dados!AJ40)*100)/$G$48)/100</f>
        <v>5.8997050147492625E-3</v>
      </c>
      <c r="P60" s="15">
        <f>(((Dados!AK40)*100)/$G$48)/100</f>
        <v>0</v>
      </c>
      <c r="Q60" s="15">
        <f>(((Dados!AL40)*100)/$G$48)/100</f>
        <v>0</v>
      </c>
      <c r="R60" s="15">
        <f>(((Dados!AM40)*100)/$G$48)/100</f>
        <v>0</v>
      </c>
      <c r="S60" s="15">
        <f>(((Dados!AN40)*100)/$G$48)/100</f>
        <v>2.9498525073746312E-3</v>
      </c>
      <c r="T60" s="15">
        <f>(((Dados!AO40)*100)/$G$48)/100</f>
        <v>5.8997050147492625E-3</v>
      </c>
      <c r="U60" s="15">
        <f>(((Dados!AP40)*100)/$G$48)/100</f>
        <v>8.8495575221238937E-3</v>
      </c>
      <c r="V60" s="15">
        <f>(((Dados!AQ40)*100)/$G$48)/100</f>
        <v>0</v>
      </c>
      <c r="W60" s="15">
        <f>(((Dados!AR40)*100)/$G$48)/100</f>
        <v>0</v>
      </c>
      <c r="X60" s="15">
        <f>(((Dados!AS40)*100)/$G$48)/100</f>
        <v>0</v>
      </c>
    </row>
    <row r="61" spans="1:24">
      <c r="A61" s="39"/>
      <c r="B61" s="1" t="str">
        <f>N49</f>
        <v>gallbladder</v>
      </c>
      <c r="C61" s="15">
        <f>(((Dados!X41)*100)/$G$48)/100</f>
        <v>5.8997050147492625E-3</v>
      </c>
      <c r="D61" s="15">
        <f>(((Dados!Y41)*100)/$G$48)/100</f>
        <v>0</v>
      </c>
      <c r="E61" s="15">
        <f>(((Dados!Z41)*100)/$G$48)/100</f>
        <v>0</v>
      </c>
      <c r="F61" s="15">
        <f>(((Dados!AA41)*100)/$G$48)/100</f>
        <v>0</v>
      </c>
      <c r="G61" s="15">
        <f>(((Dados!AB41)*100)/$G$48)/100</f>
        <v>2.9498525073746312E-3</v>
      </c>
      <c r="H61" s="15">
        <f>(((Dados!AC41)*100)/$G$48)/100</f>
        <v>0</v>
      </c>
      <c r="I61" s="15">
        <f>(((Dados!AD41)*100)/$G$48)/100</f>
        <v>8.8495575221238937E-3</v>
      </c>
      <c r="J61" s="15">
        <f>(((Dados!AE41)*100)/$G$48)/100</f>
        <v>0</v>
      </c>
      <c r="K61" s="15">
        <f>(((Dados!AF41)*100)/$G$48)/100</f>
        <v>0</v>
      </c>
      <c r="L61" s="15">
        <f>(((Dados!AG41)*100)/$G$48)/100</f>
        <v>0</v>
      </c>
      <c r="M61" s="15">
        <f>(((Dados!AH41)*100)/$G$48)/100</f>
        <v>5.8997050147492625E-3</v>
      </c>
      <c r="N61" s="13">
        <f>(((Dados!AI41)*100)/$G$48)/100</f>
        <v>1.7699115044247787E-2</v>
      </c>
      <c r="O61" s="15">
        <f>(((Dados!AJ41)*100)/$G$48)/100</f>
        <v>2.9498525073746312E-3</v>
      </c>
      <c r="P61" s="15">
        <f>(((Dados!AK41)*100)/$G$48)/100</f>
        <v>0</v>
      </c>
      <c r="Q61" s="15">
        <f>(((Dados!AL41)*100)/$G$48)/100</f>
        <v>0</v>
      </c>
      <c r="R61" s="15">
        <f>(((Dados!AM41)*100)/$G$48)/100</f>
        <v>0</v>
      </c>
      <c r="S61" s="15">
        <f>(((Dados!AN41)*100)/$G$48)/100</f>
        <v>0</v>
      </c>
      <c r="T61" s="15">
        <f>(((Dados!AO41)*100)/$G$48)/100</f>
        <v>2.9498525073746312E-3</v>
      </c>
      <c r="U61" s="15">
        <f>(((Dados!AP41)*100)/$G$48)/100</f>
        <v>0</v>
      </c>
      <c r="V61" s="15">
        <f>(((Dados!AQ41)*100)/$G$48)/100</f>
        <v>0</v>
      </c>
      <c r="W61" s="15">
        <f>(((Dados!AR41)*100)/$G$48)/100</f>
        <v>0</v>
      </c>
      <c r="X61" s="15">
        <f>(((Dados!AS41)*100)/$G$48)/100</f>
        <v>0</v>
      </c>
    </row>
    <row r="62" spans="1:24">
      <c r="A62" s="39"/>
      <c r="B62" s="1" t="str">
        <f>O49</f>
        <v>liver</v>
      </c>
      <c r="C62" s="15">
        <f>(((Dados!X42)*100)/$G$48)/100</f>
        <v>2.9498525073746312E-3</v>
      </c>
      <c r="D62" s="15">
        <f>(((Dados!Y42)*100)/$G$48)/100</f>
        <v>0</v>
      </c>
      <c r="E62" s="15">
        <f>(((Dados!Z42)*100)/$G$48)/100</f>
        <v>0</v>
      </c>
      <c r="F62" s="15">
        <f>(((Dados!AA42)*100)/$G$48)/100</f>
        <v>0</v>
      </c>
      <c r="G62" s="15">
        <f>(((Dados!AB42)*100)/$G$48)/100</f>
        <v>0</v>
      </c>
      <c r="H62" s="15">
        <f>(((Dados!AC42)*100)/$G$48)/100</f>
        <v>2.9498525073746312E-3</v>
      </c>
      <c r="I62" s="15">
        <f>(((Dados!AD42)*100)/$G$48)/100</f>
        <v>5.8997050147492625E-3</v>
      </c>
      <c r="J62" s="15">
        <f>(((Dados!AE42)*100)/$G$48)/100</f>
        <v>0</v>
      </c>
      <c r="K62" s="15">
        <f>(((Dados!AF42)*100)/$G$48)/100</f>
        <v>0</v>
      </c>
      <c r="L62" s="15">
        <f>(((Dados!AG42)*100)/$G$48)/100</f>
        <v>0</v>
      </c>
      <c r="M62" s="15">
        <f>(((Dados!AH42)*100)/$G$48)/100</f>
        <v>0</v>
      </c>
      <c r="N62" s="15">
        <f>(((Dados!AI42)*100)/$G$48)/100</f>
        <v>5.8997050147492625E-3</v>
      </c>
      <c r="O62" s="13">
        <f>(((Dados!AJ42)*100)/$G$48)/100</f>
        <v>0</v>
      </c>
      <c r="P62" s="15">
        <f>(((Dados!AK42)*100)/$G$48)/100</f>
        <v>0</v>
      </c>
      <c r="Q62" s="15">
        <f>(((Dados!AL42)*100)/$G$48)/100</f>
        <v>0</v>
      </c>
      <c r="R62" s="15">
        <f>(((Dados!AM42)*100)/$G$48)/100</f>
        <v>0</v>
      </c>
      <c r="S62" s="15">
        <f>(((Dados!AN42)*100)/$G$48)/100</f>
        <v>0</v>
      </c>
      <c r="T62" s="15">
        <f>(((Dados!AO42)*100)/$G$48)/100</f>
        <v>0</v>
      </c>
      <c r="U62" s="15">
        <f>(((Dados!AP42)*100)/$G$48)/100</f>
        <v>2.9498525073746312E-3</v>
      </c>
      <c r="V62" s="15">
        <f>(((Dados!AQ42)*100)/$G$48)/100</f>
        <v>0</v>
      </c>
      <c r="W62" s="15">
        <f>(((Dados!AR42)*100)/$G$48)/100</f>
        <v>0</v>
      </c>
      <c r="X62" s="15">
        <f>(((Dados!AS42)*100)/$G$48)/100</f>
        <v>0</v>
      </c>
    </row>
    <row r="63" spans="1:24">
      <c r="A63" s="39"/>
      <c r="B63" s="1" t="str">
        <f>P49</f>
        <v>kidney</v>
      </c>
      <c r="C63" s="15">
        <f>(((Dados!X43)*100)/$G$48)/100</f>
        <v>5.8997050147492625E-3</v>
      </c>
      <c r="D63" s="15">
        <f>(((Dados!Y43)*100)/$G$48)/100</f>
        <v>0</v>
      </c>
      <c r="E63" s="15">
        <f>(((Dados!Z43)*100)/$G$48)/100</f>
        <v>2.9498525073746312E-3</v>
      </c>
      <c r="F63" s="15">
        <f>(((Dados!AA43)*100)/$G$48)/100</f>
        <v>8.8495575221238937E-3</v>
      </c>
      <c r="G63" s="15">
        <f>(((Dados!AB43)*100)/$G$48)/100</f>
        <v>1.4749262536873156E-2</v>
      </c>
      <c r="H63" s="15">
        <f>(((Dados!AC43)*100)/$G$48)/100</f>
        <v>0</v>
      </c>
      <c r="I63" s="15">
        <f>(((Dados!AD43)*100)/$G$48)/100</f>
        <v>0</v>
      </c>
      <c r="J63" s="15">
        <f>(((Dados!AE43)*100)/$G$48)/100</f>
        <v>0</v>
      </c>
      <c r="K63" s="15">
        <f>(((Dados!AF43)*100)/$G$48)/100</f>
        <v>0</v>
      </c>
      <c r="L63" s="15">
        <f>(((Dados!AG43)*100)/$G$48)/100</f>
        <v>0</v>
      </c>
      <c r="M63" s="15">
        <f>(((Dados!AH43)*100)/$G$48)/100</f>
        <v>2.9498525073746312E-3</v>
      </c>
      <c r="N63" s="15">
        <f>(((Dados!AI43)*100)/$G$48)/100</f>
        <v>0</v>
      </c>
      <c r="O63" s="15">
        <f>(((Dados!AJ43)*100)/$G$48)/100</f>
        <v>5.8997050147492625E-3</v>
      </c>
      <c r="P63" s="13">
        <f>(((Dados!AK43)*100)/$G$48)/100</f>
        <v>1.4749262536873156E-2</v>
      </c>
      <c r="Q63" s="15">
        <f>(((Dados!AL43)*100)/$G$48)/100</f>
        <v>0</v>
      </c>
      <c r="R63" s="15">
        <f>(((Dados!AM43)*100)/$G$48)/100</f>
        <v>0</v>
      </c>
      <c r="S63" s="15">
        <f>(((Dados!AN43)*100)/$G$48)/100</f>
        <v>1.1799410029498525E-2</v>
      </c>
      <c r="T63" s="15">
        <f>(((Dados!AO43)*100)/$G$48)/100</f>
        <v>2.9498525073746312E-3</v>
      </c>
      <c r="U63" s="15">
        <f>(((Dados!AP43)*100)/$G$48)/100</f>
        <v>0</v>
      </c>
      <c r="V63" s="15">
        <f>(((Dados!AQ43)*100)/$G$48)/100</f>
        <v>0</v>
      </c>
      <c r="W63" s="15">
        <f>(((Dados!AR43)*100)/$G$48)/100</f>
        <v>0</v>
      </c>
      <c r="X63" s="15">
        <f>(((Dados!AS43)*100)/$G$48)/100</f>
        <v>0</v>
      </c>
    </row>
    <row r="64" spans="1:24">
      <c r="A64" s="39"/>
      <c r="B64" s="1" t="str">
        <f>Q49</f>
        <v>bladder</v>
      </c>
      <c r="C64" s="15">
        <f>(((Dados!X44)*100)/$G$48)/100</f>
        <v>5.8997050147492625E-3</v>
      </c>
      <c r="D64" s="15">
        <f>(((Dados!Y44)*100)/$G$48)/100</f>
        <v>0</v>
      </c>
      <c r="E64" s="15">
        <f>(((Dados!Z44)*100)/$G$48)/100</f>
        <v>0</v>
      </c>
      <c r="F64" s="15">
        <f>(((Dados!AA44)*100)/$G$48)/100</f>
        <v>0</v>
      </c>
      <c r="G64" s="15">
        <f>(((Dados!AB44)*100)/$G$48)/100</f>
        <v>0</v>
      </c>
      <c r="H64" s="15">
        <f>(((Dados!AC44)*100)/$G$48)/100</f>
        <v>0</v>
      </c>
      <c r="I64" s="15">
        <f>(((Dados!AD44)*100)/$G$48)/100</f>
        <v>0</v>
      </c>
      <c r="J64" s="15">
        <f>(((Dados!AE44)*100)/$G$48)/100</f>
        <v>0</v>
      </c>
      <c r="K64" s="15">
        <f>(((Dados!AF44)*100)/$G$48)/100</f>
        <v>0</v>
      </c>
      <c r="L64" s="15">
        <f>(((Dados!AG44)*100)/$G$48)/100</f>
        <v>0</v>
      </c>
      <c r="M64" s="15">
        <f>(((Dados!AH44)*100)/$G$48)/100</f>
        <v>0</v>
      </c>
      <c r="N64" s="15">
        <f>(((Dados!AI44)*100)/$G$48)/100</f>
        <v>0</v>
      </c>
      <c r="O64" s="15">
        <f>(((Dados!AJ44)*100)/$G$48)/100</f>
        <v>0</v>
      </c>
      <c r="P64" s="15">
        <f>(((Dados!AK44)*100)/$G$48)/100</f>
        <v>0</v>
      </c>
      <c r="Q64" s="13">
        <f>(((Dados!AL44)*100)/$G$48)/100</f>
        <v>0</v>
      </c>
      <c r="R64" s="15">
        <f>(((Dados!AM44)*100)/$G$48)/100</f>
        <v>0</v>
      </c>
      <c r="S64" s="15">
        <f>(((Dados!AN44)*100)/$G$48)/100</f>
        <v>0</v>
      </c>
      <c r="T64" s="15">
        <f>(((Dados!AO44)*100)/$G$48)/100</f>
        <v>0</v>
      </c>
      <c r="U64" s="15">
        <f>(((Dados!AP44)*100)/$G$48)/100</f>
        <v>0</v>
      </c>
      <c r="V64" s="15">
        <f>(((Dados!AQ44)*100)/$G$48)/100</f>
        <v>0</v>
      </c>
      <c r="W64" s="15">
        <f>(((Dados!AR44)*100)/$G$48)/100</f>
        <v>0</v>
      </c>
      <c r="X64" s="15">
        <f>(((Dados!AS44)*100)/$G$48)/100</f>
        <v>0</v>
      </c>
    </row>
    <row r="65" spans="1:24">
      <c r="A65" s="39"/>
      <c r="B65" s="1" t="str">
        <f>R49</f>
        <v>testis</v>
      </c>
      <c r="C65" s="15">
        <f>(((Dados!X45)*100)/$G$48)/100</f>
        <v>0</v>
      </c>
      <c r="D65" s="15">
        <f>(((Dados!Y45)*100)/$G$48)/100</f>
        <v>0</v>
      </c>
      <c r="E65" s="15">
        <f>(((Dados!Z45)*100)/$G$48)/100</f>
        <v>0</v>
      </c>
      <c r="F65" s="15">
        <f>(((Dados!AA45)*100)/$G$48)/100</f>
        <v>0</v>
      </c>
      <c r="G65" s="15">
        <f>(((Dados!AB45)*100)/$G$48)/100</f>
        <v>0</v>
      </c>
      <c r="H65" s="15">
        <f>(((Dados!AC45)*100)/$G$48)/100</f>
        <v>0</v>
      </c>
      <c r="I65" s="15">
        <f>(((Dados!AD45)*100)/$G$48)/100</f>
        <v>0</v>
      </c>
      <c r="J65" s="15">
        <f>(((Dados!AE45)*100)/$G$48)/100</f>
        <v>0</v>
      </c>
      <c r="K65" s="15">
        <f>(((Dados!AF45)*100)/$G$48)/100</f>
        <v>0</v>
      </c>
      <c r="L65" s="15">
        <f>(((Dados!AG45)*100)/$G$48)/100</f>
        <v>0</v>
      </c>
      <c r="M65" s="15">
        <f>(((Dados!AH45)*100)/$G$48)/100</f>
        <v>0</v>
      </c>
      <c r="N65" s="15">
        <f>(((Dados!AI45)*100)/$G$48)/100</f>
        <v>0</v>
      </c>
      <c r="O65" s="15">
        <f>(((Dados!AJ45)*100)/$G$48)/100</f>
        <v>2.9498525073746312E-3</v>
      </c>
      <c r="P65" s="15">
        <f>(((Dados!AK45)*100)/$G$48)/100</f>
        <v>0</v>
      </c>
      <c r="Q65" s="15">
        <f>(((Dados!AL45)*100)/$G$48)/100</f>
        <v>0</v>
      </c>
      <c r="R65" s="13">
        <f>(((Dados!AM45)*100)/$G$48)/100</f>
        <v>0</v>
      </c>
      <c r="S65" s="15">
        <f>(((Dados!AN45)*100)/$G$48)/100</f>
        <v>0</v>
      </c>
      <c r="T65" s="15">
        <f>(((Dados!AO45)*100)/$G$48)/100</f>
        <v>0</v>
      </c>
      <c r="U65" s="15">
        <f>(((Dados!AP45)*100)/$G$48)/100</f>
        <v>0</v>
      </c>
      <c r="V65" s="15">
        <f>(((Dados!AQ45)*100)/$G$48)/100</f>
        <v>0</v>
      </c>
      <c r="W65" s="15">
        <f>(((Dados!AR45)*100)/$G$48)/100</f>
        <v>0</v>
      </c>
      <c r="X65" s="15">
        <f>(((Dados!AS45)*100)/$G$48)/100</f>
        <v>0</v>
      </c>
    </row>
    <row r="66" spans="1:24">
      <c r="A66" s="39"/>
      <c r="B66" s="1" t="str">
        <f>S49</f>
        <v>prostate</v>
      </c>
      <c r="C66" s="15">
        <f>(((Dados!X46)*100)/$G$48)/100</f>
        <v>0</v>
      </c>
      <c r="D66" s="15">
        <f>(((Dados!Y46)*100)/$G$48)/100</f>
        <v>2.9498525073746312E-3</v>
      </c>
      <c r="E66" s="15">
        <f>(((Dados!Z46)*100)/$G$48)/100</f>
        <v>0</v>
      </c>
      <c r="F66" s="15">
        <f>(((Dados!AA46)*100)/$G$48)/100</f>
        <v>2.9498525073746312E-3</v>
      </c>
      <c r="G66" s="15">
        <f>(((Dados!AB46)*100)/$G$48)/100</f>
        <v>2.9498525073746312E-3</v>
      </c>
      <c r="H66" s="15">
        <f>(((Dados!AC46)*100)/$G$48)/100</f>
        <v>0</v>
      </c>
      <c r="I66" s="15">
        <f>(((Dados!AD46)*100)/$G$48)/100</f>
        <v>0</v>
      </c>
      <c r="J66" s="15">
        <f>(((Dados!AE46)*100)/$G$48)/100</f>
        <v>0</v>
      </c>
      <c r="K66" s="15">
        <f>(((Dados!AF46)*100)/$G$48)/100</f>
        <v>0</v>
      </c>
      <c r="L66" s="15">
        <f>(((Dados!AG46)*100)/$G$48)/100</f>
        <v>0</v>
      </c>
      <c r="M66" s="15">
        <f>(((Dados!AH46)*100)/$G$48)/100</f>
        <v>2.9498525073746312E-3</v>
      </c>
      <c r="N66" s="15">
        <f>(((Dados!AI46)*100)/$G$48)/100</f>
        <v>0</v>
      </c>
      <c r="O66" s="15">
        <f>(((Dados!AJ46)*100)/$G$48)/100</f>
        <v>0</v>
      </c>
      <c r="P66" s="15">
        <f>(((Dados!AK46)*100)/$G$48)/100</f>
        <v>5.8997050147492625E-3</v>
      </c>
      <c r="Q66" s="15">
        <f>(((Dados!AL46)*100)/$G$48)/100</f>
        <v>0</v>
      </c>
      <c r="R66" s="15">
        <f>(((Dados!AM46)*100)/$G$48)/100</f>
        <v>0</v>
      </c>
      <c r="S66" s="13">
        <f>(((Dados!AN46)*100)/$G$48)/100</f>
        <v>1.1799410029498525E-2</v>
      </c>
      <c r="T66" s="15">
        <f>(((Dados!AO46)*100)/$G$48)/100</f>
        <v>0</v>
      </c>
      <c r="U66" s="15">
        <f>(((Dados!AP46)*100)/$G$48)/100</f>
        <v>0</v>
      </c>
      <c r="V66" s="15">
        <f>(((Dados!AQ46)*100)/$G$48)/100</f>
        <v>0</v>
      </c>
      <c r="W66" s="15">
        <f>(((Dados!AR46)*100)/$G$48)/100</f>
        <v>0</v>
      </c>
      <c r="X66" s="15">
        <f>(((Dados!AS46)*100)/$G$48)/100</f>
        <v>0</v>
      </c>
    </row>
    <row r="67" spans="1:24">
      <c r="A67" s="39"/>
      <c r="B67" s="1" t="str">
        <f>T49</f>
        <v>ovary</v>
      </c>
      <c r="C67" s="15">
        <f>(((Dados!X47)*100)/$G$48)/100</f>
        <v>2.9498525073746312E-3</v>
      </c>
      <c r="D67" s="15">
        <f>(((Dados!Y47)*100)/$G$48)/100</f>
        <v>2.9498525073746312E-3</v>
      </c>
      <c r="E67" s="15">
        <f>(((Dados!Z47)*100)/$G$48)/100</f>
        <v>0</v>
      </c>
      <c r="F67" s="15">
        <f>(((Dados!AA47)*100)/$G$48)/100</f>
        <v>0</v>
      </c>
      <c r="G67" s="15">
        <f>(((Dados!AB47)*100)/$G$48)/100</f>
        <v>2.9498525073746312E-3</v>
      </c>
      <c r="H67" s="15">
        <f>(((Dados!AC47)*100)/$G$48)/100</f>
        <v>0</v>
      </c>
      <c r="I67" s="15">
        <f>(((Dados!AD47)*100)/$G$48)/100</f>
        <v>0</v>
      </c>
      <c r="J67" s="15">
        <f>(((Dados!AE47)*100)/$G$48)/100</f>
        <v>0</v>
      </c>
      <c r="K67" s="15">
        <f>(((Dados!AF47)*100)/$G$48)/100</f>
        <v>0</v>
      </c>
      <c r="L67" s="15">
        <f>(((Dados!AG47)*100)/$G$48)/100</f>
        <v>0</v>
      </c>
      <c r="M67" s="15">
        <f>(((Dados!AH47)*100)/$G$48)/100</f>
        <v>1.1799410029498525E-2</v>
      </c>
      <c r="N67" s="15">
        <f>(((Dados!AI47)*100)/$G$48)/100</f>
        <v>5.8997050147492625E-3</v>
      </c>
      <c r="O67" s="15">
        <f>(((Dados!AJ47)*100)/$G$48)/100</f>
        <v>0</v>
      </c>
      <c r="P67" s="15">
        <f>(((Dados!AK47)*100)/$G$48)/100</f>
        <v>0</v>
      </c>
      <c r="Q67" s="15">
        <f>(((Dados!AL47)*100)/$G$48)/100</f>
        <v>0</v>
      </c>
      <c r="R67" s="15">
        <f>(((Dados!AM47)*100)/$G$48)/100</f>
        <v>0</v>
      </c>
      <c r="S67" s="15">
        <f>(((Dados!AN47)*100)/$G$48)/100</f>
        <v>0</v>
      </c>
      <c r="T67" s="13">
        <f>(((Dados!AO47)*100)/$G$48)/100</f>
        <v>5.6047197640118E-2</v>
      </c>
      <c r="U67" s="15">
        <f>(((Dados!AP47)*100)/$G$48)/100</f>
        <v>2.9498525073746312E-3</v>
      </c>
      <c r="V67" s="15">
        <f>(((Dados!AQ47)*100)/$G$48)/100</f>
        <v>0</v>
      </c>
      <c r="W67" s="15">
        <f>(((Dados!AR47)*100)/$G$48)/100</f>
        <v>0</v>
      </c>
      <c r="X67" s="15">
        <f>(((Dados!AS47)*100)/$G$48)/100</f>
        <v>0</v>
      </c>
    </row>
    <row r="68" spans="1:24">
      <c r="A68" s="39"/>
      <c r="B68" s="1" t="str">
        <f>U49</f>
        <v>corpus uteri</v>
      </c>
      <c r="C68" s="15">
        <f>(((Dados!X48)*100)/$G$48)/100</f>
        <v>0</v>
      </c>
      <c r="D68" s="15">
        <f>(((Dados!Y48)*100)/$G$48)/100</f>
        <v>0</v>
      </c>
      <c r="E68" s="15">
        <f>(((Dados!Z48)*100)/$G$48)/100</f>
        <v>0</v>
      </c>
      <c r="F68" s="15">
        <f>(((Dados!AA48)*100)/$G$48)/100</f>
        <v>2.9498525073746312E-3</v>
      </c>
      <c r="G68" s="15">
        <f>(((Dados!AB48)*100)/$G$48)/100</f>
        <v>0</v>
      </c>
      <c r="H68" s="15">
        <f>(((Dados!AC48)*100)/$G$48)/100</f>
        <v>0</v>
      </c>
      <c r="I68" s="15">
        <f>(((Dados!AD48)*100)/$G$48)/100</f>
        <v>2.9498525073746312E-3</v>
      </c>
      <c r="J68" s="15">
        <f>(((Dados!AE48)*100)/$G$48)/100</f>
        <v>0</v>
      </c>
      <c r="K68" s="15">
        <f>(((Dados!AF48)*100)/$G$48)/100</f>
        <v>0</v>
      </c>
      <c r="L68" s="15">
        <f>(((Dados!AG48)*100)/$G$48)/100</f>
        <v>0</v>
      </c>
      <c r="M68" s="15">
        <f>(((Dados!AH48)*100)/$G$48)/100</f>
        <v>2.9498525073746312E-3</v>
      </c>
      <c r="N68" s="15">
        <f>(((Dados!AI48)*100)/$G$48)/100</f>
        <v>5.8997050147492625E-3</v>
      </c>
      <c r="O68" s="15">
        <f>(((Dados!AJ48)*100)/$G$48)/100</f>
        <v>0</v>
      </c>
      <c r="P68" s="15">
        <f>(((Dados!AK48)*100)/$G$48)/100</f>
        <v>0</v>
      </c>
      <c r="Q68" s="15">
        <f>(((Dados!AL48)*100)/$G$48)/100</f>
        <v>0</v>
      </c>
      <c r="R68" s="15">
        <f>(((Dados!AM48)*100)/$G$48)/100</f>
        <v>0</v>
      </c>
      <c r="S68" s="15">
        <f>(((Dados!AN48)*100)/$G$48)/100</f>
        <v>0</v>
      </c>
      <c r="T68" s="15">
        <f>(((Dados!AO48)*100)/$G$48)/100</f>
        <v>2.9498525073746312E-3</v>
      </c>
      <c r="U68" s="13">
        <f>(((Dados!AP48)*100)/$G$48)/100</f>
        <v>0</v>
      </c>
      <c r="V68" s="15">
        <f>(((Dados!AQ48)*100)/$G$48)/100</f>
        <v>0</v>
      </c>
      <c r="W68" s="15">
        <f>(((Dados!AR48)*100)/$G$48)/100</f>
        <v>0</v>
      </c>
      <c r="X68" s="15">
        <f>(((Dados!AS48)*100)/$G$48)/100</f>
        <v>0</v>
      </c>
    </row>
    <row r="69" spans="1:24">
      <c r="A69" s="39"/>
      <c r="B69" s="1" t="str">
        <f>V49</f>
        <v>cervix uteri</v>
      </c>
      <c r="C69" s="15">
        <f>(((Dados!X49)*100)/$G$48)/100</f>
        <v>0</v>
      </c>
      <c r="D69" s="15">
        <f>(((Dados!Y49)*100)/$G$48)/100</f>
        <v>0</v>
      </c>
      <c r="E69" s="15">
        <f>(((Dados!Z49)*100)/$G$48)/100</f>
        <v>0</v>
      </c>
      <c r="F69" s="15">
        <f>(((Dados!AA49)*100)/$G$48)/100</f>
        <v>0</v>
      </c>
      <c r="G69" s="15">
        <f>(((Dados!AB49)*100)/$G$48)/100</f>
        <v>0</v>
      </c>
      <c r="H69" s="15">
        <f>(((Dados!AC49)*100)/$G$48)/100</f>
        <v>0</v>
      </c>
      <c r="I69" s="15">
        <f>(((Dados!AD49)*100)/$G$48)/100</f>
        <v>2.9498525073746312E-3</v>
      </c>
      <c r="J69" s="15">
        <f>(((Dados!AE49)*100)/$G$48)/100</f>
        <v>0</v>
      </c>
      <c r="K69" s="15">
        <f>(((Dados!AF49)*100)/$G$48)/100</f>
        <v>0</v>
      </c>
      <c r="L69" s="15">
        <f>(((Dados!AG49)*100)/$G$48)/100</f>
        <v>0</v>
      </c>
      <c r="M69" s="15">
        <f>(((Dados!AH49)*100)/$G$48)/100</f>
        <v>0</v>
      </c>
      <c r="N69" s="15">
        <f>(((Dados!AI49)*100)/$G$48)/100</f>
        <v>0</v>
      </c>
      <c r="O69" s="15">
        <f>(((Dados!AJ49)*100)/$G$48)/100</f>
        <v>0</v>
      </c>
      <c r="P69" s="15">
        <f>(((Dados!AK49)*100)/$G$48)/100</f>
        <v>0</v>
      </c>
      <c r="Q69" s="15">
        <f>(((Dados!AL49)*100)/$G$48)/100</f>
        <v>0</v>
      </c>
      <c r="R69" s="15">
        <f>(((Dados!AM49)*100)/$G$48)/100</f>
        <v>0</v>
      </c>
      <c r="S69" s="15">
        <f>(((Dados!AN49)*100)/$G$48)/100</f>
        <v>0</v>
      </c>
      <c r="T69" s="15">
        <f>(((Dados!AO49)*100)/$G$48)/100</f>
        <v>0</v>
      </c>
      <c r="U69" s="15">
        <f>(((Dados!AP49)*100)/$G$48)/100</f>
        <v>2.9498525073746312E-3</v>
      </c>
      <c r="V69" s="13">
        <f>(((Dados!AQ49)*100)/$G$48)/100</f>
        <v>0</v>
      </c>
      <c r="W69" s="15">
        <f>(((Dados!AR49)*100)/$G$48)/100</f>
        <v>0</v>
      </c>
      <c r="X69" s="15">
        <f>(((Dados!AS49)*100)/$G$48)/100</f>
        <v>0</v>
      </c>
    </row>
    <row r="70" spans="1:24">
      <c r="A70" s="39"/>
      <c r="B70" s="1" t="str">
        <f>W49</f>
        <v>vagina</v>
      </c>
      <c r="C70" s="15">
        <f>(((Dados!X50)*100)/$G$48)/100</f>
        <v>2.9498525073746312E-3</v>
      </c>
      <c r="D70" s="15">
        <f>(((Dados!Y50)*100)/$G$48)/100</f>
        <v>0</v>
      </c>
      <c r="E70" s="15">
        <f>(((Dados!Z50)*100)/$G$48)/100</f>
        <v>0</v>
      </c>
      <c r="F70" s="15">
        <f>(((Dados!AA50)*100)/$G$48)/100</f>
        <v>0</v>
      </c>
      <c r="G70" s="15">
        <f>(((Dados!AB50)*100)/$G$48)/100</f>
        <v>0</v>
      </c>
      <c r="H70" s="15">
        <f>(((Dados!AC50)*100)/$G$48)/100</f>
        <v>0</v>
      </c>
      <c r="I70" s="15">
        <f>(((Dados!AD50)*100)/$G$48)/100</f>
        <v>0</v>
      </c>
      <c r="J70" s="15">
        <f>(((Dados!AE50)*100)/$G$48)/100</f>
        <v>0</v>
      </c>
      <c r="K70" s="15">
        <f>(((Dados!AF50)*100)/$G$48)/100</f>
        <v>0</v>
      </c>
      <c r="L70" s="15">
        <f>(((Dados!AG50)*100)/$G$48)/100</f>
        <v>0</v>
      </c>
      <c r="M70" s="15">
        <f>(((Dados!AH50)*100)/$G$48)/100</f>
        <v>0</v>
      </c>
      <c r="N70" s="15">
        <f>(((Dados!AI50)*100)/$G$48)/100</f>
        <v>0</v>
      </c>
      <c r="O70" s="15">
        <f>(((Dados!AJ50)*100)/$G$48)/100</f>
        <v>0</v>
      </c>
      <c r="P70" s="15">
        <f>(((Dados!AK50)*100)/$G$48)/100</f>
        <v>0</v>
      </c>
      <c r="Q70" s="15">
        <f>(((Dados!AL50)*100)/$G$48)/100</f>
        <v>0</v>
      </c>
      <c r="R70" s="15">
        <f>(((Dados!AM50)*100)/$G$48)/100</f>
        <v>0</v>
      </c>
      <c r="S70" s="15">
        <f>(((Dados!AN50)*100)/$G$48)/100</f>
        <v>0</v>
      </c>
      <c r="T70" s="15">
        <f>(((Dados!AO50)*100)/$G$48)/100</f>
        <v>0</v>
      </c>
      <c r="U70" s="15">
        <f>(((Dados!AP50)*100)/$G$48)/100</f>
        <v>0</v>
      </c>
      <c r="V70" s="15">
        <f>(((Dados!AQ50)*100)/$G$48)/100</f>
        <v>0</v>
      </c>
      <c r="W70" s="13">
        <f>(((Dados!AR50)*100)/$G$48)/100</f>
        <v>0</v>
      </c>
      <c r="X70" s="15">
        <f>(((Dados!AS50)*100)/$G$48)/100</f>
        <v>0</v>
      </c>
    </row>
    <row r="71" spans="1:24">
      <c r="A71" s="39"/>
      <c r="B71" s="1" t="str">
        <f>X49</f>
        <v>breast</v>
      </c>
      <c r="C71" s="15">
        <f>(((Dados!X51)*100)/$G$48)/100</f>
        <v>0</v>
      </c>
      <c r="D71" s="15">
        <f>(((Dados!Y51)*100)/$G$48)/100</f>
        <v>0</v>
      </c>
      <c r="E71" s="15">
        <f>(((Dados!Z51)*100)/$G$48)/100</f>
        <v>0</v>
      </c>
      <c r="F71" s="15">
        <f>(((Dados!AA51)*100)/$G$48)/100</f>
        <v>0</v>
      </c>
      <c r="G71" s="15">
        <f>(((Dados!AB51)*100)/$G$48)/100</f>
        <v>0</v>
      </c>
      <c r="H71" s="15">
        <f>(((Dados!AC51)*100)/$G$48)/100</f>
        <v>0</v>
      </c>
      <c r="I71" s="15">
        <f>(((Dados!AD51)*100)/$G$48)/100</f>
        <v>0</v>
      </c>
      <c r="J71" s="15">
        <f>(((Dados!AE51)*100)/$G$48)/100</f>
        <v>0</v>
      </c>
      <c r="K71" s="15">
        <f>(((Dados!AF51)*100)/$G$48)/100</f>
        <v>0</v>
      </c>
      <c r="L71" s="15">
        <f>(((Dados!AG51)*100)/$G$48)/100</f>
        <v>0</v>
      </c>
      <c r="M71" s="15">
        <f>(((Dados!AH51)*100)/$G$48)/100</f>
        <v>2.9498525073746312E-3</v>
      </c>
      <c r="N71" s="15">
        <f>(((Dados!AI51)*100)/$G$48)/100</f>
        <v>0</v>
      </c>
      <c r="O71" s="15">
        <f>(((Dados!AJ51)*100)/$G$48)/100</f>
        <v>0</v>
      </c>
      <c r="P71" s="15">
        <f>(((Dados!AK51)*100)/$G$48)/100</f>
        <v>5.8997050147492625E-3</v>
      </c>
      <c r="Q71" s="15">
        <f>(((Dados!AL51)*100)/$G$48)/100</f>
        <v>0</v>
      </c>
      <c r="R71" s="15">
        <f>(((Dados!AM51)*100)/$G$48)/100</f>
        <v>0</v>
      </c>
      <c r="S71" s="15">
        <f>(((Dados!AN51)*100)/$G$48)/100</f>
        <v>0</v>
      </c>
      <c r="T71" s="15">
        <f>(((Dados!AO51)*100)/$G$48)/100</f>
        <v>5.8997050147492625E-3</v>
      </c>
      <c r="U71" s="15">
        <f>(((Dados!AP51)*100)/$G$48)/100</f>
        <v>2.9498525073746312E-3</v>
      </c>
      <c r="V71" s="15">
        <f>(((Dados!AQ51)*100)/$G$48)/100</f>
        <v>0</v>
      </c>
      <c r="W71" s="15">
        <f>(((Dados!AR51)*100)/$G$48)/100</f>
        <v>0</v>
      </c>
      <c r="X71" s="13">
        <f>(((Dados!AS51)*100)/$G$48)/100</f>
        <v>5.3097345132743362E-2</v>
      </c>
    </row>
    <row r="73" spans="1:24">
      <c r="A73" s="22" t="str">
        <f>A1</f>
        <v>k-folds</v>
      </c>
      <c r="B73" s="5" t="s">
        <v>55</v>
      </c>
      <c r="C73" s="7" t="s">
        <v>20</v>
      </c>
      <c r="D73" s="11" t="s">
        <v>2</v>
      </c>
      <c r="E73" s="33">
        <f>629+217</f>
        <v>846</v>
      </c>
      <c r="F73" s="33"/>
      <c r="G73" s="33"/>
      <c r="H73" s="34"/>
    </row>
    <row r="74" spans="1:24">
      <c r="A74" s="39">
        <v>3</v>
      </c>
      <c r="B74" s="6" t="str">
        <f>B2</f>
        <v>↓ Real      Escolhido →</v>
      </c>
      <c r="C74" s="9" t="s">
        <v>56</v>
      </c>
      <c r="D74" s="30" t="s">
        <v>57</v>
      </c>
      <c r="E74" s="30"/>
      <c r="F74" s="9" t="s">
        <v>58</v>
      </c>
      <c r="G74" s="30" t="s">
        <v>59</v>
      </c>
      <c r="H74" s="30"/>
    </row>
    <row r="75" spans="1:24">
      <c r="A75" s="39"/>
      <c r="B75" s="1" t="str">
        <f>C74</f>
        <v>opel</v>
      </c>
      <c r="C75" s="12">
        <f>(((139)*100)/E73)/100</f>
        <v>0.16430260047281323</v>
      </c>
      <c r="D75" s="31">
        <f>(((61)*100)/E73)/100</f>
        <v>7.2104018912529544E-2</v>
      </c>
      <c r="E75" s="31"/>
      <c r="F75" s="14">
        <f>(((6)*100)/E73)/100</f>
        <v>7.0921985815602835E-3</v>
      </c>
      <c r="G75" s="31">
        <f>(((6)*100)/E73)/100</f>
        <v>7.0921985815602835E-3</v>
      </c>
      <c r="H75" s="31"/>
    </row>
    <row r="76" spans="1:24">
      <c r="A76" s="39"/>
      <c r="B76" s="1" t="str">
        <f>D74</f>
        <v>saab</v>
      </c>
      <c r="C76" s="3">
        <f>(((68)*100)/E73)/100</f>
        <v>8.0378250591016553E-2</v>
      </c>
      <c r="D76" s="32">
        <f>(((137)*100)/E73)/100</f>
        <v>0.16193853427895979</v>
      </c>
      <c r="E76" s="32"/>
      <c r="F76" s="3">
        <f>(((7)*100)/E73)/100</f>
        <v>8.2742316784869974E-3</v>
      </c>
      <c r="G76" s="36">
        <f>(((5)*100)/E73)/100</f>
        <v>5.9101654846335696E-3</v>
      </c>
      <c r="H76" s="36"/>
    </row>
    <row r="77" spans="1:24">
      <c r="A77" s="39"/>
      <c r="B77" s="1" t="str">
        <f>F74</f>
        <v>bus</v>
      </c>
      <c r="C77" s="14">
        <f>(((3)*100)/E73)/100</f>
        <v>3.5460992907801418E-3</v>
      </c>
      <c r="D77" s="31">
        <f>(((2)*100)/E73)/100</f>
        <v>2.3640661938534278E-3</v>
      </c>
      <c r="E77" s="31"/>
      <c r="F77" s="12">
        <f>(((209)*100)/E73)/100</f>
        <v>0.24704491725768321</v>
      </c>
      <c r="G77" s="31">
        <f>(((4)*100)/E73)/100</f>
        <v>4.7281323877068557E-3</v>
      </c>
      <c r="H77" s="31"/>
    </row>
    <row r="78" spans="1:24">
      <c r="A78" s="39"/>
      <c r="B78" s="1" t="str">
        <f>G74</f>
        <v>van</v>
      </c>
      <c r="C78" s="3">
        <f>(((5)*100)/E73)/100</f>
        <v>5.9101654846335696E-3</v>
      </c>
      <c r="D78" s="36">
        <f>(((1)*100)/E73)/100</f>
        <v>1.1820330969267139E-3</v>
      </c>
      <c r="E78" s="36"/>
      <c r="F78" s="3">
        <f>(((4)*100)/E73)/100</f>
        <v>4.7281323877068557E-3</v>
      </c>
      <c r="G78" s="32">
        <f>(((189)*100)/E73)/100</f>
        <v>0.22340425531914893</v>
      </c>
      <c r="H78" s="32"/>
    </row>
    <row r="80" spans="1:24">
      <c r="A80" s="22" t="str">
        <f>A1</f>
        <v>k-folds</v>
      </c>
      <c r="B80" s="5" t="s">
        <v>60</v>
      </c>
      <c r="C80" s="7" t="s">
        <v>61</v>
      </c>
      <c r="D80" s="11" t="s">
        <v>2</v>
      </c>
      <c r="E80" s="33">
        <f>52+99</f>
        <v>151</v>
      </c>
      <c r="F80" s="34"/>
    </row>
    <row r="81" spans="1:6">
      <c r="A81" s="39">
        <v>2</v>
      </c>
      <c r="B81" s="6" t="str">
        <f>B2</f>
        <v>↓ Real      Escolhido →</v>
      </c>
      <c r="C81" s="9">
        <v>1</v>
      </c>
      <c r="D81" s="30">
        <v>2</v>
      </c>
      <c r="E81" s="30"/>
      <c r="F81" s="9">
        <v>3</v>
      </c>
    </row>
    <row r="82" spans="1:6">
      <c r="A82" s="39"/>
      <c r="B82" s="1">
        <f>C81</f>
        <v>1</v>
      </c>
      <c r="C82" s="12">
        <f>(((34)*100)/E80)/100</f>
        <v>0.22516556291390727</v>
      </c>
      <c r="D82" s="31">
        <f>(((9)*100)/E80)/100</f>
        <v>5.9602649006622516E-2</v>
      </c>
      <c r="E82" s="31"/>
      <c r="F82" s="14">
        <f>(((6)*100)/E80)/100</f>
        <v>3.9735099337748346E-2</v>
      </c>
    </row>
    <row r="83" spans="1:6">
      <c r="A83" s="39"/>
      <c r="B83" s="1">
        <f>D81</f>
        <v>2</v>
      </c>
      <c r="C83" s="3">
        <f>(((17)*100)/E80)/100</f>
        <v>0.11258278145695363</v>
      </c>
      <c r="D83" s="32">
        <f>(((23)*100)/E80)/100</f>
        <v>0.15231788079470199</v>
      </c>
      <c r="E83" s="32"/>
      <c r="F83" s="3">
        <f>(((10)*100)/E80)/100</f>
        <v>6.6225165562913912E-2</v>
      </c>
    </row>
    <row r="84" spans="1:6">
      <c r="A84" s="39"/>
      <c r="B84" s="1">
        <f>F81</f>
        <v>3</v>
      </c>
      <c r="C84" s="14">
        <f>(((9)*100)/E80)/100</f>
        <v>5.9602649006622516E-2</v>
      </c>
      <c r="D84" s="31">
        <f>(((11)*100)/E80)/100</f>
        <v>7.2847682119205295E-2</v>
      </c>
      <c r="E84" s="31"/>
      <c r="F84" s="12">
        <f>(((32)*100)/E80)/100</f>
        <v>0.21192052980132453</v>
      </c>
    </row>
  </sheetData>
  <mergeCells count="72">
    <mergeCell ref="A36:A40"/>
    <mergeCell ref="A43:A46"/>
    <mergeCell ref="A49:A71"/>
    <mergeCell ref="A74:A78"/>
    <mergeCell ref="A81:A84"/>
    <mergeCell ref="E80:F80"/>
    <mergeCell ref="D81:E81"/>
    <mergeCell ref="D82:E82"/>
    <mergeCell ref="D83:E83"/>
    <mergeCell ref="D84:E84"/>
    <mergeCell ref="A2:A4"/>
    <mergeCell ref="A7:A13"/>
    <mergeCell ref="A16:A18"/>
    <mergeCell ref="A21:A28"/>
    <mergeCell ref="A31:A33"/>
    <mergeCell ref="D76:E76"/>
    <mergeCell ref="G76:H76"/>
    <mergeCell ref="D77:E77"/>
    <mergeCell ref="G77:H77"/>
    <mergeCell ref="D78:E78"/>
    <mergeCell ref="G78:H78"/>
    <mergeCell ref="D45:E45"/>
    <mergeCell ref="D46:E46"/>
    <mergeCell ref="D48:F48"/>
    <mergeCell ref="D75:E75"/>
    <mergeCell ref="G75:H75"/>
    <mergeCell ref="E73:H73"/>
    <mergeCell ref="D74:E74"/>
    <mergeCell ref="G74:H74"/>
    <mergeCell ref="D40:E40"/>
    <mergeCell ref="G40:H40"/>
    <mergeCell ref="E42:F42"/>
    <mergeCell ref="D43:E43"/>
    <mergeCell ref="D44:E44"/>
    <mergeCell ref="D37:E37"/>
    <mergeCell ref="G37:H37"/>
    <mergeCell ref="D38:E38"/>
    <mergeCell ref="G38:H38"/>
    <mergeCell ref="D39:E39"/>
    <mergeCell ref="G39:H39"/>
    <mergeCell ref="D18:E18"/>
    <mergeCell ref="D20:F20"/>
    <mergeCell ref="G20:J20"/>
    <mergeCell ref="D36:E36"/>
    <mergeCell ref="G36:H36"/>
    <mergeCell ref="D22:E22"/>
    <mergeCell ref="D23:E23"/>
    <mergeCell ref="D24:E24"/>
    <mergeCell ref="D25:E25"/>
    <mergeCell ref="D26:E26"/>
    <mergeCell ref="D27:E27"/>
    <mergeCell ref="D28:E28"/>
    <mergeCell ref="D31:E31"/>
    <mergeCell ref="D32:E32"/>
    <mergeCell ref="D33:E33"/>
    <mergeCell ref="E35:H35"/>
    <mergeCell ref="D7:E7"/>
    <mergeCell ref="G48:X48"/>
    <mergeCell ref="D2:E2"/>
    <mergeCell ref="D3:E3"/>
    <mergeCell ref="D4:E4"/>
    <mergeCell ref="D6:F6"/>
    <mergeCell ref="G6:I6"/>
    <mergeCell ref="D21:E21"/>
    <mergeCell ref="D8:E8"/>
    <mergeCell ref="D9:E9"/>
    <mergeCell ref="D10:E10"/>
    <mergeCell ref="D11:E11"/>
    <mergeCell ref="D12:E12"/>
    <mergeCell ref="D13:E13"/>
    <mergeCell ref="D16:E16"/>
    <mergeCell ref="D17:E17"/>
  </mergeCells>
  <phoneticPr fontId="8" type="noConversion"/>
  <pageMargins left="0.75" right="0.75" top="1" bottom="1" header="0.5" footer="0.5"/>
  <pageSetup paperSize="9" scale="2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69"/>
  <sheetViews>
    <sheetView showGridLines="0" workbookViewId="0"/>
  </sheetViews>
  <sheetFormatPr baseColWidth="10" defaultRowHeight="15" x14ac:dyDescent="0"/>
  <cols>
    <col min="2" max="2" width="25.5" customWidth="1"/>
    <col min="3" max="3" width="19.6640625" bestFit="1" customWidth="1"/>
    <col min="4" max="4" width="13.1640625" bestFit="1" customWidth="1"/>
    <col min="5" max="5" width="14" customWidth="1"/>
    <col min="6" max="6" width="18.5" bestFit="1" customWidth="1"/>
    <col min="7" max="7" width="18" bestFit="1" customWidth="1"/>
    <col min="8" max="9" width="16.5" bestFit="1" customWidth="1"/>
    <col min="12" max="13" width="13.1640625" bestFit="1" customWidth="1"/>
    <col min="21" max="21" width="11" bestFit="1" customWidth="1"/>
  </cols>
  <sheetData>
    <row r="1" spans="1:9">
      <c r="A1" s="22" t="str">
        <f>'Cross Validation'!A1</f>
        <v>k-folds</v>
      </c>
      <c r="B1" s="5" t="s">
        <v>0</v>
      </c>
      <c r="C1" s="7" t="s">
        <v>1</v>
      </c>
      <c r="D1" s="11" t="s">
        <v>2</v>
      </c>
      <c r="E1" s="8">
        <f>232+136</f>
        <v>368</v>
      </c>
    </row>
    <row r="2" spans="1:9">
      <c r="A2" s="37">
        <v>2</v>
      </c>
      <c r="B2" s="6" t="str">
        <f>'Cross Validation'!B2</f>
        <v>↓ Real      Escolhido →</v>
      </c>
      <c r="C2" s="9" t="s">
        <v>3</v>
      </c>
      <c r="D2" s="30" t="s">
        <v>4</v>
      </c>
      <c r="E2" s="30"/>
    </row>
    <row r="3" spans="1:9">
      <c r="A3" s="37"/>
      <c r="B3" s="1" t="str">
        <f>C2</f>
        <v>yes</v>
      </c>
      <c r="C3" s="13">
        <f>(((199)*100)/E1)/100</f>
        <v>0.54076086956521741</v>
      </c>
      <c r="D3" s="31">
        <f>(((33)*100)/E1)/100</f>
        <v>8.9673913043478257E-2</v>
      </c>
      <c r="E3" s="31"/>
    </row>
    <row r="4" spans="1:9">
      <c r="A4" s="38"/>
      <c r="B4" s="1" t="str">
        <f>D2</f>
        <v>no</v>
      </c>
      <c r="C4" s="4">
        <f>(((43)*100)/E1)/100</f>
        <v>0.11684782608695653</v>
      </c>
      <c r="D4" s="32">
        <f>(((93)*100)/E1)/100</f>
        <v>0.25271739130434784</v>
      </c>
      <c r="E4" s="32"/>
    </row>
    <row r="6" spans="1:9">
      <c r="A6" s="22" t="str">
        <f>A1</f>
        <v>k-folds</v>
      </c>
      <c r="B6" s="5" t="s">
        <v>0</v>
      </c>
      <c r="C6" s="7" t="s">
        <v>1</v>
      </c>
      <c r="D6" s="11" t="s">
        <v>2</v>
      </c>
      <c r="E6" s="8">
        <f>232+136</f>
        <v>368</v>
      </c>
    </row>
    <row r="7" spans="1:9">
      <c r="A7" s="37">
        <v>5</v>
      </c>
      <c r="B7" s="6" t="str">
        <f>B2</f>
        <v>↓ Real      Escolhido →</v>
      </c>
      <c r="C7" s="9" t="s">
        <v>3</v>
      </c>
      <c r="D7" s="30" t="s">
        <v>4</v>
      </c>
      <c r="E7" s="30"/>
    </row>
    <row r="8" spans="1:9">
      <c r="A8" s="37"/>
      <c r="B8" s="1" t="str">
        <f>C7</f>
        <v>yes</v>
      </c>
      <c r="C8" s="13">
        <f>(((198)*100)/E6)/100</f>
        <v>0.53804347826086951</v>
      </c>
      <c r="D8" s="31">
        <f>(((34)*100)/E6)/100</f>
        <v>9.2391304347826095E-2</v>
      </c>
      <c r="E8" s="31"/>
    </row>
    <row r="9" spans="1:9">
      <c r="A9" s="38"/>
      <c r="B9" s="1" t="str">
        <f>D7</f>
        <v>no</v>
      </c>
      <c r="C9" s="4">
        <f>(((40)*100)/E6)/100</f>
        <v>0.10869565217391304</v>
      </c>
      <c r="D9" s="32">
        <f>(((96)*100)/E6)/100</f>
        <v>0.2608695652173913</v>
      </c>
      <c r="E9" s="32"/>
    </row>
    <row r="11" spans="1:9">
      <c r="A11" s="22" t="str">
        <f>A1</f>
        <v>k-folds</v>
      </c>
      <c r="B11" s="5" t="s">
        <v>5</v>
      </c>
      <c r="C11" s="7" t="s">
        <v>6</v>
      </c>
      <c r="D11" s="35" t="s">
        <v>2</v>
      </c>
      <c r="E11" s="35"/>
      <c r="F11" s="35"/>
      <c r="G11" s="33">
        <f>112+254</f>
        <v>366</v>
      </c>
      <c r="H11" s="33"/>
      <c r="I11" s="34"/>
    </row>
    <row r="12" spans="1:9">
      <c r="A12" s="39">
        <v>2</v>
      </c>
      <c r="B12" s="10" t="str">
        <f>B2</f>
        <v>↓ Real      Escolhido →</v>
      </c>
      <c r="C12" s="9">
        <v>1</v>
      </c>
      <c r="D12" s="30">
        <v>2</v>
      </c>
      <c r="E12" s="30"/>
      <c r="F12" s="9">
        <v>3</v>
      </c>
      <c r="G12" s="1">
        <v>4</v>
      </c>
      <c r="H12" s="1">
        <v>5</v>
      </c>
      <c r="I12" s="1">
        <v>6</v>
      </c>
    </row>
    <row r="13" spans="1:9">
      <c r="A13" s="39"/>
      <c r="B13" s="1">
        <f>C12</f>
        <v>1</v>
      </c>
      <c r="C13" s="13">
        <f>(((108)*100)/G11)/100</f>
        <v>0.29508196721311475</v>
      </c>
      <c r="D13" s="31">
        <f>(((1)*100)/G11)/100</f>
        <v>2.7322404371584704E-3</v>
      </c>
      <c r="E13" s="31"/>
      <c r="F13" s="4">
        <v>0</v>
      </c>
      <c r="G13" s="4">
        <f>(((1)*100)/G11)/100</f>
        <v>2.7322404371584704E-3</v>
      </c>
      <c r="H13" s="4">
        <f>(((2)*100)/G11)/100</f>
        <v>5.4644808743169408E-3</v>
      </c>
      <c r="I13" s="4">
        <v>0</v>
      </c>
    </row>
    <row r="14" spans="1:9">
      <c r="A14" s="39"/>
      <c r="B14" s="1">
        <f>D12</f>
        <v>2</v>
      </c>
      <c r="C14" s="4">
        <v>0</v>
      </c>
      <c r="D14" s="32">
        <f>(((50)*100)/G11)/100</f>
        <v>0.13661202185792351</v>
      </c>
      <c r="E14" s="32"/>
      <c r="F14" s="4">
        <v>0</v>
      </c>
      <c r="G14" s="4">
        <f>(((11)*100)/G11)/100</f>
        <v>3.0054644808743168E-2</v>
      </c>
      <c r="H14" s="4">
        <v>0</v>
      </c>
      <c r="I14" s="4">
        <v>0</v>
      </c>
    </row>
    <row r="15" spans="1:9">
      <c r="A15" s="39"/>
      <c r="B15" s="1">
        <f>F12</f>
        <v>3</v>
      </c>
      <c r="C15" s="4">
        <v>0</v>
      </c>
      <c r="D15" s="31">
        <v>0</v>
      </c>
      <c r="E15" s="31"/>
      <c r="F15" s="13">
        <f>(((71)*100)/G11)/100</f>
        <v>0.19398907103825139</v>
      </c>
      <c r="G15" s="4">
        <f>(((1)*100)/G11)/100</f>
        <v>2.7322404371584704E-3</v>
      </c>
      <c r="H15" s="4">
        <v>0</v>
      </c>
      <c r="I15" s="4">
        <v>0</v>
      </c>
    </row>
    <row r="16" spans="1:9">
      <c r="A16" s="39"/>
      <c r="B16" s="1">
        <f>G12</f>
        <v>4</v>
      </c>
      <c r="C16" s="4">
        <v>0</v>
      </c>
      <c r="D16" s="31">
        <f>(((5)*100)/G11)/100</f>
        <v>1.3661202185792349E-2</v>
      </c>
      <c r="E16" s="31"/>
      <c r="F16" s="4">
        <v>0</v>
      </c>
      <c r="G16" s="13">
        <f>(((44)*100)/G11)/100</f>
        <v>0.12021857923497267</v>
      </c>
      <c r="H16" s="4">
        <v>0</v>
      </c>
      <c r="I16" s="4">
        <v>0</v>
      </c>
    </row>
    <row r="17" spans="1:9">
      <c r="A17" s="39"/>
      <c r="B17" s="1">
        <f>H12</f>
        <v>5</v>
      </c>
      <c r="C17" s="4">
        <v>0</v>
      </c>
      <c r="D17" s="31">
        <f>(((1)*100)/G11)/100</f>
        <v>2.7322404371584704E-3</v>
      </c>
      <c r="E17" s="31"/>
      <c r="F17" s="4">
        <v>0</v>
      </c>
      <c r="G17" s="4">
        <f>(((1)*100)/G11)/100</f>
        <v>2.7322404371584704E-3</v>
      </c>
      <c r="H17" s="13">
        <f>(((50)*100)/G11)/100</f>
        <v>0.13661202185792351</v>
      </c>
      <c r="I17" s="4">
        <v>0</v>
      </c>
    </row>
    <row r="18" spans="1:9">
      <c r="A18" s="39"/>
      <c r="B18" s="1">
        <f>I12</f>
        <v>6</v>
      </c>
      <c r="C18" s="4">
        <v>0</v>
      </c>
      <c r="D18" s="31">
        <f>(((1)*100)/G11)/100</f>
        <v>2.7322404371584704E-3</v>
      </c>
      <c r="E18" s="31"/>
      <c r="F18" s="4">
        <v>0</v>
      </c>
      <c r="G18" s="4">
        <f>(((1)*100)/G11)/100</f>
        <v>2.7322404371584704E-3</v>
      </c>
      <c r="H18" s="4">
        <v>0</v>
      </c>
      <c r="I18" s="13">
        <f>(((18)*100)/G11)/100</f>
        <v>4.9180327868852458E-2</v>
      </c>
    </row>
    <row r="20" spans="1:9">
      <c r="A20" s="22" t="str">
        <f>A1</f>
        <v>k-folds</v>
      </c>
      <c r="B20" s="5" t="s">
        <v>5</v>
      </c>
      <c r="C20" s="7" t="s">
        <v>6</v>
      </c>
      <c r="D20" s="35" t="s">
        <v>2</v>
      </c>
      <c r="E20" s="35"/>
      <c r="F20" s="35"/>
      <c r="G20" s="33">
        <f>112+254</f>
        <v>366</v>
      </c>
      <c r="H20" s="33"/>
      <c r="I20" s="34"/>
    </row>
    <row r="21" spans="1:9">
      <c r="A21" s="39">
        <v>5</v>
      </c>
      <c r="B21" s="10" t="str">
        <f>B2</f>
        <v>↓ Real      Escolhido →</v>
      </c>
      <c r="C21" s="9">
        <v>1</v>
      </c>
      <c r="D21" s="30">
        <v>2</v>
      </c>
      <c r="E21" s="30"/>
      <c r="F21" s="9">
        <v>3</v>
      </c>
      <c r="G21" s="1">
        <v>4</v>
      </c>
      <c r="H21" s="1">
        <v>5</v>
      </c>
      <c r="I21" s="1">
        <v>6</v>
      </c>
    </row>
    <row r="22" spans="1:9">
      <c r="A22" s="39"/>
      <c r="B22" s="1">
        <f>C21</f>
        <v>1</v>
      </c>
      <c r="C22" s="13">
        <f>(((111)*100)/G20)/100</f>
        <v>0.30327868852459017</v>
      </c>
      <c r="D22" s="31">
        <v>0</v>
      </c>
      <c r="E22" s="31"/>
      <c r="F22" s="4">
        <v>0</v>
      </c>
      <c r="G22" s="4">
        <v>0</v>
      </c>
      <c r="H22" s="4">
        <f>(((1)*100)/G20)/100</f>
        <v>2.7322404371584704E-3</v>
      </c>
      <c r="I22" s="4">
        <v>0</v>
      </c>
    </row>
    <row r="23" spans="1:9">
      <c r="A23" s="39"/>
      <c r="B23" s="1">
        <f>D21</f>
        <v>2</v>
      </c>
      <c r="C23" s="4">
        <f>(((1)*100)/G20)/100</f>
        <v>2.7322404371584704E-3</v>
      </c>
      <c r="D23" s="32">
        <f>(((47)*100)/G20)/100</f>
        <v>0.12841530054644809</v>
      </c>
      <c r="E23" s="32"/>
      <c r="F23" s="4">
        <v>0</v>
      </c>
      <c r="G23" s="4">
        <f>(((12)*100)/G20)/100</f>
        <v>3.2786885245901641E-2</v>
      </c>
      <c r="H23" s="4">
        <f>(((1)*100)/G20)/100</f>
        <v>2.7322404371584704E-3</v>
      </c>
      <c r="I23" s="4">
        <v>0</v>
      </c>
    </row>
    <row r="24" spans="1:9">
      <c r="A24" s="39"/>
      <c r="B24" s="1">
        <f>F21</f>
        <v>3</v>
      </c>
      <c r="C24" s="4">
        <v>0</v>
      </c>
      <c r="D24" s="31">
        <v>0</v>
      </c>
      <c r="E24" s="31"/>
      <c r="F24" s="13">
        <f>(((72)*100)/G20)/100</f>
        <v>0.19672131147540983</v>
      </c>
      <c r="G24" s="4">
        <v>0</v>
      </c>
      <c r="H24" s="4">
        <v>0</v>
      </c>
      <c r="I24" s="4">
        <v>0</v>
      </c>
    </row>
    <row r="25" spans="1:9">
      <c r="A25" s="39"/>
      <c r="B25" s="1">
        <f>G21</f>
        <v>4</v>
      </c>
      <c r="C25" s="4">
        <v>0</v>
      </c>
      <c r="D25" s="31">
        <f>(((7)*100)/G20)/100</f>
        <v>1.912568306010929E-2</v>
      </c>
      <c r="E25" s="31"/>
      <c r="F25" s="4">
        <v>0</v>
      </c>
      <c r="G25" s="13">
        <f>(((42)*100)/G20)/100</f>
        <v>0.11475409836065573</v>
      </c>
      <c r="H25" s="4">
        <v>0</v>
      </c>
      <c r="I25" s="4">
        <v>0</v>
      </c>
    </row>
    <row r="26" spans="1:9">
      <c r="A26" s="39"/>
      <c r="B26" s="1">
        <f>H21</f>
        <v>5</v>
      </c>
      <c r="C26" s="4">
        <v>0</v>
      </c>
      <c r="D26" s="31">
        <f>(((1)*100)/G20)/100</f>
        <v>2.7322404371584704E-3</v>
      </c>
      <c r="E26" s="31"/>
      <c r="F26" s="4">
        <v>0</v>
      </c>
      <c r="G26" s="4">
        <v>0</v>
      </c>
      <c r="H26" s="13">
        <f>(((51)*100)/G20)/100</f>
        <v>0.13934426229508198</v>
      </c>
      <c r="I26" s="4">
        <v>0</v>
      </c>
    </row>
    <row r="27" spans="1:9">
      <c r="A27" s="39"/>
      <c r="B27" s="1">
        <f>I21</f>
        <v>6</v>
      </c>
      <c r="C27" s="4">
        <v>0</v>
      </c>
      <c r="D27" s="31">
        <v>0</v>
      </c>
      <c r="E27" s="31"/>
      <c r="F27" s="4">
        <v>0</v>
      </c>
      <c r="G27" s="4">
        <v>0</v>
      </c>
      <c r="H27" s="4">
        <v>0</v>
      </c>
      <c r="I27" s="13">
        <f>(((20)*100)/G20)/100</f>
        <v>5.4644808743169397E-2</v>
      </c>
    </row>
    <row r="29" spans="1:9">
      <c r="A29" s="22" t="str">
        <f>A1</f>
        <v>k-folds</v>
      </c>
      <c r="B29" s="5" t="s">
        <v>7</v>
      </c>
      <c r="C29" s="7" t="s">
        <v>6</v>
      </c>
      <c r="D29" s="11" t="s">
        <v>2</v>
      </c>
      <c r="E29" s="8">
        <f>500+268</f>
        <v>768</v>
      </c>
    </row>
    <row r="30" spans="1:9">
      <c r="A30" s="37">
        <v>2</v>
      </c>
      <c r="B30" s="6" t="str">
        <f>B2</f>
        <v>↓ Real      Escolhido →</v>
      </c>
      <c r="C30" s="9" t="s">
        <v>8</v>
      </c>
      <c r="D30" s="30" t="s">
        <v>9</v>
      </c>
      <c r="E30" s="30"/>
    </row>
    <row r="31" spans="1:9">
      <c r="A31" s="37"/>
      <c r="B31" s="1" t="str">
        <f>C30</f>
        <v>tested_negative</v>
      </c>
      <c r="C31" s="4">
        <f>(((399)*100)/E29)/100</f>
        <v>0.51953125</v>
      </c>
      <c r="D31" s="31">
        <f>(((101)*100)/E29)/100</f>
        <v>0.13151041666666666</v>
      </c>
      <c r="E31" s="31"/>
    </row>
    <row r="32" spans="1:9">
      <c r="A32" s="38"/>
      <c r="B32" s="1" t="str">
        <f>D30</f>
        <v>tested_positive</v>
      </c>
      <c r="C32" s="4">
        <f>(((137)*100)/E29)/100</f>
        <v>0.17838541666666669</v>
      </c>
      <c r="D32" s="31">
        <f>(((131)*100)/E29)/100</f>
        <v>0.17057291666666669</v>
      </c>
      <c r="E32" s="31"/>
    </row>
    <row r="34" spans="1:10">
      <c r="A34" s="22" t="str">
        <f>A1</f>
        <v>k-folds</v>
      </c>
      <c r="B34" s="5" t="s">
        <v>7</v>
      </c>
      <c r="C34" s="7" t="s">
        <v>6</v>
      </c>
      <c r="D34" s="11" t="s">
        <v>2</v>
      </c>
      <c r="E34" s="8">
        <f>500+268</f>
        <v>768</v>
      </c>
    </row>
    <row r="35" spans="1:10">
      <c r="A35" s="37">
        <v>5</v>
      </c>
      <c r="B35" s="6" t="str">
        <f>B2</f>
        <v>↓ Real      Escolhido →</v>
      </c>
      <c r="C35" s="9" t="s">
        <v>8</v>
      </c>
      <c r="D35" s="30" t="s">
        <v>9</v>
      </c>
      <c r="E35" s="30"/>
    </row>
    <row r="36" spans="1:10">
      <c r="A36" s="37"/>
      <c r="B36" s="1" t="str">
        <f>C35</f>
        <v>tested_negative</v>
      </c>
      <c r="C36" s="4">
        <f>(((397)*100)/E34)/100</f>
        <v>0.51692708333333337</v>
      </c>
      <c r="D36" s="31">
        <f>(((103)*100)/E34)/100</f>
        <v>0.13411458333333334</v>
      </c>
      <c r="E36" s="31"/>
    </row>
    <row r="37" spans="1:10">
      <c r="A37" s="38"/>
      <c r="B37" s="1" t="str">
        <f>D35</f>
        <v>tested_positive</v>
      </c>
      <c r="C37" s="4">
        <f>(((125)*100)/E34)/100</f>
        <v>0.16276041666666669</v>
      </c>
      <c r="D37" s="31">
        <f>(((143)*100)/E34)/100</f>
        <v>0.18619791666666669</v>
      </c>
      <c r="E37" s="31"/>
    </row>
    <row r="39" spans="1:10">
      <c r="A39" s="22" t="str">
        <f>A1</f>
        <v>k-folds</v>
      </c>
      <c r="B39" s="5" t="s">
        <v>10</v>
      </c>
      <c r="C39" s="7" t="s">
        <v>11</v>
      </c>
      <c r="D39" s="35" t="s">
        <v>2</v>
      </c>
      <c r="E39" s="35"/>
      <c r="F39" s="35"/>
      <c r="G39" s="33">
        <f>76+138</f>
        <v>214</v>
      </c>
      <c r="H39" s="33"/>
      <c r="I39" s="33"/>
      <c r="J39" s="34"/>
    </row>
    <row r="40" spans="1:10">
      <c r="A40" s="39">
        <v>2</v>
      </c>
      <c r="B40" s="10" t="str">
        <f>B2</f>
        <v>↓ Real      Escolhido →</v>
      </c>
      <c r="C40" s="9" t="s">
        <v>12</v>
      </c>
      <c r="D40" s="30" t="s">
        <v>13</v>
      </c>
      <c r="E40" s="30"/>
      <c r="F40" s="9" t="s">
        <v>14</v>
      </c>
      <c r="G40" s="1" t="s">
        <v>15</v>
      </c>
      <c r="H40" s="1" t="s">
        <v>16</v>
      </c>
      <c r="I40" s="1" t="s">
        <v>17</v>
      </c>
      <c r="J40" s="1" t="s">
        <v>18</v>
      </c>
    </row>
    <row r="41" spans="1:10">
      <c r="A41" s="39"/>
      <c r="B41" s="1" t="str">
        <f>C40</f>
        <v>build wind float</v>
      </c>
      <c r="C41" s="13">
        <f>(((52)*100)/G39)/100</f>
        <v>0.24299065420560748</v>
      </c>
      <c r="D41" s="31">
        <f>(((13)*100)/G39)/100</f>
        <v>6.0747663551401869E-2</v>
      </c>
      <c r="E41" s="31"/>
      <c r="F41" s="4">
        <f>(((5)*100)/G39)/100</f>
        <v>2.336448598130841E-2</v>
      </c>
      <c r="G41" s="4">
        <v>0</v>
      </c>
      <c r="H41" s="4">
        <v>0</v>
      </c>
      <c r="I41" s="4">
        <v>0</v>
      </c>
      <c r="J41" s="4">
        <v>0</v>
      </c>
    </row>
    <row r="42" spans="1:10">
      <c r="A42" s="39"/>
      <c r="B42" s="1" t="str">
        <f>D40</f>
        <v>build wind non-float</v>
      </c>
      <c r="C42" s="4">
        <f>(((16)*100)/G39)/100</f>
        <v>7.476635514018691E-2</v>
      </c>
      <c r="D42" s="32">
        <f>(((53)*100)/G39)/100</f>
        <v>0.24766355140186916</v>
      </c>
      <c r="E42" s="32"/>
      <c r="F42" s="4">
        <f>(((4)*100)/G39)/100</f>
        <v>1.8691588785046728E-2</v>
      </c>
      <c r="G42" s="4">
        <v>0</v>
      </c>
      <c r="H42" s="4">
        <f>(((1)*100)/G39)/100</f>
        <v>4.6728971962616819E-3</v>
      </c>
      <c r="I42" s="4">
        <f>(((1)*100)/G39)/100</f>
        <v>4.6728971962616819E-3</v>
      </c>
      <c r="J42" s="4">
        <f>(((1)*100)/G39)/100</f>
        <v>4.6728971962616819E-3</v>
      </c>
    </row>
    <row r="43" spans="1:10">
      <c r="A43" s="39"/>
      <c r="B43" s="1" t="str">
        <f>F40</f>
        <v>vehic wind float</v>
      </c>
      <c r="C43" s="4">
        <f>(((9)*100)/G39)/100</f>
        <v>4.2056074766355138E-2</v>
      </c>
      <c r="D43" s="31">
        <f>(((4)*100)/G39)/100</f>
        <v>1.8691588785046728E-2</v>
      </c>
      <c r="E43" s="31"/>
      <c r="F43" s="13">
        <f>(((4)*100)/G39)/100</f>
        <v>1.8691588785046728E-2</v>
      </c>
      <c r="G43" s="4">
        <v>0</v>
      </c>
      <c r="H43" s="4">
        <v>0</v>
      </c>
      <c r="I43" s="4">
        <v>0</v>
      </c>
      <c r="J43" s="4">
        <v>0</v>
      </c>
    </row>
    <row r="44" spans="1:10">
      <c r="A44" s="39"/>
      <c r="B44" s="1" t="str">
        <f>G40</f>
        <v>vehic wind non-float</v>
      </c>
      <c r="C44" s="4">
        <v>0</v>
      </c>
      <c r="D44" s="31">
        <v>0</v>
      </c>
      <c r="E44" s="31"/>
      <c r="F44" s="4">
        <f>(((4)*100)/G39)/100</f>
        <v>1.8691588785046728E-2</v>
      </c>
      <c r="G44" s="13">
        <v>0</v>
      </c>
      <c r="H44" s="4">
        <v>0</v>
      </c>
      <c r="I44" s="4">
        <v>0</v>
      </c>
      <c r="J44" s="4">
        <v>0</v>
      </c>
    </row>
    <row r="45" spans="1:10">
      <c r="A45" s="39"/>
      <c r="B45" s="1" t="str">
        <f>H40</f>
        <v>containers</v>
      </c>
      <c r="C45" s="4">
        <v>0</v>
      </c>
      <c r="D45" s="31">
        <f>(((4)*100)/G39)/100</f>
        <v>1.8691588785046728E-2</v>
      </c>
      <c r="E45" s="31"/>
      <c r="F45" s="4">
        <v>0</v>
      </c>
      <c r="G45" s="4">
        <v>0</v>
      </c>
      <c r="H45" s="13">
        <f>(((7)*100)/G39)/100</f>
        <v>3.2710280373831779E-2</v>
      </c>
      <c r="I45" s="4">
        <f>(((1)*100)/G39)/100</f>
        <v>4.6728971962616819E-3</v>
      </c>
      <c r="J45" s="4">
        <f>(((1)*100)/G39)/100</f>
        <v>4.6728971962616819E-3</v>
      </c>
    </row>
    <row r="46" spans="1:10">
      <c r="A46" s="39"/>
      <c r="B46" s="1" t="str">
        <f>I40</f>
        <v>tableware</v>
      </c>
      <c r="C46" s="4">
        <f>(((1)*100)/G39)/100</f>
        <v>4.6728971962616819E-3</v>
      </c>
      <c r="D46" s="31">
        <f>(((2)*100)/G39)/100</f>
        <v>9.3457943925233638E-3</v>
      </c>
      <c r="E46" s="31"/>
      <c r="F46" s="4">
        <v>0</v>
      </c>
      <c r="G46" s="4">
        <v>0</v>
      </c>
      <c r="H46" s="4">
        <f>(((1)*100)/G39)/100</f>
        <v>4.6728971962616819E-3</v>
      </c>
      <c r="I46" s="13">
        <f>(((5)*100)/G39)/100</f>
        <v>2.336448598130841E-2</v>
      </c>
      <c r="J46" s="4">
        <v>0</v>
      </c>
    </row>
    <row r="47" spans="1:10">
      <c r="A47" s="39"/>
      <c r="B47" s="1" t="str">
        <f>J40</f>
        <v>headlamps</v>
      </c>
      <c r="C47" s="4">
        <v>0</v>
      </c>
      <c r="D47" s="31">
        <f>(((3)*100)/G39)/100</f>
        <v>1.4018691588785047E-2</v>
      </c>
      <c r="E47" s="31"/>
      <c r="F47" s="4">
        <v>0</v>
      </c>
      <c r="G47" s="4">
        <v>0</v>
      </c>
      <c r="H47" s="4">
        <f>(((2)*100)/G39)/100</f>
        <v>9.3457943925233638E-3</v>
      </c>
      <c r="I47" s="4">
        <f>(((1)*100)/G39)/100</f>
        <v>4.6728971962616819E-3</v>
      </c>
      <c r="J47" s="13">
        <f>(((23)*100)/G39)/100</f>
        <v>0.10747663551401869</v>
      </c>
    </row>
    <row r="49" spans="1:10">
      <c r="A49" s="22" t="str">
        <f>A1</f>
        <v>k-folds</v>
      </c>
      <c r="B49" s="5" t="s">
        <v>10</v>
      </c>
      <c r="C49" s="7" t="s">
        <v>11</v>
      </c>
      <c r="D49" s="35" t="s">
        <v>2</v>
      </c>
      <c r="E49" s="35"/>
      <c r="F49" s="35"/>
      <c r="G49" s="33">
        <f>76+138</f>
        <v>214</v>
      </c>
      <c r="H49" s="33"/>
      <c r="I49" s="33"/>
      <c r="J49" s="34"/>
    </row>
    <row r="50" spans="1:10">
      <c r="A50" s="39">
        <v>5</v>
      </c>
      <c r="B50" s="10" t="str">
        <f>B2</f>
        <v>↓ Real      Escolhido →</v>
      </c>
      <c r="C50" s="9" t="s">
        <v>12</v>
      </c>
      <c r="D50" s="30" t="s">
        <v>13</v>
      </c>
      <c r="E50" s="30"/>
      <c r="F50" s="9" t="s">
        <v>14</v>
      </c>
      <c r="G50" s="1" t="s">
        <v>15</v>
      </c>
      <c r="H50" s="1" t="s">
        <v>16</v>
      </c>
      <c r="I50" s="1" t="s">
        <v>17</v>
      </c>
      <c r="J50" s="1" t="s">
        <v>18</v>
      </c>
    </row>
    <row r="51" spans="1:10">
      <c r="A51" s="39"/>
      <c r="B51" s="1" t="str">
        <f>C50</f>
        <v>build wind float</v>
      </c>
      <c r="C51" s="13">
        <f>(((55)*100)/G49)/100</f>
        <v>0.2570093457943925</v>
      </c>
      <c r="D51" s="31">
        <f>(((9)*100)/G49)/100</f>
        <v>4.2056074766355138E-2</v>
      </c>
      <c r="E51" s="31"/>
      <c r="F51" s="4">
        <f>(((6)*100)/G49)/100</f>
        <v>2.8037383177570093E-2</v>
      </c>
      <c r="G51" s="4">
        <v>0</v>
      </c>
      <c r="H51" s="4">
        <v>0</v>
      </c>
      <c r="I51" s="4">
        <v>0</v>
      </c>
      <c r="J51" s="4">
        <v>0</v>
      </c>
    </row>
    <row r="52" spans="1:10">
      <c r="A52" s="39"/>
      <c r="B52" s="1" t="str">
        <f>D50</f>
        <v>build wind non-float</v>
      </c>
      <c r="C52" s="4">
        <f>(((18)*100)/G49)/100</f>
        <v>8.4112149532710276E-2</v>
      </c>
      <c r="D52" s="32">
        <f>(((50)*100)/G49)/100</f>
        <v>0.23364485981308414</v>
      </c>
      <c r="E52" s="32"/>
      <c r="F52" s="4">
        <f>(((2)*100)/G49)/100</f>
        <v>9.3457943925233638E-3</v>
      </c>
      <c r="G52" s="4">
        <v>0</v>
      </c>
      <c r="H52" s="4">
        <f>(((3)*100)/G49)/100</f>
        <v>1.4018691588785047E-2</v>
      </c>
      <c r="I52" s="4">
        <f>(((2)*100)/G49)/100</f>
        <v>9.3457943925233638E-3</v>
      </c>
      <c r="J52" s="4">
        <f>(((1)*100)/G49)/100</f>
        <v>4.6728971962616819E-3</v>
      </c>
    </row>
    <row r="53" spans="1:10">
      <c r="A53" s="39"/>
      <c r="B53" s="1" t="str">
        <f>F50</f>
        <v>vehic wind float</v>
      </c>
      <c r="C53" s="4">
        <f>(((10)*100)/G49)/100</f>
        <v>4.6728971962616821E-2</v>
      </c>
      <c r="D53" s="31">
        <f>(((2)*100)/G49)/100</f>
        <v>9.3457943925233638E-3</v>
      </c>
      <c r="E53" s="31"/>
      <c r="F53" s="13">
        <f>(((5)*100)/G49)/100</f>
        <v>2.336448598130841E-2</v>
      </c>
      <c r="G53" s="4">
        <v>0</v>
      </c>
      <c r="H53" s="4">
        <v>0</v>
      </c>
      <c r="I53" s="4">
        <v>0</v>
      </c>
      <c r="J53" s="4">
        <v>0</v>
      </c>
    </row>
    <row r="54" spans="1:10">
      <c r="A54" s="39"/>
      <c r="B54" s="1" t="str">
        <f>G50</f>
        <v>vehic wind non-float</v>
      </c>
      <c r="C54" s="4">
        <v>0</v>
      </c>
      <c r="D54" s="31">
        <v>0</v>
      </c>
      <c r="E54" s="31"/>
      <c r="F54" s="4">
        <v>0</v>
      </c>
      <c r="G54" s="13">
        <v>0</v>
      </c>
      <c r="H54" s="4">
        <v>0</v>
      </c>
      <c r="I54" s="4">
        <v>0</v>
      </c>
      <c r="J54" s="4">
        <v>0</v>
      </c>
    </row>
    <row r="55" spans="1:10">
      <c r="A55" s="39"/>
      <c r="B55" s="1" t="str">
        <f>H50</f>
        <v>containers</v>
      </c>
      <c r="C55" s="4">
        <v>0</v>
      </c>
      <c r="D55" s="31">
        <f>(((2)*100)/G49)/100</f>
        <v>9.3457943925233638E-3</v>
      </c>
      <c r="E55" s="31"/>
      <c r="F55" s="4">
        <v>0</v>
      </c>
      <c r="G55" s="4">
        <v>0</v>
      </c>
      <c r="H55" s="13">
        <f>(((10)*100)/G49)/100</f>
        <v>4.6728971962616821E-2</v>
      </c>
      <c r="I55" s="4">
        <v>0</v>
      </c>
      <c r="J55" s="4">
        <f>(((1)*100)/G49)/100</f>
        <v>4.6728971962616819E-3</v>
      </c>
    </row>
    <row r="56" spans="1:10">
      <c r="A56" s="39"/>
      <c r="B56" s="1" t="str">
        <f>I50</f>
        <v>tableware</v>
      </c>
      <c r="C56" s="4">
        <v>0</v>
      </c>
      <c r="D56" s="31">
        <f>(((2)*100)/G49)/100</f>
        <v>9.3457943925233638E-3</v>
      </c>
      <c r="E56" s="31"/>
      <c r="F56" s="4">
        <v>0</v>
      </c>
      <c r="G56" s="4">
        <v>0</v>
      </c>
      <c r="H56" s="4">
        <f>(((1)*100)/G49)/100</f>
        <v>4.6728971962616819E-3</v>
      </c>
      <c r="I56" s="13">
        <f>(((6)*100)/G49)/100</f>
        <v>2.8037383177570093E-2</v>
      </c>
      <c r="J56" s="4">
        <v>0</v>
      </c>
    </row>
    <row r="57" spans="1:10">
      <c r="A57" s="39"/>
      <c r="B57" s="1" t="str">
        <f>J50</f>
        <v>headlamps</v>
      </c>
      <c r="C57" s="4">
        <v>0</v>
      </c>
      <c r="D57" s="31">
        <f>(((3)*100)/G49)/100</f>
        <v>1.4018691588785047E-2</v>
      </c>
      <c r="E57" s="31"/>
      <c r="F57" s="4">
        <v>0</v>
      </c>
      <c r="G57" s="4">
        <v>0</v>
      </c>
      <c r="H57" s="4">
        <f>(((2)*100)/G49)/100</f>
        <v>9.3457943925233638E-3</v>
      </c>
      <c r="I57" s="4">
        <f>(((1)*100)/G49)/100</f>
        <v>4.6728971962616819E-3</v>
      </c>
      <c r="J57" s="13">
        <f>(((23)*100)/G49)/100</f>
        <v>0.10747663551401869</v>
      </c>
    </row>
    <row r="59" spans="1:10">
      <c r="A59" s="22" t="str">
        <f>A1</f>
        <v>k-folds</v>
      </c>
      <c r="B59" s="5" t="s">
        <v>19</v>
      </c>
      <c r="C59" s="7" t="s">
        <v>20</v>
      </c>
      <c r="D59" s="11" t="s">
        <v>2</v>
      </c>
      <c r="E59" s="8">
        <f>123+32</f>
        <v>155</v>
      </c>
    </row>
    <row r="60" spans="1:10">
      <c r="A60" s="37">
        <v>2</v>
      </c>
      <c r="B60" s="6" t="str">
        <f>B2</f>
        <v>↓ Real      Escolhido →</v>
      </c>
      <c r="C60" s="9" t="s">
        <v>21</v>
      </c>
      <c r="D60" s="30" t="s">
        <v>22</v>
      </c>
      <c r="E60" s="30"/>
    </row>
    <row r="61" spans="1:10">
      <c r="A61" s="37"/>
      <c r="B61" s="1" t="str">
        <f>C60</f>
        <v>DIE</v>
      </c>
      <c r="C61" s="13">
        <f>(((17)*100)/E59)/100</f>
        <v>0.1096774193548387</v>
      </c>
      <c r="D61" s="31">
        <f>(((15)*100)/E59)/100</f>
        <v>9.6774193548387094E-2</v>
      </c>
      <c r="E61" s="31"/>
    </row>
    <row r="62" spans="1:10">
      <c r="A62" s="38"/>
      <c r="B62" s="1" t="str">
        <f>D60</f>
        <v>LIVE</v>
      </c>
      <c r="C62" s="4">
        <f>(((14)*100)/E59)/100</f>
        <v>9.0322580645161299E-2</v>
      </c>
      <c r="D62" s="32">
        <f>(((109)*100)/E59)/100</f>
        <v>0.70322580645161292</v>
      </c>
      <c r="E62" s="32"/>
    </row>
    <row r="64" spans="1:10">
      <c r="A64" s="22" t="str">
        <f>A1</f>
        <v>k-folds</v>
      </c>
      <c r="B64" s="5" t="s">
        <v>19</v>
      </c>
      <c r="C64" s="7" t="s">
        <v>20</v>
      </c>
      <c r="D64" s="11" t="s">
        <v>2</v>
      </c>
      <c r="E64" s="8">
        <f>123+32</f>
        <v>155</v>
      </c>
    </row>
    <row r="65" spans="1:8">
      <c r="A65" s="37">
        <v>5</v>
      </c>
      <c r="B65" s="6" t="str">
        <f>B7</f>
        <v>↓ Real      Escolhido →</v>
      </c>
      <c r="C65" s="9" t="s">
        <v>21</v>
      </c>
      <c r="D65" s="30" t="s">
        <v>22</v>
      </c>
      <c r="E65" s="30"/>
    </row>
    <row r="66" spans="1:8">
      <c r="A66" s="37"/>
      <c r="B66" s="1" t="str">
        <f>C65</f>
        <v>DIE</v>
      </c>
      <c r="C66" s="13">
        <f>(((15)*100)/E64)/100</f>
        <v>9.6774193548387094E-2</v>
      </c>
      <c r="D66" s="31">
        <f>(((17)*100)/E64)/100</f>
        <v>0.1096774193548387</v>
      </c>
      <c r="E66" s="31"/>
    </row>
    <row r="67" spans="1:8">
      <c r="A67" s="38"/>
      <c r="B67" s="1" t="str">
        <f>D65</f>
        <v>LIVE</v>
      </c>
      <c r="C67" s="4">
        <f>(((14)*100)/E64)/100</f>
        <v>9.0322580645161299E-2</v>
      </c>
      <c r="D67" s="32">
        <f>(((109)*100)/E64)/100</f>
        <v>0.70322580645161292</v>
      </c>
      <c r="E67" s="32"/>
    </row>
    <row r="69" spans="1:8">
      <c r="A69" s="22" t="str">
        <f>A1</f>
        <v>k-folds</v>
      </c>
      <c r="B69" s="5" t="s">
        <v>23</v>
      </c>
      <c r="C69" s="7" t="s">
        <v>20</v>
      </c>
      <c r="D69" s="11" t="s">
        <v>2</v>
      </c>
      <c r="E69" s="33">
        <f>3481+291</f>
        <v>3772</v>
      </c>
      <c r="F69" s="33"/>
      <c r="G69" s="33"/>
      <c r="H69" s="34"/>
    </row>
    <row r="70" spans="1:8">
      <c r="A70" s="39">
        <v>2</v>
      </c>
      <c r="B70" s="6" t="str">
        <f>B2</f>
        <v>↓ Real      Escolhido →</v>
      </c>
      <c r="C70" s="9" t="s">
        <v>24</v>
      </c>
      <c r="D70" s="30" t="s">
        <v>25</v>
      </c>
      <c r="E70" s="30"/>
      <c r="F70" s="9" t="s">
        <v>26</v>
      </c>
      <c r="G70" s="30" t="s">
        <v>27</v>
      </c>
      <c r="H70" s="30"/>
    </row>
    <row r="71" spans="1:8">
      <c r="A71" s="39"/>
      <c r="B71" s="1" t="str">
        <f>C70</f>
        <v>negative</v>
      </c>
      <c r="C71" s="13">
        <f>(((3444)*100)/E69)/100</f>
        <v>0.91304347826086951</v>
      </c>
      <c r="D71" s="31">
        <f>(((130)*100)/E69)/100</f>
        <v>3.4464475079533402E-2</v>
      </c>
      <c r="E71" s="31"/>
      <c r="F71" s="15">
        <f>(((3)*100)/E69)/100</f>
        <v>7.9533404029692473E-4</v>
      </c>
      <c r="G71" s="31">
        <f>(((4)*100)/E69)/100</f>
        <v>1.0604453870625664E-3</v>
      </c>
      <c r="H71" s="31"/>
    </row>
    <row r="72" spans="1:8">
      <c r="A72" s="39"/>
      <c r="B72" s="1" t="str">
        <f>D70</f>
        <v>compensated_hypothyroid</v>
      </c>
      <c r="C72" s="4">
        <f>(((156)*100)/E69)/100</f>
        <v>4.1357370095440091E-2</v>
      </c>
      <c r="D72" s="32">
        <f>(((33)*100)/E69)/100</f>
        <v>8.7486744432661717E-3</v>
      </c>
      <c r="E72" s="32"/>
      <c r="F72" s="4">
        <f>(((5)*100)/E69)/100</f>
        <v>1.3255567338282079E-3</v>
      </c>
      <c r="G72" s="36">
        <v>0</v>
      </c>
      <c r="H72" s="36"/>
    </row>
    <row r="73" spans="1:8">
      <c r="A73" s="39"/>
      <c r="B73" s="1" t="str">
        <f>F70</f>
        <v>primary_hypothyroid</v>
      </c>
      <c r="C73" s="15">
        <f>(((22)*100)/E69)/100</f>
        <v>5.8324496288441139E-3</v>
      </c>
      <c r="D73" s="31">
        <f>(((14)*100)/E69)/100</f>
        <v>3.711558854718982E-3</v>
      </c>
      <c r="E73" s="31"/>
      <c r="F73" s="13">
        <f>(((59)*100)/E69)/100</f>
        <v>1.5641569459172854E-2</v>
      </c>
      <c r="G73" s="31">
        <v>0</v>
      </c>
      <c r="H73" s="31"/>
    </row>
    <row r="74" spans="1:8">
      <c r="A74" s="39"/>
      <c r="B74" s="1" t="str">
        <f>G70</f>
        <v>secondary_hypothyroid</v>
      </c>
      <c r="C74" s="4">
        <f>(((2)*100)/E69)/100</f>
        <v>5.3022269353128319E-4</v>
      </c>
      <c r="D74" s="36">
        <v>0</v>
      </c>
      <c r="E74" s="36"/>
      <c r="F74" s="4">
        <v>0</v>
      </c>
      <c r="G74" s="32">
        <v>0</v>
      </c>
      <c r="H74" s="32"/>
    </row>
    <row r="76" spans="1:8">
      <c r="A76" s="22" t="str">
        <f>A1</f>
        <v>k-folds</v>
      </c>
      <c r="B76" s="5" t="s">
        <v>23</v>
      </c>
      <c r="C76" s="7" t="s">
        <v>20</v>
      </c>
      <c r="D76" s="11" t="s">
        <v>2</v>
      </c>
      <c r="E76" s="33">
        <f>3481+291</f>
        <v>3772</v>
      </c>
      <c r="F76" s="33"/>
      <c r="G76" s="33"/>
      <c r="H76" s="34"/>
    </row>
    <row r="77" spans="1:8">
      <c r="A77" s="39">
        <v>5</v>
      </c>
      <c r="B77" s="6" t="str">
        <f>B2</f>
        <v>↓ Real      Escolhido →</v>
      </c>
      <c r="C77" s="9" t="s">
        <v>24</v>
      </c>
      <c r="D77" s="30" t="s">
        <v>25</v>
      </c>
      <c r="E77" s="30"/>
      <c r="F77" s="9" t="s">
        <v>26</v>
      </c>
      <c r="G77" s="30" t="s">
        <v>27</v>
      </c>
      <c r="H77" s="30"/>
    </row>
    <row r="78" spans="1:8">
      <c r="A78" s="39"/>
      <c r="B78" s="1" t="str">
        <f>C77</f>
        <v>negative</v>
      </c>
      <c r="C78" s="13">
        <f>(((3456)*100)/E76)/100</f>
        <v>0.91622481442205728</v>
      </c>
      <c r="D78" s="31">
        <f>(((115)*100)/E76)/100</f>
        <v>3.048780487804878E-2</v>
      </c>
      <c r="E78" s="31"/>
      <c r="F78" s="15">
        <f>(((10)*100)/E76)/100</f>
        <v>2.6511134676564158E-3</v>
      </c>
      <c r="G78" s="31">
        <v>0</v>
      </c>
      <c r="H78" s="31"/>
    </row>
    <row r="79" spans="1:8">
      <c r="A79" s="39"/>
      <c r="B79" s="1" t="str">
        <f>D77</f>
        <v>compensated_hypothyroid</v>
      </c>
      <c r="C79" s="4">
        <f>(((155)*100)/E76)/100</f>
        <v>4.1092258748674448E-2</v>
      </c>
      <c r="D79" s="32">
        <f>(((35)*100)/E76)/100</f>
        <v>9.2788971367974548E-3</v>
      </c>
      <c r="E79" s="32"/>
      <c r="F79" s="4">
        <f>(((4)*100)/E76)/100</f>
        <v>1.0604453870625664E-3</v>
      </c>
      <c r="G79" s="36">
        <v>0</v>
      </c>
      <c r="H79" s="36"/>
    </row>
    <row r="80" spans="1:8">
      <c r="A80" s="39"/>
      <c r="B80" s="1" t="str">
        <f>F77</f>
        <v>primary_hypothyroid</v>
      </c>
      <c r="C80" s="15">
        <f>(((30)*100)/E76)/100</f>
        <v>7.9533404029692462E-3</v>
      </c>
      <c r="D80" s="31">
        <f>(((6)*100)/E76)/100</f>
        <v>1.5906680805938495E-3</v>
      </c>
      <c r="E80" s="31"/>
      <c r="F80" s="13">
        <f>(((59)*100)/E76)/100</f>
        <v>1.5641569459172854E-2</v>
      </c>
      <c r="G80" s="31">
        <v>0</v>
      </c>
      <c r="H80" s="31"/>
    </row>
    <row r="81" spans="1:24">
      <c r="A81" s="39"/>
      <c r="B81" s="1" t="str">
        <f>G77</f>
        <v>secondary_hypothyroid</v>
      </c>
      <c r="C81" s="4">
        <f>(((2)*100)/E76)/100</f>
        <v>5.3022269353128319E-4</v>
      </c>
      <c r="D81" s="36">
        <v>0</v>
      </c>
      <c r="E81" s="36"/>
      <c r="F81" s="4">
        <v>0</v>
      </c>
      <c r="G81" s="32">
        <v>0</v>
      </c>
      <c r="H81" s="32"/>
    </row>
    <row r="83" spans="1:24">
      <c r="A83" s="22" t="str">
        <f>A1</f>
        <v>k-folds</v>
      </c>
      <c r="B83" s="5" t="s">
        <v>28</v>
      </c>
      <c r="C83" s="7" t="s">
        <v>6</v>
      </c>
      <c r="D83" s="11" t="s">
        <v>2</v>
      </c>
      <c r="E83" s="33">
        <f>50+100</f>
        <v>150</v>
      </c>
      <c r="F83" s="34"/>
    </row>
    <row r="84" spans="1:24">
      <c r="A84" s="39">
        <v>2</v>
      </c>
      <c r="B84" s="6" t="str">
        <f>B2</f>
        <v>↓ Real      Escolhido →</v>
      </c>
      <c r="C84" s="9" t="s">
        <v>29</v>
      </c>
      <c r="D84" s="30" t="s">
        <v>30</v>
      </c>
      <c r="E84" s="30"/>
      <c r="F84" s="9" t="s">
        <v>31</v>
      </c>
    </row>
    <row r="85" spans="1:24">
      <c r="A85" s="39"/>
      <c r="B85" s="1" t="str">
        <f>C84</f>
        <v>Iris-setosa</v>
      </c>
      <c r="C85" s="13">
        <f>(((50)*100)/E83)/100</f>
        <v>0.33333333333333337</v>
      </c>
      <c r="D85" s="31">
        <v>0</v>
      </c>
      <c r="E85" s="31"/>
      <c r="F85" s="15">
        <v>0</v>
      </c>
    </row>
    <row r="86" spans="1:24">
      <c r="A86" s="39"/>
      <c r="B86" s="1" t="str">
        <f>D84</f>
        <v>Iris-versicolor</v>
      </c>
      <c r="C86" s="4">
        <v>0</v>
      </c>
      <c r="D86" s="32">
        <f>(((44)*100)/E83)/100</f>
        <v>0.29333333333333333</v>
      </c>
      <c r="E86" s="32"/>
      <c r="F86" s="4">
        <f>(((6)*100)/E83)/100</f>
        <v>0.04</v>
      </c>
    </row>
    <row r="87" spans="1:24">
      <c r="A87" s="39"/>
      <c r="B87" s="1" t="str">
        <f>F84</f>
        <v>Iris-virginica</v>
      </c>
      <c r="C87" s="15">
        <v>0</v>
      </c>
      <c r="D87" s="31">
        <f>(((3)*100)/E83)/100</f>
        <v>0.02</v>
      </c>
      <c r="E87" s="31"/>
      <c r="F87" s="13">
        <f>(((47)*100)/E83)/100</f>
        <v>0.3133333333333333</v>
      </c>
    </row>
    <row r="89" spans="1:24">
      <c r="A89" s="22" t="str">
        <f>A1</f>
        <v>k-folds</v>
      </c>
      <c r="B89" s="5" t="s">
        <v>28</v>
      </c>
      <c r="C89" s="7" t="s">
        <v>6</v>
      </c>
      <c r="D89" s="11" t="s">
        <v>2</v>
      </c>
      <c r="E89" s="33">
        <f>50+100</f>
        <v>150</v>
      </c>
      <c r="F89" s="34"/>
    </row>
    <row r="90" spans="1:24">
      <c r="A90" s="39">
        <v>5</v>
      </c>
      <c r="B90" s="6" t="str">
        <f>B2</f>
        <v>↓ Real      Escolhido →</v>
      </c>
      <c r="C90" s="9" t="s">
        <v>29</v>
      </c>
      <c r="D90" s="30" t="s">
        <v>30</v>
      </c>
      <c r="E90" s="30"/>
      <c r="F90" s="9" t="s">
        <v>31</v>
      </c>
    </row>
    <row r="91" spans="1:24">
      <c r="A91" s="39"/>
      <c r="B91" s="1" t="str">
        <f>C90</f>
        <v>Iris-setosa</v>
      </c>
      <c r="C91" s="13">
        <f>(((50)*100)/E89)/100</f>
        <v>0.33333333333333337</v>
      </c>
      <c r="D91" s="31">
        <v>0</v>
      </c>
      <c r="E91" s="31"/>
      <c r="F91" s="15">
        <v>0</v>
      </c>
    </row>
    <row r="92" spans="1:24">
      <c r="A92" s="39"/>
      <c r="B92" s="1" t="str">
        <f>D90</f>
        <v>Iris-versicolor</v>
      </c>
      <c r="C92" s="4">
        <v>0</v>
      </c>
      <c r="D92" s="32">
        <f>(((47)*100)/E89)/100</f>
        <v>0.3133333333333333</v>
      </c>
      <c r="E92" s="32"/>
      <c r="F92" s="4">
        <f>(((3)*100)/E89)/100</f>
        <v>0.02</v>
      </c>
    </row>
    <row r="93" spans="1:24">
      <c r="A93" s="39"/>
      <c r="B93" s="1" t="str">
        <f>F90</f>
        <v>Iris-virginica</v>
      </c>
      <c r="C93" s="15">
        <v>0</v>
      </c>
      <c r="D93" s="31">
        <f>(((6)*100)/E89)/100</f>
        <v>0.04</v>
      </c>
      <c r="E93" s="31"/>
      <c r="F93" s="13">
        <f>(((44)*100)/E89)/100</f>
        <v>0.29333333333333333</v>
      </c>
    </row>
    <row r="95" spans="1:24">
      <c r="A95" s="22" t="str">
        <f>A1</f>
        <v>k-folds</v>
      </c>
      <c r="B95" s="5" t="s">
        <v>32</v>
      </c>
      <c r="C95" s="7" t="s">
        <v>11</v>
      </c>
      <c r="D95" s="35" t="s">
        <v>2</v>
      </c>
      <c r="E95" s="35"/>
      <c r="F95" s="35"/>
      <c r="G95" s="33">
        <f>255+84</f>
        <v>339</v>
      </c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4"/>
    </row>
    <row r="96" spans="1:24">
      <c r="A96" s="39">
        <v>2</v>
      </c>
      <c r="B96" s="10" t="str">
        <f>B2</f>
        <v>↓ Real      Escolhido →</v>
      </c>
      <c r="C96" s="17" t="s">
        <v>33</v>
      </c>
      <c r="D96" s="29" t="s">
        <v>34</v>
      </c>
      <c r="E96" s="17" t="s">
        <v>35</v>
      </c>
      <c r="F96" s="17" t="s">
        <v>36</v>
      </c>
      <c r="G96" s="17" t="s">
        <v>37</v>
      </c>
      <c r="H96" s="17" t="s">
        <v>38</v>
      </c>
      <c r="I96" s="17" t="s">
        <v>39</v>
      </c>
      <c r="J96" s="17" t="s">
        <v>40</v>
      </c>
      <c r="K96" s="17" t="s">
        <v>41</v>
      </c>
      <c r="L96" s="17" t="s">
        <v>42</v>
      </c>
      <c r="M96" s="17" t="s">
        <v>43</v>
      </c>
      <c r="N96" s="17" t="s">
        <v>44</v>
      </c>
      <c r="O96" s="17" t="s">
        <v>45</v>
      </c>
      <c r="P96" s="17" t="s">
        <v>46</v>
      </c>
      <c r="Q96" s="18" t="s">
        <v>47</v>
      </c>
      <c r="R96" s="18" t="s">
        <v>48</v>
      </c>
      <c r="S96" s="18" t="s">
        <v>49</v>
      </c>
      <c r="T96" s="18" t="s">
        <v>50</v>
      </c>
      <c r="U96" s="18" t="s">
        <v>51</v>
      </c>
      <c r="V96" s="18" t="s">
        <v>52</v>
      </c>
      <c r="W96" s="18" t="s">
        <v>53</v>
      </c>
      <c r="X96" s="18" t="s">
        <v>54</v>
      </c>
    </row>
    <row r="97" spans="1:24">
      <c r="A97" s="39"/>
      <c r="B97" s="1" t="str">
        <f>C96</f>
        <v>lung</v>
      </c>
      <c r="C97" s="13">
        <f>(((Dados!A56)*100)/$G$95)/100</f>
        <v>0.15929203539823009</v>
      </c>
      <c r="D97" s="15">
        <f>(((Dados!B56)*100)/$G$95)/100</f>
        <v>8.8495575221238937E-3</v>
      </c>
      <c r="E97" s="15">
        <f>(((Dados!C56)*100)/$G$95)/100</f>
        <v>5.8997050147492625E-3</v>
      </c>
      <c r="F97" s="15">
        <f>(((Dados!D56)*100)/$G$95)/100</f>
        <v>1.4749262536873156E-2</v>
      </c>
      <c r="G97" s="15">
        <f>(((Dados!E56)*100)/$G$95)/100</f>
        <v>1.7699115044247787E-2</v>
      </c>
      <c r="H97" s="15">
        <f>(((Dados!F56)*100)/$G$95)/100</f>
        <v>0</v>
      </c>
      <c r="I97" s="15">
        <f>(((Dados!G56)*100)/$G$95)/100</f>
        <v>0</v>
      </c>
      <c r="J97" s="15">
        <f>(((Dados!H56)*100)/$G$95)/100</f>
        <v>0</v>
      </c>
      <c r="K97" s="15">
        <f>(((Dados!I56)*100)/$G$95)/100</f>
        <v>0</v>
      </c>
      <c r="L97" s="15">
        <f>(((Dados!J56)*100)/$G$95)/100</f>
        <v>0</v>
      </c>
      <c r="M97" s="15">
        <f>(((Dados!K56)*100)/$G$95)/100</f>
        <v>8.8495575221238937E-3</v>
      </c>
      <c r="N97" s="15">
        <f>(((Dados!L56)*100)/$G$95)/100</f>
        <v>5.8997050147492625E-3</v>
      </c>
      <c r="O97" s="15">
        <f>(((Dados!M56)*100)/$G$95)/100</f>
        <v>5.8997050147492625E-3</v>
      </c>
      <c r="P97" s="15">
        <f>(((Dados!N56)*100)/$G$95)/100</f>
        <v>2.9498525073746312E-3</v>
      </c>
      <c r="Q97" s="15">
        <f>(((Dados!O56)*100)/$G$95)/100</f>
        <v>0</v>
      </c>
      <c r="R97" s="15">
        <f>(((Dados!P56)*100)/$G$95)/100</f>
        <v>0</v>
      </c>
      <c r="S97" s="15">
        <f>(((Dados!Q56)*100)/$G$95)/100</f>
        <v>2.9498525073746312E-3</v>
      </c>
      <c r="T97" s="15">
        <f>(((Dados!R56)*100)/$G$95)/100</f>
        <v>1.1799410029498525E-2</v>
      </c>
      <c r="U97" s="15">
        <f>(((Dados!S56)*100)/$G$95)/100</f>
        <v>0</v>
      </c>
      <c r="V97" s="15">
        <f>(((Dados!T56)*100)/$G$95)/100</f>
        <v>0</v>
      </c>
      <c r="W97" s="15">
        <f>(((Dados!U56)*100)/$G$95)/100</f>
        <v>0</v>
      </c>
      <c r="X97" s="15">
        <f>(((Dados!V56)*100)/$G$95)/100</f>
        <v>2.9498525073746312E-3</v>
      </c>
    </row>
    <row r="98" spans="1:24">
      <c r="A98" s="39"/>
      <c r="B98" s="1" t="str">
        <f>D96</f>
        <v>head and neck</v>
      </c>
      <c r="C98" s="15">
        <f>(((Dados!A57)*100)/$G$95)/100</f>
        <v>2.9498525073746312E-3</v>
      </c>
      <c r="D98" s="13">
        <f>(((Dados!B57)*100)/$G$95)/100</f>
        <v>5.3097345132743362E-2</v>
      </c>
      <c r="E98" s="15">
        <f>(((Dados!C57)*100)/$G$95)/100</f>
        <v>2.9498525073746312E-3</v>
      </c>
      <c r="F98" s="15">
        <f>(((Dados!D57)*100)/$G$95)/100</f>
        <v>0</v>
      </c>
      <c r="G98" s="15">
        <f>(((Dados!E57)*100)/$G$95)/100</f>
        <v>0</v>
      </c>
      <c r="H98" s="15">
        <f>(((Dados!F57)*100)/$G$95)/100</f>
        <v>0</v>
      </c>
      <c r="I98" s="15">
        <f>(((Dados!G57)*100)/$G$95)/100</f>
        <v>0</v>
      </c>
      <c r="J98" s="15">
        <f>(((Dados!H57)*100)/$G$95)/100</f>
        <v>0</v>
      </c>
      <c r="K98" s="15">
        <f>(((Dados!I57)*100)/$G$95)/100</f>
        <v>0</v>
      </c>
      <c r="L98" s="15">
        <f>(((Dados!J57)*100)/$G$95)/100</f>
        <v>0</v>
      </c>
      <c r="M98" s="15">
        <f>(((Dados!K57)*100)/$G$95)/100</f>
        <v>0</v>
      </c>
      <c r="N98" s="15">
        <f>(((Dados!L57)*100)/$G$95)/100</f>
        <v>0</v>
      </c>
      <c r="O98" s="15">
        <f>(((Dados!M57)*100)/$G$95)/100</f>
        <v>0</v>
      </c>
      <c r="P98" s="15">
        <f>(((Dados!N57)*100)/$G$95)/100</f>
        <v>0</v>
      </c>
      <c r="Q98" s="15">
        <f>(((Dados!O57)*100)/$G$95)/100</f>
        <v>0</v>
      </c>
      <c r="R98" s="15">
        <f>(((Dados!P57)*100)/$G$95)/100</f>
        <v>0</v>
      </c>
      <c r="S98" s="15">
        <f>(((Dados!Q57)*100)/$G$95)/100</f>
        <v>0</v>
      </c>
      <c r="T98" s="15">
        <f>(((Dados!R57)*100)/$G$95)/100</f>
        <v>0</v>
      </c>
      <c r="U98" s="15">
        <f>(((Dados!S57)*100)/$G$95)/100</f>
        <v>0</v>
      </c>
      <c r="V98" s="15">
        <f>(((Dados!T57)*100)/$G$95)/100</f>
        <v>0</v>
      </c>
      <c r="W98" s="15">
        <f>(((Dados!U57)*100)/$G$95)/100</f>
        <v>0</v>
      </c>
      <c r="X98" s="15">
        <f>(((Dados!V57)*100)/$G$95)/100</f>
        <v>0</v>
      </c>
    </row>
    <row r="99" spans="1:24">
      <c r="A99" s="39"/>
      <c r="B99" s="1" t="str">
        <f>E96</f>
        <v>esophagus</v>
      </c>
      <c r="C99" s="15">
        <f>(((Dados!A58)*100)/$G$95)/100</f>
        <v>1.7699115044247787E-2</v>
      </c>
      <c r="D99" s="15">
        <f>(((Dados!B58)*100)/$G$95)/100</f>
        <v>0</v>
      </c>
      <c r="E99" s="13">
        <f>(((Dados!C58)*100)/$G$95)/100</f>
        <v>0</v>
      </c>
      <c r="F99" s="15">
        <f>(((Dados!D58)*100)/$G$95)/100</f>
        <v>0</v>
      </c>
      <c r="G99" s="15">
        <f>(((Dados!E58)*100)/$G$95)/100</f>
        <v>2.9498525073746312E-3</v>
      </c>
      <c r="H99" s="15">
        <f>(((Dados!F58)*100)/$G$95)/100</f>
        <v>0</v>
      </c>
      <c r="I99" s="15">
        <f>(((Dados!G58)*100)/$G$95)/100</f>
        <v>0</v>
      </c>
      <c r="J99" s="15">
        <f>(((Dados!H58)*100)/$G$95)/100</f>
        <v>0</v>
      </c>
      <c r="K99" s="15">
        <f>(((Dados!I58)*100)/$G$95)/100</f>
        <v>0</v>
      </c>
      <c r="L99" s="15">
        <f>(((Dados!J58)*100)/$G$95)/100</f>
        <v>0</v>
      </c>
      <c r="M99" s="15">
        <f>(((Dados!K58)*100)/$G$95)/100</f>
        <v>2.9498525073746312E-3</v>
      </c>
      <c r="N99" s="15">
        <f>(((Dados!L58)*100)/$G$95)/100</f>
        <v>0</v>
      </c>
      <c r="O99" s="15">
        <f>(((Dados!M58)*100)/$G$95)/100</f>
        <v>0</v>
      </c>
      <c r="P99" s="15">
        <f>(((Dados!N58)*100)/$G$95)/100</f>
        <v>0</v>
      </c>
      <c r="Q99" s="15">
        <f>(((Dados!O58)*100)/$G$95)/100</f>
        <v>0</v>
      </c>
      <c r="R99" s="15">
        <f>(((Dados!P58)*100)/$G$95)/100</f>
        <v>0</v>
      </c>
      <c r="S99" s="15">
        <f>(((Dados!Q58)*100)/$G$95)/100</f>
        <v>2.9498525073746312E-3</v>
      </c>
      <c r="T99" s="15">
        <f>(((Dados!R58)*100)/$G$95)/100</f>
        <v>0</v>
      </c>
      <c r="U99" s="15">
        <f>(((Dados!S58)*100)/$G$95)/100</f>
        <v>0</v>
      </c>
      <c r="V99" s="15">
        <f>(((Dados!T58)*100)/$G$95)/100</f>
        <v>0</v>
      </c>
      <c r="W99" s="15">
        <f>(((Dados!U58)*100)/$G$95)/100</f>
        <v>0</v>
      </c>
      <c r="X99" s="15">
        <f>(((Dados!V58)*100)/$G$95)/100</f>
        <v>0</v>
      </c>
    </row>
    <row r="100" spans="1:24">
      <c r="A100" s="39"/>
      <c r="B100" s="1" t="str">
        <f>F96</f>
        <v>thyroid</v>
      </c>
      <c r="C100" s="15">
        <f>(((Dados!A59)*100)/$G$95)/100</f>
        <v>2.0648967551622419E-2</v>
      </c>
      <c r="D100" s="15">
        <f>(((Dados!B59)*100)/$G$95)/100</f>
        <v>0</v>
      </c>
      <c r="E100" s="15">
        <f>(((Dados!C59)*100)/$G$95)/100</f>
        <v>0</v>
      </c>
      <c r="F100" s="13">
        <f>(((Dados!D59)*100)/$G$95)/100</f>
        <v>8.8495575221238937E-3</v>
      </c>
      <c r="G100" s="15">
        <f>(((Dados!E59)*100)/$G$95)/100</f>
        <v>2.9498525073746312E-3</v>
      </c>
      <c r="H100" s="15">
        <f>(((Dados!F59)*100)/$G$95)/100</f>
        <v>0</v>
      </c>
      <c r="I100" s="15">
        <f>(((Dados!G59)*100)/$G$95)/100</f>
        <v>0</v>
      </c>
      <c r="J100" s="15">
        <f>(((Dados!H59)*100)/$G$95)/100</f>
        <v>0</v>
      </c>
      <c r="K100" s="15">
        <f>(((Dados!I59)*100)/$G$95)/100</f>
        <v>0</v>
      </c>
      <c r="L100" s="15">
        <f>(((Dados!J59)*100)/$G$95)/100</f>
        <v>0</v>
      </c>
      <c r="M100" s="15">
        <f>(((Dados!K59)*100)/$G$95)/100</f>
        <v>0</v>
      </c>
      <c r="N100" s="15">
        <f>(((Dados!L59)*100)/$G$95)/100</f>
        <v>0</v>
      </c>
      <c r="O100" s="15">
        <f>(((Dados!M59)*100)/$G$95)/100</f>
        <v>0</v>
      </c>
      <c r="P100" s="15">
        <f>(((Dados!N59)*100)/$G$95)/100</f>
        <v>5.8997050147492625E-3</v>
      </c>
      <c r="Q100" s="15">
        <f>(((Dados!O59)*100)/$G$95)/100</f>
        <v>0</v>
      </c>
      <c r="R100" s="15">
        <f>(((Dados!P59)*100)/$G$95)/100</f>
        <v>0</v>
      </c>
      <c r="S100" s="15">
        <f>(((Dados!Q59)*100)/$G$95)/100</f>
        <v>2.9498525073746312E-3</v>
      </c>
      <c r="T100" s="15">
        <f>(((Dados!R59)*100)/$G$95)/100</f>
        <v>0</v>
      </c>
      <c r="U100" s="15">
        <f>(((Dados!S59)*100)/$G$95)/100</f>
        <v>0</v>
      </c>
      <c r="V100" s="15">
        <f>(((Dados!T59)*100)/$G$95)/100</f>
        <v>0</v>
      </c>
      <c r="W100" s="15">
        <f>(((Dados!U59)*100)/$G$95)/100</f>
        <v>0</v>
      </c>
      <c r="X100" s="15">
        <f>(((Dados!V59)*100)/$G$95)/100</f>
        <v>0</v>
      </c>
    </row>
    <row r="101" spans="1:24">
      <c r="A101" s="39"/>
      <c r="B101" s="1" t="str">
        <f>G96</f>
        <v>stomach</v>
      </c>
      <c r="C101" s="15">
        <f>(((Dados!A60)*100)/$G$95)/100</f>
        <v>2.6548672566371681E-2</v>
      </c>
      <c r="D101" s="15">
        <f>(((Dados!B60)*100)/$G$95)/100</f>
        <v>0</v>
      </c>
      <c r="E101" s="15">
        <f>(((Dados!C60)*100)/$G$95)/100</f>
        <v>0</v>
      </c>
      <c r="F101" s="15">
        <f>(((Dados!D60)*100)/$G$95)/100</f>
        <v>2.9498525073746312E-3</v>
      </c>
      <c r="G101" s="13">
        <f>(((Dados!E60)*100)/$G$95)/100</f>
        <v>2.359882005899705E-2</v>
      </c>
      <c r="H101" s="15">
        <f>(((Dados!F60)*100)/$G$95)/100</f>
        <v>0</v>
      </c>
      <c r="I101" s="15">
        <f>(((Dados!G60)*100)/$G$95)/100</f>
        <v>1.4749262536873156E-2</v>
      </c>
      <c r="J101" s="15">
        <f>(((Dados!H60)*100)/$G$95)/100</f>
        <v>2.9498525073746312E-3</v>
      </c>
      <c r="K101" s="15">
        <f>(((Dados!I60)*100)/$G$95)/100</f>
        <v>0</v>
      </c>
      <c r="L101" s="15">
        <f>(((Dados!J60)*100)/$G$95)/100</f>
        <v>0</v>
      </c>
      <c r="M101" s="15">
        <f>(((Dados!K60)*100)/$G$95)/100</f>
        <v>1.7699115044247787E-2</v>
      </c>
      <c r="N101" s="15">
        <f>(((Dados!L60)*100)/$G$95)/100</f>
        <v>5.8997050147492625E-3</v>
      </c>
      <c r="O101" s="15">
        <f>(((Dados!M60)*100)/$G$95)/100</f>
        <v>0</v>
      </c>
      <c r="P101" s="15">
        <f>(((Dados!N60)*100)/$G$95)/100</f>
        <v>5.8997050147492625E-3</v>
      </c>
      <c r="Q101" s="15">
        <f>(((Dados!O60)*100)/$G$95)/100</f>
        <v>0</v>
      </c>
      <c r="R101" s="15">
        <f>(((Dados!P60)*100)/$G$95)/100</f>
        <v>0</v>
      </c>
      <c r="S101" s="15">
        <f>(((Dados!Q60)*100)/$G$95)/100</f>
        <v>2.9498525073746312E-3</v>
      </c>
      <c r="T101" s="15">
        <f>(((Dados!R60)*100)/$G$95)/100</f>
        <v>5.8997050147492625E-3</v>
      </c>
      <c r="U101" s="15">
        <f>(((Dados!S60)*100)/$G$95)/100</f>
        <v>2.9498525073746312E-3</v>
      </c>
      <c r="V101" s="15">
        <f>(((Dados!T60)*100)/$G$95)/100</f>
        <v>0</v>
      </c>
      <c r="W101" s="15">
        <f>(((Dados!U60)*100)/$G$95)/100</f>
        <v>0</v>
      </c>
      <c r="X101" s="15">
        <f>(((Dados!V60)*100)/$G$95)/100</f>
        <v>2.9498525073746312E-3</v>
      </c>
    </row>
    <row r="102" spans="1:24">
      <c r="A102" s="39"/>
      <c r="B102" s="1" t="str">
        <f>H96</f>
        <v>duoden and sm.int</v>
      </c>
      <c r="C102" s="15">
        <f>(((Dados!A61)*100)/$G$95)/100</f>
        <v>0</v>
      </c>
      <c r="D102" s="15">
        <f>(((Dados!B61)*100)/$G$95)/100</f>
        <v>0</v>
      </c>
      <c r="E102" s="15">
        <f>(((Dados!C61)*100)/$G$95)/100</f>
        <v>0</v>
      </c>
      <c r="F102" s="15">
        <f>(((Dados!D61)*100)/$G$95)/100</f>
        <v>0</v>
      </c>
      <c r="G102" s="15">
        <f>(((Dados!E61)*100)/$G$95)/100</f>
        <v>0</v>
      </c>
      <c r="H102" s="13">
        <f>(((Dados!F61)*100)/$G$95)/100</f>
        <v>0</v>
      </c>
      <c r="I102" s="15">
        <f>(((Dados!G61)*100)/$G$95)/100</f>
        <v>2.9498525073746312E-3</v>
      </c>
      <c r="J102" s="15">
        <f>(((Dados!H61)*100)/$G$95)/100</f>
        <v>0</v>
      </c>
      <c r="K102" s="15">
        <f>(((Dados!I61)*100)/$G$95)/100</f>
        <v>0</v>
      </c>
      <c r="L102" s="15">
        <f>(((Dados!J61)*100)/$G$95)/100</f>
        <v>0</v>
      </c>
      <c r="M102" s="15">
        <f>(((Dados!K61)*100)/$G$95)/100</f>
        <v>0</v>
      </c>
      <c r="N102" s="15">
        <f>(((Dados!L61)*100)/$G$95)/100</f>
        <v>0</v>
      </c>
      <c r="O102" s="15">
        <f>(((Dados!M61)*100)/$G$95)/100</f>
        <v>0</v>
      </c>
      <c r="P102" s="15">
        <f>(((Dados!N61)*100)/$G$95)/100</f>
        <v>0</v>
      </c>
      <c r="Q102" s="15">
        <f>(((Dados!O61)*100)/$G$95)/100</f>
        <v>0</v>
      </c>
      <c r="R102" s="15">
        <f>(((Dados!P61)*100)/$G$95)/100</f>
        <v>0</v>
      </c>
      <c r="S102" s="15">
        <f>(((Dados!Q61)*100)/$G$95)/100</f>
        <v>0</v>
      </c>
      <c r="T102" s="15">
        <f>(((Dados!R61)*100)/$G$95)/100</f>
        <v>0</v>
      </c>
      <c r="U102" s="15">
        <f>(((Dados!S61)*100)/$G$95)/100</f>
        <v>0</v>
      </c>
      <c r="V102" s="15">
        <f>(((Dados!T61)*100)/$G$95)/100</f>
        <v>0</v>
      </c>
      <c r="W102" s="15">
        <f>(((Dados!U61)*100)/$G$95)/100</f>
        <v>0</v>
      </c>
      <c r="X102" s="15">
        <f>(((Dados!V61)*100)/$G$95)/100</f>
        <v>0</v>
      </c>
    </row>
    <row r="103" spans="1:24">
      <c r="A103" s="39"/>
      <c r="B103" s="1" t="str">
        <f>I96</f>
        <v>colon</v>
      </c>
      <c r="C103" s="15">
        <f>(((Dados!A62)*100)/$G$95)/100</f>
        <v>0</v>
      </c>
      <c r="D103" s="15">
        <f>(((Dados!B62)*100)/$G$95)/100</f>
        <v>0</v>
      </c>
      <c r="E103" s="15">
        <f>(((Dados!C62)*100)/$G$95)/100</f>
        <v>0</v>
      </c>
      <c r="F103" s="15">
        <f>(((Dados!D62)*100)/$G$95)/100</f>
        <v>0</v>
      </c>
      <c r="G103" s="15">
        <f>(((Dados!E62)*100)/$G$95)/100</f>
        <v>5.8997050147492625E-3</v>
      </c>
      <c r="H103" s="15">
        <f>(((Dados!F62)*100)/$G$95)/100</f>
        <v>2.9498525073746312E-3</v>
      </c>
      <c r="I103" s="13">
        <f>(((Dados!G62)*100)/$G$95)/100</f>
        <v>0</v>
      </c>
      <c r="J103" s="15">
        <f>(((Dados!H62)*100)/$G$95)/100</f>
        <v>2.9498525073746312E-3</v>
      </c>
      <c r="K103" s="15">
        <f>(((Dados!I62)*100)/$G$95)/100</f>
        <v>0</v>
      </c>
      <c r="L103" s="15">
        <f>(((Dados!J62)*100)/$G$95)/100</f>
        <v>0</v>
      </c>
      <c r="M103" s="15">
        <f>(((Dados!K62)*100)/$G$95)/100</f>
        <v>1.1799410029498525E-2</v>
      </c>
      <c r="N103" s="15">
        <f>(((Dados!L62)*100)/$G$95)/100</f>
        <v>1.1799410029498525E-2</v>
      </c>
      <c r="O103" s="15">
        <f>(((Dados!M62)*100)/$G$95)/100</f>
        <v>0</v>
      </c>
      <c r="P103" s="15">
        <f>(((Dados!N62)*100)/$G$95)/100</f>
        <v>2.9498525073746312E-3</v>
      </c>
      <c r="Q103" s="15">
        <f>(((Dados!O62)*100)/$G$95)/100</f>
        <v>0</v>
      </c>
      <c r="R103" s="15">
        <f>(((Dados!P62)*100)/$G$95)/100</f>
        <v>0</v>
      </c>
      <c r="S103" s="15">
        <f>(((Dados!Q62)*100)/$G$95)/100</f>
        <v>0</v>
      </c>
      <c r="T103" s="15">
        <f>(((Dados!R62)*100)/$G$95)/100</f>
        <v>2.9498525073746312E-3</v>
      </c>
      <c r="U103" s="15">
        <f>(((Dados!S62)*100)/$G$95)/100</f>
        <v>0</v>
      </c>
      <c r="V103" s="15">
        <f>(((Dados!T62)*100)/$G$95)/100</f>
        <v>0</v>
      </c>
      <c r="W103" s="15">
        <f>(((Dados!U62)*100)/$G$95)/100</f>
        <v>0</v>
      </c>
      <c r="X103" s="15">
        <f>(((Dados!V62)*100)/$G$95)/100</f>
        <v>0</v>
      </c>
    </row>
    <row r="104" spans="1:24">
      <c r="A104" s="39"/>
      <c r="B104" s="1" t="str">
        <f>J96</f>
        <v>rectum</v>
      </c>
      <c r="C104" s="15">
        <f>(((Dados!A63)*100)/$G$95)/100</f>
        <v>0</v>
      </c>
      <c r="D104" s="15">
        <f>(((Dados!B63)*100)/$G$95)/100</f>
        <v>2.9498525073746312E-3</v>
      </c>
      <c r="E104" s="15">
        <f>(((Dados!C63)*100)/$G$95)/100</f>
        <v>0</v>
      </c>
      <c r="F104" s="15">
        <f>(((Dados!D63)*100)/$G$95)/100</f>
        <v>2.9498525073746312E-3</v>
      </c>
      <c r="G104" s="15">
        <f>(((Dados!E63)*100)/$G$95)/100</f>
        <v>2.9498525073746312E-3</v>
      </c>
      <c r="H104" s="15">
        <f>(((Dados!F63)*100)/$G$95)/100</f>
        <v>0</v>
      </c>
      <c r="I104" s="15">
        <f>(((Dados!G63)*100)/$G$95)/100</f>
        <v>2.9498525073746312E-3</v>
      </c>
      <c r="J104" s="13">
        <f>(((Dados!H63)*100)/$G$95)/100</f>
        <v>2.9498525073746312E-3</v>
      </c>
      <c r="K104" s="15">
        <f>(((Dados!I63)*100)/$G$95)/100</f>
        <v>0</v>
      </c>
      <c r="L104" s="15">
        <f>(((Dados!J63)*100)/$G$95)/100</f>
        <v>0</v>
      </c>
      <c r="M104" s="15">
        <f>(((Dados!K63)*100)/$G$95)/100</f>
        <v>0</v>
      </c>
      <c r="N104" s="15">
        <f>(((Dados!L63)*100)/$G$95)/100</f>
        <v>0</v>
      </c>
      <c r="O104" s="15">
        <f>(((Dados!M63)*100)/$G$95)/100</f>
        <v>0</v>
      </c>
      <c r="P104" s="15">
        <f>(((Dados!N63)*100)/$G$95)/100</f>
        <v>0</v>
      </c>
      <c r="Q104" s="15">
        <f>(((Dados!O63)*100)/$G$95)/100</f>
        <v>0</v>
      </c>
      <c r="R104" s="15">
        <f>(((Dados!P63)*100)/$G$95)/100</f>
        <v>0</v>
      </c>
      <c r="S104" s="15">
        <f>(((Dados!Q63)*100)/$G$95)/100</f>
        <v>0</v>
      </c>
      <c r="T104" s="15">
        <f>(((Dados!R63)*100)/$G$95)/100</f>
        <v>0</v>
      </c>
      <c r="U104" s="15">
        <f>(((Dados!S63)*100)/$G$95)/100</f>
        <v>0</v>
      </c>
      <c r="V104" s="15">
        <f>(((Dados!T63)*100)/$G$95)/100</f>
        <v>0</v>
      </c>
      <c r="W104" s="15">
        <f>(((Dados!U63)*100)/$G$95)/100</f>
        <v>0</v>
      </c>
      <c r="X104" s="15">
        <f>(((Dados!V63)*100)/$G$95)/100</f>
        <v>2.9498525073746312E-3</v>
      </c>
    </row>
    <row r="105" spans="1:24">
      <c r="A105" s="39"/>
      <c r="B105" s="1" t="str">
        <f>K96</f>
        <v>anus</v>
      </c>
      <c r="C105" s="15">
        <f>(((Dados!A64)*100)/$G$95)/100</f>
        <v>0</v>
      </c>
      <c r="D105" s="15">
        <f>(((Dados!B64)*100)/$G$95)/100</f>
        <v>0</v>
      </c>
      <c r="E105" s="15">
        <f>(((Dados!C64)*100)/$G$95)/100</f>
        <v>0</v>
      </c>
      <c r="F105" s="15">
        <f>(((Dados!D64)*100)/$G$95)/100</f>
        <v>0</v>
      </c>
      <c r="G105" s="15">
        <f>(((Dados!E64)*100)/$G$95)/100</f>
        <v>0</v>
      </c>
      <c r="H105" s="15">
        <f>(((Dados!F64)*100)/$G$95)/100</f>
        <v>0</v>
      </c>
      <c r="I105" s="15">
        <f>(((Dados!G64)*100)/$G$95)/100</f>
        <v>0</v>
      </c>
      <c r="J105" s="15">
        <f>(((Dados!H64)*100)/$G$95)/100</f>
        <v>0</v>
      </c>
      <c r="K105" s="13">
        <f>(((Dados!I64)*100)/$G$95)/100</f>
        <v>0</v>
      </c>
      <c r="L105" s="15">
        <f>(((Dados!J64)*100)/$G$95)/100</f>
        <v>0</v>
      </c>
      <c r="M105" s="15">
        <f>(((Dados!K64)*100)/$G$95)/100</f>
        <v>0</v>
      </c>
      <c r="N105" s="15">
        <f>(((Dados!L64)*100)/$G$95)/100</f>
        <v>0</v>
      </c>
      <c r="O105" s="15">
        <f>(((Dados!M64)*100)/$G$95)/100</f>
        <v>0</v>
      </c>
      <c r="P105" s="15">
        <f>(((Dados!N64)*100)/$G$95)/100</f>
        <v>0</v>
      </c>
      <c r="Q105" s="15">
        <f>(((Dados!O64)*100)/$G$95)/100</f>
        <v>0</v>
      </c>
      <c r="R105" s="15">
        <f>(((Dados!P64)*100)/$G$95)/100</f>
        <v>0</v>
      </c>
      <c r="S105" s="15">
        <f>(((Dados!Q64)*100)/$G$95)/100</f>
        <v>0</v>
      </c>
      <c r="T105" s="15">
        <f>(((Dados!R64)*100)/$G$95)/100</f>
        <v>0</v>
      </c>
      <c r="U105" s="15">
        <f>(((Dados!S64)*100)/$G$95)/100</f>
        <v>0</v>
      </c>
      <c r="V105" s="15">
        <f>(((Dados!T64)*100)/$G$95)/100</f>
        <v>0</v>
      </c>
      <c r="W105" s="15">
        <f>(((Dados!U64)*100)/$G$95)/100</f>
        <v>0</v>
      </c>
      <c r="X105" s="15">
        <f>(((Dados!V64)*100)/$G$95)/100</f>
        <v>0</v>
      </c>
    </row>
    <row r="106" spans="1:24">
      <c r="A106" s="39"/>
      <c r="B106" s="1" t="str">
        <f>L96</f>
        <v>salivary glands</v>
      </c>
      <c r="C106" s="15">
        <f>(((Dados!A65)*100)/$G$95)/100</f>
        <v>2.9498525073746312E-3</v>
      </c>
      <c r="D106" s="15">
        <f>(((Dados!B65)*100)/$G$95)/100</f>
        <v>0</v>
      </c>
      <c r="E106" s="15">
        <f>(((Dados!C65)*100)/$G$95)/100</f>
        <v>0</v>
      </c>
      <c r="F106" s="15">
        <f>(((Dados!D65)*100)/$G$95)/100</f>
        <v>0</v>
      </c>
      <c r="G106" s="15">
        <f>(((Dados!E65)*100)/$G$95)/100</f>
        <v>0</v>
      </c>
      <c r="H106" s="15">
        <f>(((Dados!F65)*100)/$G$95)/100</f>
        <v>0</v>
      </c>
      <c r="I106" s="15">
        <f>(((Dados!G65)*100)/$G$95)/100</f>
        <v>0</v>
      </c>
      <c r="J106" s="15">
        <f>(((Dados!H65)*100)/$G$95)/100</f>
        <v>0</v>
      </c>
      <c r="K106" s="15">
        <f>(((Dados!I65)*100)/$G$95)/100</f>
        <v>0</v>
      </c>
      <c r="L106" s="13">
        <f>(((Dados!J65)*100)/$G$95)/100</f>
        <v>2.9498525073746312E-3</v>
      </c>
      <c r="M106" s="15">
        <f>(((Dados!K65)*100)/$G$95)/100</f>
        <v>0</v>
      </c>
      <c r="N106" s="15">
        <f>(((Dados!L65)*100)/$G$95)/100</f>
        <v>0</v>
      </c>
      <c r="O106" s="15">
        <f>(((Dados!M65)*100)/$G$95)/100</f>
        <v>0</v>
      </c>
      <c r="P106" s="15">
        <f>(((Dados!N65)*100)/$G$95)/100</f>
        <v>0</v>
      </c>
      <c r="Q106" s="15">
        <f>(((Dados!O65)*100)/$G$95)/100</f>
        <v>0</v>
      </c>
      <c r="R106" s="15">
        <f>(((Dados!P65)*100)/$G$95)/100</f>
        <v>0</v>
      </c>
      <c r="S106" s="15">
        <f>(((Dados!Q65)*100)/$G$95)/100</f>
        <v>0</v>
      </c>
      <c r="T106" s="15">
        <f>(((Dados!R65)*100)/$G$95)/100</f>
        <v>0</v>
      </c>
      <c r="U106" s="15">
        <f>(((Dados!S65)*100)/$G$95)/100</f>
        <v>0</v>
      </c>
      <c r="V106" s="15">
        <f>(((Dados!T65)*100)/$G$95)/100</f>
        <v>0</v>
      </c>
      <c r="W106" s="15">
        <f>(((Dados!U65)*100)/$G$95)/100</f>
        <v>0</v>
      </c>
      <c r="X106" s="15">
        <f>(((Dados!V65)*100)/$G$95)/100</f>
        <v>0</v>
      </c>
    </row>
    <row r="107" spans="1:24">
      <c r="A107" s="39"/>
      <c r="B107" s="1" t="str">
        <f>M96</f>
        <v>pancreas</v>
      </c>
      <c r="C107" s="15">
        <f>(((Dados!A66)*100)/$G$95)/100</f>
        <v>8.8495575221238937E-3</v>
      </c>
      <c r="D107" s="15">
        <f>(((Dados!B66)*100)/$G$95)/100</f>
        <v>0</v>
      </c>
      <c r="E107" s="15">
        <f>(((Dados!C66)*100)/$G$95)/100</f>
        <v>2.9498525073746312E-3</v>
      </c>
      <c r="F107" s="15">
        <f>(((Dados!D66)*100)/$G$95)/100</f>
        <v>0</v>
      </c>
      <c r="G107" s="15">
        <f>(((Dados!E66)*100)/$G$95)/100</f>
        <v>1.7699115044247787E-2</v>
      </c>
      <c r="H107" s="15">
        <f>(((Dados!F66)*100)/$G$95)/100</f>
        <v>0</v>
      </c>
      <c r="I107" s="15">
        <f>(((Dados!G66)*100)/$G$95)/100</f>
        <v>8.8495575221238937E-3</v>
      </c>
      <c r="J107" s="15">
        <f>(((Dados!H66)*100)/$G$95)/100</f>
        <v>0</v>
      </c>
      <c r="K107" s="15">
        <f>(((Dados!I66)*100)/$G$95)/100</f>
        <v>0</v>
      </c>
      <c r="L107" s="15">
        <f>(((Dados!J66)*100)/$G$95)/100</f>
        <v>0</v>
      </c>
      <c r="M107" s="13">
        <f>(((Dados!K66)*100)/$G$95)/100</f>
        <v>1.7699115044247787E-2</v>
      </c>
      <c r="N107" s="15">
        <f>(((Dados!L66)*100)/$G$95)/100</f>
        <v>1.4749262536873156E-2</v>
      </c>
      <c r="O107" s="15">
        <f>(((Dados!M66)*100)/$G$95)/100</f>
        <v>0</v>
      </c>
      <c r="P107" s="15">
        <f>(((Dados!N66)*100)/$G$95)/100</f>
        <v>0</v>
      </c>
      <c r="Q107" s="15">
        <f>(((Dados!O66)*100)/$G$95)/100</f>
        <v>0</v>
      </c>
      <c r="R107" s="15">
        <f>(((Dados!P66)*100)/$G$95)/100</f>
        <v>0</v>
      </c>
      <c r="S107" s="15">
        <f>(((Dados!Q66)*100)/$G$95)/100</f>
        <v>2.9498525073746312E-3</v>
      </c>
      <c r="T107" s="15">
        <f>(((Dados!R66)*100)/$G$95)/100</f>
        <v>8.8495575221238937E-3</v>
      </c>
      <c r="U107" s="15">
        <f>(((Dados!S66)*100)/$G$95)/100</f>
        <v>0</v>
      </c>
      <c r="V107" s="15">
        <f>(((Dados!T66)*100)/$G$95)/100</f>
        <v>0</v>
      </c>
      <c r="W107" s="15">
        <f>(((Dados!U66)*100)/$G$95)/100</f>
        <v>0</v>
      </c>
      <c r="X107" s="15">
        <f>(((Dados!V66)*100)/$G$95)/100</f>
        <v>0</v>
      </c>
    </row>
    <row r="108" spans="1:24">
      <c r="A108" s="39"/>
      <c r="B108" s="1" t="str">
        <f>N96</f>
        <v>gallbladder</v>
      </c>
      <c r="C108" s="15">
        <f>(((Dados!A67)*100)/$G$95)/100</f>
        <v>0</v>
      </c>
      <c r="D108" s="15">
        <f>(((Dados!B67)*100)/$G$95)/100</f>
        <v>0</v>
      </c>
      <c r="E108" s="15">
        <f>(((Dados!C67)*100)/$G$95)/100</f>
        <v>0</v>
      </c>
      <c r="F108" s="15">
        <f>(((Dados!D67)*100)/$G$95)/100</f>
        <v>0</v>
      </c>
      <c r="G108" s="15">
        <f>(((Dados!E67)*100)/$G$95)/100</f>
        <v>5.8997050147492625E-3</v>
      </c>
      <c r="H108" s="15">
        <f>(((Dados!F67)*100)/$G$95)/100</f>
        <v>0</v>
      </c>
      <c r="I108" s="15">
        <f>(((Dados!G67)*100)/$G$95)/100</f>
        <v>1.1799410029498525E-2</v>
      </c>
      <c r="J108" s="15">
        <f>(((Dados!H67)*100)/$G$95)/100</f>
        <v>0</v>
      </c>
      <c r="K108" s="15">
        <f>(((Dados!I67)*100)/$G$95)/100</f>
        <v>0</v>
      </c>
      <c r="L108" s="15">
        <f>(((Dados!J67)*100)/$G$95)/100</f>
        <v>0</v>
      </c>
      <c r="M108" s="15">
        <f>(((Dados!K67)*100)/$G$95)/100</f>
        <v>5.8997050147492625E-3</v>
      </c>
      <c r="N108" s="13">
        <f>(((Dados!L67)*100)/$G$95)/100</f>
        <v>1.7699115044247787E-2</v>
      </c>
      <c r="O108" s="15">
        <f>(((Dados!M67)*100)/$G$95)/100</f>
        <v>0</v>
      </c>
      <c r="P108" s="15">
        <f>(((Dados!N67)*100)/$G$95)/100</f>
        <v>2.9498525073746312E-3</v>
      </c>
      <c r="Q108" s="15">
        <f>(((Dados!O67)*100)/$G$95)/100</f>
        <v>0</v>
      </c>
      <c r="R108" s="15">
        <f>(((Dados!P67)*100)/$G$95)/100</f>
        <v>0</v>
      </c>
      <c r="S108" s="15">
        <f>(((Dados!Q67)*100)/$G$95)/100</f>
        <v>0</v>
      </c>
      <c r="T108" s="15">
        <f>(((Dados!R67)*100)/$G$95)/100</f>
        <v>2.9498525073746312E-3</v>
      </c>
      <c r="U108" s="15">
        <f>(((Dados!S67)*100)/$G$95)/100</f>
        <v>0</v>
      </c>
      <c r="V108" s="15">
        <f>(((Dados!T67)*100)/$G$95)/100</f>
        <v>0</v>
      </c>
      <c r="W108" s="15">
        <f>(((Dados!U67)*100)/$G$95)/100</f>
        <v>0</v>
      </c>
      <c r="X108" s="15">
        <f>(((Dados!V67)*100)/$G$95)/100</f>
        <v>0</v>
      </c>
    </row>
    <row r="109" spans="1:24">
      <c r="A109" s="39"/>
      <c r="B109" s="1" t="str">
        <f>O96</f>
        <v>liver</v>
      </c>
      <c r="C109" s="15">
        <f>(((Dados!A68)*100)/$G$95)/100</f>
        <v>5.8997050147492625E-3</v>
      </c>
      <c r="D109" s="15">
        <f>(((Dados!B68)*100)/$G$95)/100</f>
        <v>0</v>
      </c>
      <c r="E109" s="15">
        <f>(((Dados!C68)*100)/$G$95)/100</f>
        <v>0</v>
      </c>
      <c r="F109" s="15">
        <f>(((Dados!D68)*100)/$G$95)/100</f>
        <v>0</v>
      </c>
      <c r="G109" s="15">
        <f>(((Dados!E68)*100)/$G$95)/100</f>
        <v>2.9498525073746312E-3</v>
      </c>
      <c r="H109" s="15">
        <f>(((Dados!F68)*100)/$G$95)/100</f>
        <v>0</v>
      </c>
      <c r="I109" s="15">
        <f>(((Dados!G68)*100)/$G$95)/100</f>
        <v>5.8997050147492625E-3</v>
      </c>
      <c r="J109" s="15">
        <f>(((Dados!H68)*100)/$G$95)/100</f>
        <v>0</v>
      </c>
      <c r="K109" s="15">
        <f>(((Dados!I68)*100)/$G$95)/100</f>
        <v>0</v>
      </c>
      <c r="L109" s="15">
        <f>(((Dados!J68)*100)/$G$95)/100</f>
        <v>0</v>
      </c>
      <c r="M109" s="15">
        <f>(((Dados!K68)*100)/$G$95)/100</f>
        <v>0</v>
      </c>
      <c r="N109" s="15">
        <f>(((Dados!L68)*100)/$G$95)/100</f>
        <v>0</v>
      </c>
      <c r="O109" s="13">
        <f>(((Dados!M68)*100)/$G$95)/100</f>
        <v>0</v>
      </c>
      <c r="P109" s="15">
        <f>(((Dados!N68)*100)/$G$95)/100</f>
        <v>2.9498525073746312E-3</v>
      </c>
      <c r="Q109" s="15">
        <f>(((Dados!O68)*100)/$G$95)/100</f>
        <v>0</v>
      </c>
      <c r="R109" s="15">
        <f>(((Dados!P68)*100)/$G$95)/100</f>
        <v>0</v>
      </c>
      <c r="S109" s="15">
        <f>(((Dados!Q68)*100)/$G$95)/100</f>
        <v>0</v>
      </c>
      <c r="T109" s="15">
        <f>(((Dados!R68)*100)/$G$95)/100</f>
        <v>2.9498525073746312E-3</v>
      </c>
      <c r="U109" s="15">
        <f>(((Dados!S68)*100)/$G$95)/100</f>
        <v>0</v>
      </c>
      <c r="V109" s="15">
        <f>(((Dados!T68)*100)/$G$95)/100</f>
        <v>0</v>
      </c>
      <c r="W109" s="15">
        <f>(((Dados!U68)*100)/$G$95)/100</f>
        <v>0</v>
      </c>
      <c r="X109" s="15">
        <f>(((Dados!V68)*100)/$G$95)/100</f>
        <v>0</v>
      </c>
    </row>
    <row r="110" spans="1:24">
      <c r="A110" s="39"/>
      <c r="B110" s="1" t="str">
        <f>P96</f>
        <v>kidney</v>
      </c>
      <c r="C110" s="15">
        <f>(((Dados!A69)*100)/$G$95)/100</f>
        <v>8.8495575221238937E-3</v>
      </c>
      <c r="D110" s="15">
        <f>(((Dados!B69)*100)/$G$95)/100</f>
        <v>0</v>
      </c>
      <c r="E110" s="15">
        <f>(((Dados!C69)*100)/$G$95)/100</f>
        <v>0</v>
      </c>
      <c r="F110" s="15">
        <f>(((Dados!D69)*100)/$G$95)/100</f>
        <v>1.1799410029498525E-2</v>
      </c>
      <c r="G110" s="15">
        <f>(((Dados!E69)*100)/$G$95)/100</f>
        <v>5.8997050147492625E-3</v>
      </c>
      <c r="H110" s="15">
        <f>(((Dados!F69)*100)/$G$95)/100</f>
        <v>0</v>
      </c>
      <c r="I110" s="15">
        <f>(((Dados!G69)*100)/$G$95)/100</f>
        <v>5.8997050147492625E-3</v>
      </c>
      <c r="J110" s="15">
        <f>(((Dados!H69)*100)/$G$95)/100</f>
        <v>0</v>
      </c>
      <c r="K110" s="15">
        <f>(((Dados!I69)*100)/$G$95)/100</f>
        <v>0</v>
      </c>
      <c r="L110" s="15">
        <f>(((Dados!J69)*100)/$G$95)/100</f>
        <v>0</v>
      </c>
      <c r="M110" s="15">
        <f>(((Dados!K69)*100)/$G$95)/100</f>
        <v>2.9498525073746312E-3</v>
      </c>
      <c r="N110" s="15">
        <f>(((Dados!L69)*100)/$G$95)/100</f>
        <v>2.9498525073746312E-3</v>
      </c>
      <c r="O110" s="15">
        <f>(((Dados!M69)*100)/$G$95)/100</f>
        <v>5.8997050147492625E-3</v>
      </c>
      <c r="P110" s="13">
        <f>(((Dados!N69)*100)/$G$95)/100</f>
        <v>8.8495575221238937E-3</v>
      </c>
      <c r="Q110" s="15">
        <f>(((Dados!O69)*100)/$G$95)/100</f>
        <v>0</v>
      </c>
      <c r="R110" s="15">
        <f>(((Dados!P69)*100)/$G$95)/100</f>
        <v>2.9498525073746312E-3</v>
      </c>
      <c r="S110" s="15">
        <f>(((Dados!Q69)*100)/$G$95)/100</f>
        <v>1.1799410029498525E-2</v>
      </c>
      <c r="T110" s="15">
        <f>(((Dados!R69)*100)/$G$95)/100</f>
        <v>2.9498525073746312E-3</v>
      </c>
      <c r="U110" s="15">
        <f>(((Dados!S69)*100)/$G$95)/100</f>
        <v>0</v>
      </c>
      <c r="V110" s="15">
        <f>(((Dados!T69)*100)/$G$95)/100</f>
        <v>0</v>
      </c>
      <c r="W110" s="15">
        <f>(((Dados!U69)*100)/$G$95)/100</f>
        <v>0</v>
      </c>
      <c r="X110" s="15">
        <f>(((Dados!V69)*100)/$G$95)/100</f>
        <v>0</v>
      </c>
    </row>
    <row r="111" spans="1:24">
      <c r="A111" s="39"/>
      <c r="B111" s="1" t="str">
        <f>Q96</f>
        <v>bladder</v>
      </c>
      <c r="C111" s="15">
        <f>(((Dados!A70)*100)/$G$95)/100</f>
        <v>2.9498525073746312E-3</v>
      </c>
      <c r="D111" s="15">
        <f>(((Dados!B70)*100)/$G$95)/100</f>
        <v>0</v>
      </c>
      <c r="E111" s="15">
        <f>(((Dados!C70)*100)/$G$95)/100</f>
        <v>0</v>
      </c>
      <c r="F111" s="15">
        <f>(((Dados!D70)*100)/$G$95)/100</f>
        <v>0</v>
      </c>
      <c r="G111" s="15">
        <f>(((Dados!E70)*100)/$G$95)/100</f>
        <v>0</v>
      </c>
      <c r="H111" s="15">
        <f>(((Dados!F70)*100)/$G$95)/100</f>
        <v>0</v>
      </c>
      <c r="I111" s="15">
        <f>(((Dados!G70)*100)/$G$95)/100</f>
        <v>0</v>
      </c>
      <c r="J111" s="15">
        <f>(((Dados!H70)*100)/$G$95)/100</f>
        <v>0</v>
      </c>
      <c r="K111" s="15">
        <f>(((Dados!I70)*100)/$G$95)/100</f>
        <v>0</v>
      </c>
      <c r="L111" s="15">
        <f>(((Dados!J70)*100)/$G$95)/100</f>
        <v>0</v>
      </c>
      <c r="M111" s="15">
        <f>(((Dados!K70)*100)/$G$95)/100</f>
        <v>0</v>
      </c>
      <c r="N111" s="15">
        <f>(((Dados!L70)*100)/$G$95)/100</f>
        <v>0</v>
      </c>
      <c r="O111" s="15">
        <f>(((Dados!M70)*100)/$G$95)/100</f>
        <v>0</v>
      </c>
      <c r="P111" s="15">
        <f>(((Dados!N70)*100)/$G$95)/100</f>
        <v>0</v>
      </c>
      <c r="Q111" s="13">
        <f>(((Dados!O70)*100)/$G$95)/100</f>
        <v>0</v>
      </c>
      <c r="R111" s="15">
        <f>(((Dados!P70)*100)/$G$95)/100</f>
        <v>0</v>
      </c>
      <c r="S111" s="15">
        <f>(((Dados!Q70)*100)/$G$95)/100</f>
        <v>0</v>
      </c>
      <c r="T111" s="15">
        <f>(((Dados!R70)*100)/$G$95)/100</f>
        <v>2.9498525073746312E-3</v>
      </c>
      <c r="U111" s="15">
        <f>(((Dados!S70)*100)/$G$95)/100</f>
        <v>0</v>
      </c>
      <c r="V111" s="15">
        <f>(((Dados!T70)*100)/$G$95)/100</f>
        <v>0</v>
      </c>
      <c r="W111" s="15">
        <f>(((Dados!U70)*100)/$G$95)/100</f>
        <v>0</v>
      </c>
      <c r="X111" s="15">
        <f>(((Dados!V70)*100)/$G$95)/100</f>
        <v>0</v>
      </c>
    </row>
    <row r="112" spans="1:24">
      <c r="A112" s="39"/>
      <c r="B112" s="1" t="str">
        <f>R96</f>
        <v>testis</v>
      </c>
      <c r="C112" s="15">
        <f>(((Dados!A71)*100)/$G$95)/100</f>
        <v>0</v>
      </c>
      <c r="D112" s="15">
        <f>(((Dados!B71)*100)/$G$95)/100</f>
        <v>0</v>
      </c>
      <c r="E112" s="15">
        <f>(((Dados!C71)*100)/$G$95)/100</f>
        <v>0</v>
      </c>
      <c r="F112" s="15">
        <f>(((Dados!D71)*100)/$G$95)/100</f>
        <v>0</v>
      </c>
      <c r="G112" s="15">
        <f>(((Dados!E71)*100)/$G$95)/100</f>
        <v>0</v>
      </c>
      <c r="H112" s="15">
        <f>(((Dados!F71)*100)/$G$95)/100</f>
        <v>0</v>
      </c>
      <c r="I112" s="15">
        <f>(((Dados!G71)*100)/$G$95)/100</f>
        <v>0</v>
      </c>
      <c r="J112" s="15">
        <f>(((Dados!H71)*100)/$G$95)/100</f>
        <v>0</v>
      </c>
      <c r="K112" s="15">
        <f>(((Dados!I71)*100)/$G$95)/100</f>
        <v>0</v>
      </c>
      <c r="L112" s="15">
        <f>(((Dados!J71)*100)/$G$95)/100</f>
        <v>0</v>
      </c>
      <c r="M112" s="15">
        <f>(((Dados!K71)*100)/$G$95)/100</f>
        <v>0</v>
      </c>
      <c r="N112" s="15">
        <f>(((Dados!L71)*100)/$G$95)/100</f>
        <v>0</v>
      </c>
      <c r="O112" s="15">
        <f>(((Dados!M71)*100)/$G$95)/100</f>
        <v>0</v>
      </c>
      <c r="P112" s="15">
        <f>(((Dados!N71)*100)/$G$95)/100</f>
        <v>2.9498525073746312E-3</v>
      </c>
      <c r="Q112" s="15">
        <f>(((Dados!O71)*100)/$G$95)/100</f>
        <v>0</v>
      </c>
      <c r="R112" s="13">
        <f>(((Dados!P71)*100)/$G$95)/100</f>
        <v>0</v>
      </c>
      <c r="S112" s="15">
        <f>(((Dados!Q71)*100)/$G$95)/100</f>
        <v>0</v>
      </c>
      <c r="T112" s="15">
        <f>(((Dados!R71)*100)/$G$95)/100</f>
        <v>0</v>
      </c>
      <c r="U112" s="15">
        <f>(((Dados!S71)*100)/$G$95)/100</f>
        <v>0</v>
      </c>
      <c r="V112" s="15">
        <f>(((Dados!T71)*100)/$G$95)/100</f>
        <v>0</v>
      </c>
      <c r="W112" s="15">
        <f>(((Dados!U71)*100)/$G$95)/100</f>
        <v>0</v>
      </c>
      <c r="X112" s="15">
        <f>(((Dados!V71)*100)/$G$95)/100</f>
        <v>0</v>
      </c>
    </row>
    <row r="113" spans="1:24">
      <c r="A113" s="39"/>
      <c r="B113" s="1" t="str">
        <f>S96</f>
        <v>prostate</v>
      </c>
      <c r="C113" s="15">
        <f>(((Dados!A72)*100)/$G$95)/100</f>
        <v>2.9498525073746312E-3</v>
      </c>
      <c r="D113" s="15">
        <f>(((Dados!B72)*100)/$G$95)/100</f>
        <v>0</v>
      </c>
      <c r="E113" s="15">
        <f>(((Dados!C72)*100)/$G$95)/100</f>
        <v>0</v>
      </c>
      <c r="F113" s="15">
        <f>(((Dados!D72)*100)/$G$95)/100</f>
        <v>1.1799410029498525E-2</v>
      </c>
      <c r="G113" s="15">
        <f>(((Dados!E72)*100)/$G$95)/100</f>
        <v>0</v>
      </c>
      <c r="H113" s="15">
        <f>(((Dados!F72)*100)/$G$95)/100</f>
        <v>0</v>
      </c>
      <c r="I113" s="15">
        <f>(((Dados!G72)*100)/$G$95)/100</f>
        <v>2.9498525073746312E-3</v>
      </c>
      <c r="J113" s="15">
        <f>(((Dados!H72)*100)/$G$95)/100</f>
        <v>0</v>
      </c>
      <c r="K113" s="15">
        <f>(((Dados!I72)*100)/$G$95)/100</f>
        <v>0</v>
      </c>
      <c r="L113" s="15">
        <f>(((Dados!J72)*100)/$G$95)/100</f>
        <v>2.9498525073746312E-3</v>
      </c>
      <c r="M113" s="15">
        <f>(((Dados!K72)*100)/$G$95)/100</f>
        <v>2.9498525073746312E-3</v>
      </c>
      <c r="N113" s="15">
        <f>(((Dados!L72)*100)/$G$95)/100</f>
        <v>0</v>
      </c>
      <c r="O113" s="15">
        <f>(((Dados!M72)*100)/$G$95)/100</f>
        <v>0</v>
      </c>
      <c r="P113" s="15">
        <f>(((Dados!N72)*100)/$G$95)/100</f>
        <v>2.9498525073746312E-3</v>
      </c>
      <c r="Q113" s="15">
        <f>(((Dados!O72)*100)/$G$95)/100</f>
        <v>0</v>
      </c>
      <c r="R113" s="15">
        <f>(((Dados!P72)*100)/$G$95)/100</f>
        <v>0</v>
      </c>
      <c r="S113" s="13">
        <f>(((Dados!Q72)*100)/$G$95)/100</f>
        <v>2.9498525073746312E-3</v>
      </c>
      <c r="T113" s="15">
        <f>(((Dados!R72)*100)/$G$95)/100</f>
        <v>0</v>
      </c>
      <c r="U113" s="15">
        <f>(((Dados!S72)*100)/$G$95)/100</f>
        <v>0</v>
      </c>
      <c r="V113" s="15">
        <f>(((Dados!T72)*100)/$G$95)/100</f>
        <v>0</v>
      </c>
      <c r="W113" s="15">
        <f>(((Dados!U72)*100)/$G$95)/100</f>
        <v>0</v>
      </c>
      <c r="X113" s="15">
        <f>(((Dados!V72)*100)/$G$95)/100</f>
        <v>0</v>
      </c>
    </row>
    <row r="114" spans="1:24">
      <c r="A114" s="39"/>
      <c r="B114" s="1" t="str">
        <f>T96</f>
        <v>ovary</v>
      </c>
      <c r="C114" s="15">
        <f>(((Dados!A73)*100)/$G$95)/100</f>
        <v>5.8997050147492625E-3</v>
      </c>
      <c r="D114" s="15">
        <f>(((Dados!B73)*100)/$G$95)/100</f>
        <v>0</v>
      </c>
      <c r="E114" s="15">
        <f>(((Dados!C73)*100)/$G$95)/100</f>
        <v>0</v>
      </c>
      <c r="F114" s="15">
        <f>(((Dados!D73)*100)/$G$95)/100</f>
        <v>0</v>
      </c>
      <c r="G114" s="15">
        <f>(((Dados!E73)*100)/$G$95)/100</f>
        <v>5.8997050147492625E-3</v>
      </c>
      <c r="H114" s="15">
        <f>(((Dados!F73)*100)/$G$95)/100</f>
        <v>0</v>
      </c>
      <c r="I114" s="15">
        <f>(((Dados!G73)*100)/$G$95)/100</f>
        <v>5.8997050147492625E-3</v>
      </c>
      <c r="J114" s="15">
        <f>(((Dados!H73)*100)/$G$95)/100</f>
        <v>0</v>
      </c>
      <c r="K114" s="15">
        <f>(((Dados!I73)*100)/$G$95)/100</f>
        <v>0</v>
      </c>
      <c r="L114" s="15">
        <f>(((Dados!J73)*100)/$G$95)/100</f>
        <v>0</v>
      </c>
      <c r="M114" s="15">
        <f>(((Dados!K73)*100)/$G$95)/100</f>
        <v>1.1799410029498525E-2</v>
      </c>
      <c r="N114" s="15">
        <f>(((Dados!L73)*100)/$G$95)/100</f>
        <v>2.9498525073746312E-3</v>
      </c>
      <c r="O114" s="15">
        <f>(((Dados!M73)*100)/$G$95)/100</f>
        <v>0</v>
      </c>
      <c r="P114" s="15">
        <f>(((Dados!N73)*100)/$G$95)/100</f>
        <v>0</v>
      </c>
      <c r="Q114" s="15">
        <f>(((Dados!O73)*100)/$G$95)/100</f>
        <v>0</v>
      </c>
      <c r="R114" s="15">
        <f>(((Dados!P73)*100)/$G$95)/100</f>
        <v>0</v>
      </c>
      <c r="S114" s="15">
        <f>(((Dados!Q73)*100)/$G$95)/100</f>
        <v>0</v>
      </c>
      <c r="T114" s="13">
        <f>(((Dados!R73)*100)/$G$95)/100</f>
        <v>5.3097345132743362E-2</v>
      </c>
      <c r="U114" s="15">
        <f>(((Dados!S73)*100)/$G$95)/100</f>
        <v>0</v>
      </c>
      <c r="V114" s="15">
        <f>(((Dados!T73)*100)/$G$95)/100</f>
        <v>0</v>
      </c>
      <c r="W114" s="15">
        <f>(((Dados!U73)*100)/$G$95)/100</f>
        <v>0</v>
      </c>
      <c r="X114" s="15">
        <f>(((Dados!V73)*100)/$G$95)/100</f>
        <v>0</v>
      </c>
    </row>
    <row r="115" spans="1:24">
      <c r="A115" s="39"/>
      <c r="B115" s="1" t="str">
        <f>U96</f>
        <v>corpus uteri</v>
      </c>
      <c r="C115" s="15">
        <f>(((Dados!A74)*100)/$G$95)/100</f>
        <v>0</v>
      </c>
      <c r="D115" s="15">
        <f>(((Dados!B74)*100)/$G$95)/100</f>
        <v>0</v>
      </c>
      <c r="E115" s="15">
        <f>(((Dados!C74)*100)/$G$95)/100</f>
        <v>2.9498525073746312E-3</v>
      </c>
      <c r="F115" s="15">
        <f>(((Dados!D74)*100)/$G$95)/100</f>
        <v>5.8997050147492625E-3</v>
      </c>
      <c r="G115" s="15">
        <f>(((Dados!E74)*100)/$G$95)/100</f>
        <v>0</v>
      </c>
      <c r="H115" s="15">
        <f>(((Dados!F74)*100)/$G$95)/100</f>
        <v>0</v>
      </c>
      <c r="I115" s="15">
        <f>(((Dados!G74)*100)/$G$95)/100</f>
        <v>2.9498525073746312E-3</v>
      </c>
      <c r="J115" s="15">
        <f>(((Dados!H74)*100)/$G$95)/100</f>
        <v>0</v>
      </c>
      <c r="K115" s="15">
        <f>(((Dados!I74)*100)/$G$95)/100</f>
        <v>0</v>
      </c>
      <c r="L115" s="15">
        <f>(((Dados!J74)*100)/$G$95)/100</f>
        <v>0</v>
      </c>
      <c r="M115" s="15">
        <f>(((Dados!K74)*100)/$G$95)/100</f>
        <v>0</v>
      </c>
      <c r="N115" s="15">
        <f>(((Dados!L74)*100)/$G$95)/100</f>
        <v>0</v>
      </c>
      <c r="O115" s="15">
        <f>(((Dados!M74)*100)/$G$95)/100</f>
        <v>0</v>
      </c>
      <c r="P115" s="15">
        <f>(((Dados!N74)*100)/$G$95)/100</f>
        <v>2.9498525073746312E-3</v>
      </c>
      <c r="Q115" s="15">
        <f>(((Dados!O74)*100)/$G$95)/100</f>
        <v>0</v>
      </c>
      <c r="R115" s="15">
        <f>(((Dados!P74)*100)/$G$95)/100</f>
        <v>0</v>
      </c>
      <c r="S115" s="15">
        <f>(((Dados!Q74)*100)/$G$95)/100</f>
        <v>0</v>
      </c>
      <c r="T115" s="15">
        <f>(((Dados!R74)*100)/$G$95)/100</f>
        <v>0</v>
      </c>
      <c r="U115" s="13">
        <f>(((Dados!S74)*100)/$G$95)/100</f>
        <v>0</v>
      </c>
      <c r="V115" s="15">
        <f>(((Dados!T74)*100)/$G$95)/100</f>
        <v>0</v>
      </c>
      <c r="W115" s="15">
        <f>(((Dados!U74)*100)/$G$95)/100</f>
        <v>0</v>
      </c>
      <c r="X115" s="15">
        <f>(((Dados!V74)*100)/$G$95)/100</f>
        <v>2.9498525073746312E-3</v>
      </c>
    </row>
    <row r="116" spans="1:24">
      <c r="A116" s="39"/>
      <c r="B116" s="1" t="str">
        <f>V96</f>
        <v>cervix uteri</v>
      </c>
      <c r="C116" s="15">
        <f>(((Dados!A75)*100)/$G$95)/100</f>
        <v>0</v>
      </c>
      <c r="D116" s="15">
        <f>(((Dados!B75)*100)/$G$95)/100</f>
        <v>0</v>
      </c>
      <c r="E116" s="15">
        <f>(((Dados!C75)*100)/$G$95)/100</f>
        <v>0</v>
      </c>
      <c r="F116" s="15">
        <f>(((Dados!D75)*100)/$G$95)/100</f>
        <v>0</v>
      </c>
      <c r="G116" s="15">
        <f>(((Dados!E75)*100)/$G$95)/100</f>
        <v>0</v>
      </c>
      <c r="H116" s="15">
        <f>(((Dados!F75)*100)/$G$95)/100</f>
        <v>0</v>
      </c>
      <c r="I116" s="15">
        <f>(((Dados!G75)*100)/$G$95)/100</f>
        <v>2.9498525073746312E-3</v>
      </c>
      <c r="J116" s="15">
        <f>(((Dados!H75)*100)/$G$95)/100</f>
        <v>0</v>
      </c>
      <c r="K116" s="15">
        <f>(((Dados!I75)*100)/$G$95)/100</f>
        <v>0</v>
      </c>
      <c r="L116" s="15">
        <f>(((Dados!J75)*100)/$G$95)/100</f>
        <v>0</v>
      </c>
      <c r="M116" s="15">
        <f>(((Dados!K75)*100)/$G$95)/100</f>
        <v>0</v>
      </c>
      <c r="N116" s="15">
        <f>(((Dados!L75)*100)/$G$95)/100</f>
        <v>0</v>
      </c>
      <c r="O116" s="15">
        <f>(((Dados!M75)*100)/$G$95)/100</f>
        <v>0</v>
      </c>
      <c r="P116" s="15">
        <f>(((Dados!N75)*100)/$G$95)/100</f>
        <v>0</v>
      </c>
      <c r="Q116" s="15">
        <f>(((Dados!O75)*100)/$G$95)/100</f>
        <v>0</v>
      </c>
      <c r="R116" s="15">
        <f>(((Dados!P75)*100)/$G$95)/100</f>
        <v>0</v>
      </c>
      <c r="S116" s="15">
        <f>(((Dados!Q75)*100)/$G$95)/100</f>
        <v>0</v>
      </c>
      <c r="T116" s="15">
        <f>(((Dados!R75)*100)/$G$95)/100</f>
        <v>0</v>
      </c>
      <c r="U116" s="15">
        <f>(((Dados!S75)*100)/$G$95)/100</f>
        <v>2.9498525073746312E-3</v>
      </c>
      <c r="V116" s="13">
        <f>(((Dados!T75)*100)/$G$95)/100</f>
        <v>0</v>
      </c>
      <c r="W116" s="15">
        <f>(((Dados!U75)*100)/$G$95)/100</f>
        <v>0</v>
      </c>
      <c r="X116" s="15">
        <f>(((Dados!V75)*100)/$G$95)/100</f>
        <v>0</v>
      </c>
    </row>
    <row r="117" spans="1:24">
      <c r="A117" s="39"/>
      <c r="B117" s="1" t="str">
        <f>W96</f>
        <v>vagina</v>
      </c>
      <c r="C117" s="15">
        <f>(((Dados!A76)*100)/$G$95)/100</f>
        <v>2.9498525073746312E-3</v>
      </c>
      <c r="D117" s="15">
        <f>(((Dados!B76)*100)/$G$95)/100</f>
        <v>0</v>
      </c>
      <c r="E117" s="15">
        <f>(((Dados!C76)*100)/$G$95)/100</f>
        <v>0</v>
      </c>
      <c r="F117" s="15">
        <f>(((Dados!D76)*100)/$G$95)/100</f>
        <v>0</v>
      </c>
      <c r="G117" s="15">
        <f>(((Dados!E76)*100)/$G$95)/100</f>
        <v>0</v>
      </c>
      <c r="H117" s="15">
        <f>(((Dados!F76)*100)/$G$95)/100</f>
        <v>0</v>
      </c>
      <c r="I117" s="15">
        <f>(((Dados!G76)*100)/$G$95)/100</f>
        <v>0</v>
      </c>
      <c r="J117" s="15">
        <f>(((Dados!H76)*100)/$G$95)/100</f>
        <v>0</v>
      </c>
      <c r="K117" s="15">
        <f>(((Dados!I76)*100)/$G$95)/100</f>
        <v>0</v>
      </c>
      <c r="L117" s="15">
        <f>(((Dados!J76)*100)/$G$95)/100</f>
        <v>0</v>
      </c>
      <c r="M117" s="15">
        <f>(((Dados!K76)*100)/$G$95)/100</f>
        <v>0</v>
      </c>
      <c r="N117" s="15">
        <f>(((Dados!L76)*100)/$G$95)/100</f>
        <v>0</v>
      </c>
      <c r="O117" s="15">
        <f>(((Dados!M76)*100)/$G$95)/100</f>
        <v>0</v>
      </c>
      <c r="P117" s="15">
        <f>(((Dados!N76)*100)/$G$95)/100</f>
        <v>0</v>
      </c>
      <c r="Q117" s="15">
        <f>(((Dados!O76)*100)/$G$95)/100</f>
        <v>0</v>
      </c>
      <c r="R117" s="15">
        <f>(((Dados!P76)*100)/$G$95)/100</f>
        <v>0</v>
      </c>
      <c r="S117" s="15">
        <f>(((Dados!Q76)*100)/$G$95)/100</f>
        <v>0</v>
      </c>
      <c r="T117" s="15">
        <f>(((Dados!R76)*100)/$G$95)/100</f>
        <v>0</v>
      </c>
      <c r="U117" s="15">
        <f>(((Dados!S76)*100)/$G$95)/100</f>
        <v>0</v>
      </c>
      <c r="V117" s="15">
        <f>(((Dados!T76)*100)/$G$95)/100</f>
        <v>0</v>
      </c>
      <c r="W117" s="13">
        <f>(((Dados!U76)*100)/$G$95)/100</f>
        <v>0</v>
      </c>
      <c r="X117" s="15">
        <f>(((Dados!V76)*100)/$G$95)/100</f>
        <v>0</v>
      </c>
    </row>
    <row r="118" spans="1:24">
      <c r="A118" s="39"/>
      <c r="B118" s="1" t="str">
        <f>X96</f>
        <v>breast</v>
      </c>
      <c r="C118" s="15">
        <f>(((Dados!A77)*100)/$G$95)/100</f>
        <v>5.8997050147492625E-3</v>
      </c>
      <c r="D118" s="15">
        <f>(((Dados!B77)*100)/$G$95)/100</f>
        <v>0</v>
      </c>
      <c r="E118" s="15">
        <f>(((Dados!C77)*100)/$G$95)/100</f>
        <v>0</v>
      </c>
      <c r="F118" s="15">
        <f>(((Dados!D77)*100)/$G$95)/100</f>
        <v>0</v>
      </c>
      <c r="G118" s="15">
        <f>(((Dados!E77)*100)/$G$95)/100</f>
        <v>0</v>
      </c>
      <c r="H118" s="15">
        <f>(((Dados!F77)*100)/$G$95)/100</f>
        <v>0</v>
      </c>
      <c r="I118" s="15">
        <f>(((Dados!G77)*100)/$G$95)/100</f>
        <v>0</v>
      </c>
      <c r="J118" s="15">
        <f>(((Dados!H77)*100)/$G$95)/100</f>
        <v>0</v>
      </c>
      <c r="K118" s="15">
        <f>(((Dados!I77)*100)/$G$95)/100</f>
        <v>0</v>
      </c>
      <c r="L118" s="15">
        <f>(((Dados!J77)*100)/$G$95)/100</f>
        <v>0</v>
      </c>
      <c r="M118" s="15">
        <f>(((Dados!K77)*100)/$G$95)/100</f>
        <v>0</v>
      </c>
      <c r="N118" s="15">
        <f>(((Dados!L77)*100)/$G$95)/100</f>
        <v>0</v>
      </c>
      <c r="O118" s="15">
        <f>(((Dados!M77)*100)/$G$95)/100</f>
        <v>2.9498525073746312E-3</v>
      </c>
      <c r="P118" s="15">
        <f>(((Dados!N77)*100)/$G$95)/100</f>
        <v>0</v>
      </c>
      <c r="Q118" s="15">
        <f>(((Dados!O77)*100)/$G$95)/100</f>
        <v>0</v>
      </c>
      <c r="R118" s="15">
        <f>(((Dados!P77)*100)/$G$95)/100</f>
        <v>0</v>
      </c>
      <c r="S118" s="15">
        <f>(((Dados!Q77)*100)/$G$95)/100</f>
        <v>2.9498525073746312E-3</v>
      </c>
      <c r="T118" s="15">
        <f>(((Dados!R77)*100)/$G$95)/100</f>
        <v>5.8997050147492625E-3</v>
      </c>
      <c r="U118" s="15">
        <f>(((Dados!S77)*100)/$G$95)/100</f>
        <v>2.9498525073746312E-3</v>
      </c>
      <c r="V118" s="15">
        <f>(((Dados!T77)*100)/$G$95)/100</f>
        <v>0</v>
      </c>
      <c r="W118" s="15">
        <f>(((Dados!U77)*100)/$G$95)/100</f>
        <v>0</v>
      </c>
      <c r="X118" s="13">
        <f>(((Dados!V77)*100)/$G$95)/100</f>
        <v>5.0147492625368731E-2</v>
      </c>
    </row>
    <row r="120" spans="1:24">
      <c r="A120" s="22" t="str">
        <f>A1</f>
        <v>k-folds</v>
      </c>
      <c r="B120" s="5" t="s">
        <v>32</v>
      </c>
      <c r="C120" s="7" t="s">
        <v>11</v>
      </c>
      <c r="D120" s="35" t="s">
        <v>2</v>
      </c>
      <c r="E120" s="35"/>
      <c r="F120" s="35"/>
      <c r="G120" s="33">
        <f>255+84</f>
        <v>339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4"/>
    </row>
    <row r="121" spans="1:24">
      <c r="A121" s="39">
        <v>5</v>
      </c>
      <c r="B121" s="10" t="str">
        <f>B2</f>
        <v>↓ Real      Escolhido →</v>
      </c>
      <c r="C121" s="17" t="s">
        <v>33</v>
      </c>
      <c r="D121" s="29" t="s">
        <v>34</v>
      </c>
      <c r="E121" s="17" t="s">
        <v>35</v>
      </c>
      <c r="F121" s="17" t="s">
        <v>36</v>
      </c>
      <c r="G121" s="17" t="s">
        <v>37</v>
      </c>
      <c r="H121" s="17" t="s">
        <v>38</v>
      </c>
      <c r="I121" s="17" t="s">
        <v>39</v>
      </c>
      <c r="J121" s="17" t="s">
        <v>40</v>
      </c>
      <c r="K121" s="17" t="s">
        <v>41</v>
      </c>
      <c r="L121" s="17" t="s">
        <v>42</v>
      </c>
      <c r="M121" s="17" t="s">
        <v>43</v>
      </c>
      <c r="N121" s="17" t="s">
        <v>44</v>
      </c>
      <c r="O121" s="17" t="s">
        <v>45</v>
      </c>
      <c r="P121" s="17" t="s">
        <v>46</v>
      </c>
      <c r="Q121" s="18" t="s">
        <v>47</v>
      </c>
      <c r="R121" s="18" t="s">
        <v>48</v>
      </c>
      <c r="S121" s="18" t="s">
        <v>49</v>
      </c>
      <c r="T121" s="18" t="s">
        <v>50</v>
      </c>
      <c r="U121" s="18" t="s">
        <v>51</v>
      </c>
      <c r="V121" s="18" t="s">
        <v>52</v>
      </c>
      <c r="W121" s="18" t="s">
        <v>53</v>
      </c>
      <c r="X121" s="18" t="s">
        <v>54</v>
      </c>
    </row>
    <row r="122" spans="1:24">
      <c r="A122" s="39"/>
      <c r="B122" s="1" t="str">
        <f>C121</f>
        <v>lung</v>
      </c>
      <c r="C122" s="13">
        <f>(((Dados!X56)*100)/$G$95)/100</f>
        <v>0.15634218289085544</v>
      </c>
      <c r="D122" s="15">
        <f>(((Dados!Y56)*100)/$G$95)/100</f>
        <v>5.8997050147492625E-3</v>
      </c>
      <c r="E122" s="15">
        <f>(((Dados!Z56)*100)/$G$95)/100</f>
        <v>2.9498525073746312E-3</v>
      </c>
      <c r="F122" s="15">
        <f>(((Dados!AA56)*100)/$G$95)/100</f>
        <v>1.1799410029498525E-2</v>
      </c>
      <c r="G122" s="15">
        <f>(((Dados!AB56)*100)/$G$95)/100</f>
        <v>1.1799410029498525E-2</v>
      </c>
      <c r="H122" s="15">
        <f>(((Dados!AC56)*100)/$G$95)/100</f>
        <v>0</v>
      </c>
      <c r="I122" s="15">
        <f>(((Dados!AD56)*100)/$G$95)/100</f>
        <v>0</v>
      </c>
      <c r="J122" s="15">
        <f>(((Dados!AE56)*100)/$G$95)/100</f>
        <v>2.9498525073746312E-3</v>
      </c>
      <c r="K122" s="15">
        <f>(((Dados!AF56)*100)/$G$95)/100</f>
        <v>0</v>
      </c>
      <c r="L122" s="15">
        <f>(((Dados!AG56)*100)/$G$95)/100</f>
        <v>0</v>
      </c>
      <c r="M122" s="15">
        <f>(((Dados!AH56)*100)/$G$95)/100</f>
        <v>2.0648967551622419E-2</v>
      </c>
      <c r="N122" s="15">
        <f>(((Dados!AI56)*100)/$G$95)/100</f>
        <v>5.8997050147492625E-3</v>
      </c>
      <c r="O122" s="15">
        <f>(((Dados!AJ56)*100)/$G$95)/100</f>
        <v>5.8997050147492625E-3</v>
      </c>
      <c r="P122" s="15">
        <f>(((Dados!AK56)*100)/$G$95)/100</f>
        <v>2.9498525073746312E-3</v>
      </c>
      <c r="Q122" s="15">
        <f>(((Dados!AL56)*100)/$G$95)/100</f>
        <v>0</v>
      </c>
      <c r="R122" s="15">
        <f>(((Dados!AM56)*100)/$G$95)/100</f>
        <v>0</v>
      </c>
      <c r="S122" s="15">
        <f>(((Dados!AN56)*100)/$G$95)/100</f>
        <v>5.8997050147492625E-3</v>
      </c>
      <c r="T122" s="15">
        <f>(((Dados!AO56)*100)/$G$95)/100</f>
        <v>8.8495575221238937E-3</v>
      </c>
      <c r="U122" s="15">
        <f>(((Dados!AP56)*100)/$G$95)/100</f>
        <v>2.9498525073746312E-3</v>
      </c>
      <c r="V122" s="15">
        <f>(((Dados!AQ56)*100)/$G$95)/100</f>
        <v>0</v>
      </c>
      <c r="W122" s="15">
        <f>(((Dados!AR56)*100)/$G$95)/100</f>
        <v>0</v>
      </c>
      <c r="X122" s="15">
        <f>(((Dados!AS56)*100)/$G$95)/100</f>
        <v>2.9498525073746312E-3</v>
      </c>
    </row>
    <row r="123" spans="1:24">
      <c r="A123" s="39"/>
      <c r="B123" s="1" t="str">
        <f>D121</f>
        <v>head and neck</v>
      </c>
      <c r="C123" s="15">
        <f>(((Dados!X57)*100)/$G$95)/100</f>
        <v>2.9498525073746312E-3</v>
      </c>
      <c r="D123" s="13">
        <f>(((Dados!Y57)*100)/$G$95)/100</f>
        <v>5.3097345132743362E-2</v>
      </c>
      <c r="E123" s="15">
        <f>(((Dados!Z57)*100)/$G$95)/100</f>
        <v>2.9498525073746312E-3</v>
      </c>
      <c r="F123" s="15">
        <f>(((Dados!AA57)*100)/$G$95)/100</f>
        <v>0</v>
      </c>
      <c r="G123" s="15">
        <f>(((Dados!AB57)*100)/$G$95)/100</f>
        <v>0</v>
      </c>
      <c r="H123" s="15">
        <f>(((Dados!AC57)*100)/$G$95)/100</f>
        <v>0</v>
      </c>
      <c r="I123" s="15">
        <f>(((Dados!AD57)*100)/$G$95)/100</f>
        <v>0</v>
      </c>
      <c r="J123" s="15">
        <f>(((Dados!AE57)*100)/$G$95)/100</f>
        <v>0</v>
      </c>
      <c r="K123" s="15">
        <f>(((Dados!AF57)*100)/$G$95)/100</f>
        <v>0</v>
      </c>
      <c r="L123" s="15">
        <f>(((Dados!AG57)*100)/$G$95)/100</f>
        <v>0</v>
      </c>
      <c r="M123" s="15">
        <f>(((Dados!AH57)*100)/$G$95)/100</f>
        <v>0</v>
      </c>
      <c r="N123" s="15">
        <f>(((Dados!AI57)*100)/$G$95)/100</f>
        <v>0</v>
      </c>
      <c r="O123" s="15">
        <f>(((Dados!AJ57)*100)/$G$95)/100</f>
        <v>0</v>
      </c>
      <c r="P123" s="15">
        <f>(((Dados!AK57)*100)/$G$95)/100</f>
        <v>0</v>
      </c>
      <c r="Q123" s="15">
        <f>(((Dados!AL57)*100)/$G$95)/100</f>
        <v>0</v>
      </c>
      <c r="R123" s="15">
        <f>(((Dados!AM57)*100)/$G$95)/100</f>
        <v>0</v>
      </c>
      <c r="S123" s="15">
        <f>(((Dados!AN57)*100)/$G$95)/100</f>
        <v>0</v>
      </c>
      <c r="T123" s="15">
        <f>(((Dados!AO57)*100)/$G$95)/100</f>
        <v>0</v>
      </c>
      <c r="U123" s="15">
        <f>(((Dados!AP57)*100)/$G$95)/100</f>
        <v>0</v>
      </c>
      <c r="V123" s="15">
        <f>(((Dados!AQ57)*100)/$G$95)/100</f>
        <v>0</v>
      </c>
      <c r="W123" s="15">
        <f>(((Dados!AR57)*100)/$G$95)/100</f>
        <v>0</v>
      </c>
      <c r="X123" s="15">
        <f>(((Dados!AS57)*100)/$G$95)/100</f>
        <v>0</v>
      </c>
    </row>
    <row r="124" spans="1:24">
      <c r="A124" s="39"/>
      <c r="B124" s="1" t="str">
        <f>E121</f>
        <v>esophagus</v>
      </c>
      <c r="C124" s="15">
        <f>(((Dados!X58)*100)/$G$95)/100</f>
        <v>1.1799410029498525E-2</v>
      </c>
      <c r="D124" s="15">
        <f>(((Dados!Y58)*100)/$G$95)/100</f>
        <v>2.9498525073746312E-3</v>
      </c>
      <c r="E124" s="13">
        <f>(((Dados!Z58)*100)/$G$95)/100</f>
        <v>0</v>
      </c>
      <c r="F124" s="15">
        <f>(((Dados!AA58)*100)/$G$95)/100</f>
        <v>2.9498525073746312E-3</v>
      </c>
      <c r="G124" s="15">
        <f>(((Dados!AB58)*100)/$G$95)/100</f>
        <v>2.9498525073746312E-3</v>
      </c>
      <c r="H124" s="15">
        <f>(((Dados!AC58)*100)/$G$95)/100</f>
        <v>0</v>
      </c>
      <c r="I124" s="15">
        <f>(((Dados!AD58)*100)/$G$95)/100</f>
        <v>0</v>
      </c>
      <c r="J124" s="15">
        <f>(((Dados!AE58)*100)/$G$95)/100</f>
        <v>0</v>
      </c>
      <c r="K124" s="15">
        <f>(((Dados!AF58)*100)/$G$95)/100</f>
        <v>0</v>
      </c>
      <c r="L124" s="15">
        <f>(((Dados!AG58)*100)/$G$95)/100</f>
        <v>0</v>
      </c>
      <c r="M124" s="15">
        <f>(((Dados!AH58)*100)/$G$95)/100</f>
        <v>2.9498525073746312E-3</v>
      </c>
      <c r="N124" s="15">
        <f>(((Dados!AI58)*100)/$G$95)/100</f>
        <v>0</v>
      </c>
      <c r="O124" s="15">
        <f>(((Dados!AJ58)*100)/$G$95)/100</f>
        <v>0</v>
      </c>
      <c r="P124" s="15">
        <f>(((Dados!AK58)*100)/$G$95)/100</f>
        <v>0</v>
      </c>
      <c r="Q124" s="15">
        <f>(((Dados!AL58)*100)/$G$95)/100</f>
        <v>0</v>
      </c>
      <c r="R124" s="15">
        <f>(((Dados!AM58)*100)/$G$95)/100</f>
        <v>0</v>
      </c>
      <c r="S124" s="15">
        <f>(((Dados!AN58)*100)/$G$95)/100</f>
        <v>2.9498525073746312E-3</v>
      </c>
      <c r="T124" s="15">
        <f>(((Dados!AO58)*100)/$G$95)/100</f>
        <v>0</v>
      </c>
      <c r="U124" s="15">
        <f>(((Dados!AP58)*100)/$G$95)/100</f>
        <v>0</v>
      </c>
      <c r="V124" s="15">
        <f>(((Dados!AQ58)*100)/$G$95)/100</f>
        <v>0</v>
      </c>
      <c r="W124" s="15">
        <f>(((Dados!AR58)*100)/$G$95)/100</f>
        <v>0</v>
      </c>
      <c r="X124" s="15">
        <f>(((Dados!AS58)*100)/$G$95)/100</f>
        <v>0</v>
      </c>
    </row>
    <row r="125" spans="1:24">
      <c r="A125" s="39"/>
      <c r="B125" s="1" t="str">
        <f>F121</f>
        <v>thyroid</v>
      </c>
      <c r="C125" s="15">
        <f>(((Dados!X59)*100)/$G$95)/100</f>
        <v>1.4749262536873156E-2</v>
      </c>
      <c r="D125" s="15">
        <f>(((Dados!Y59)*100)/$G$95)/100</f>
        <v>0</v>
      </c>
      <c r="E125" s="15">
        <f>(((Dados!Z59)*100)/$G$95)/100</f>
        <v>0</v>
      </c>
      <c r="F125" s="13">
        <f>(((Dados!AA59)*100)/$G$95)/100</f>
        <v>1.1799410029498525E-2</v>
      </c>
      <c r="G125" s="15">
        <f>(((Dados!AB59)*100)/$G$95)/100</f>
        <v>2.9498525073746312E-3</v>
      </c>
      <c r="H125" s="15">
        <f>(((Dados!AC59)*100)/$G$95)/100</f>
        <v>0</v>
      </c>
      <c r="I125" s="15">
        <f>(((Dados!AD59)*100)/$G$95)/100</f>
        <v>0</v>
      </c>
      <c r="J125" s="15">
        <f>(((Dados!AE59)*100)/$G$95)/100</f>
        <v>0</v>
      </c>
      <c r="K125" s="15">
        <f>(((Dados!AF59)*100)/$G$95)/100</f>
        <v>0</v>
      </c>
      <c r="L125" s="15">
        <f>(((Dados!AG59)*100)/$G$95)/100</f>
        <v>0</v>
      </c>
      <c r="M125" s="15">
        <f>(((Dados!AH59)*100)/$G$95)/100</f>
        <v>0</v>
      </c>
      <c r="N125" s="15">
        <f>(((Dados!AI59)*100)/$G$95)/100</f>
        <v>0</v>
      </c>
      <c r="O125" s="15">
        <f>(((Dados!AJ59)*100)/$G$95)/100</f>
        <v>0</v>
      </c>
      <c r="P125" s="15">
        <f>(((Dados!AK59)*100)/$G$95)/100</f>
        <v>5.8997050147492625E-3</v>
      </c>
      <c r="Q125" s="15">
        <f>(((Dados!AL59)*100)/$G$95)/100</f>
        <v>0</v>
      </c>
      <c r="R125" s="15">
        <f>(((Dados!AM59)*100)/$G$95)/100</f>
        <v>0</v>
      </c>
      <c r="S125" s="15">
        <f>(((Dados!AN59)*100)/$G$95)/100</f>
        <v>2.9498525073746312E-3</v>
      </c>
      <c r="T125" s="15">
        <f>(((Dados!AO59)*100)/$G$95)/100</f>
        <v>0</v>
      </c>
      <c r="U125" s="15">
        <f>(((Dados!AP59)*100)/$G$95)/100</f>
        <v>2.9498525073746312E-3</v>
      </c>
      <c r="V125" s="15">
        <f>(((Dados!AQ59)*100)/$G$95)/100</f>
        <v>0</v>
      </c>
      <c r="W125" s="15">
        <f>(((Dados!AR59)*100)/$G$95)/100</f>
        <v>0</v>
      </c>
      <c r="X125" s="15">
        <f>(((Dados!AS59)*100)/$G$95)/100</f>
        <v>0</v>
      </c>
    </row>
    <row r="126" spans="1:24">
      <c r="A126" s="39"/>
      <c r="B126" s="1" t="str">
        <f>G121</f>
        <v>stomach</v>
      </c>
      <c r="C126" s="15">
        <f>(((Dados!X60)*100)/$G$95)/100</f>
        <v>2.9498525073746312E-2</v>
      </c>
      <c r="D126" s="15">
        <f>(((Dados!Y60)*100)/$G$95)/100</f>
        <v>0</v>
      </c>
      <c r="E126" s="15">
        <f>(((Dados!Z60)*100)/$G$95)/100</f>
        <v>0</v>
      </c>
      <c r="F126" s="15">
        <f>(((Dados!AA60)*100)/$G$95)/100</f>
        <v>2.9498525073746312E-3</v>
      </c>
      <c r="G126" s="13">
        <f>(((Dados!AB60)*100)/$G$95)/100</f>
        <v>1.7699115044247787E-2</v>
      </c>
      <c r="H126" s="15">
        <f>(((Dados!AC60)*100)/$G$95)/100</f>
        <v>0</v>
      </c>
      <c r="I126" s="15">
        <f>(((Dados!AD60)*100)/$G$95)/100</f>
        <v>5.8997050147492625E-3</v>
      </c>
      <c r="J126" s="15">
        <f>(((Dados!AE60)*100)/$G$95)/100</f>
        <v>5.8997050147492625E-3</v>
      </c>
      <c r="K126" s="15">
        <f>(((Dados!AF60)*100)/$G$95)/100</f>
        <v>0</v>
      </c>
      <c r="L126" s="15">
        <f>(((Dados!AG60)*100)/$G$95)/100</f>
        <v>0</v>
      </c>
      <c r="M126" s="15">
        <f>(((Dados!AH60)*100)/$G$95)/100</f>
        <v>2.9498525073746312E-2</v>
      </c>
      <c r="N126" s="15">
        <f>(((Dados!AI60)*100)/$G$95)/100</f>
        <v>5.8997050147492625E-3</v>
      </c>
      <c r="O126" s="15">
        <f>(((Dados!AJ60)*100)/$G$95)/100</f>
        <v>0</v>
      </c>
      <c r="P126" s="15">
        <f>(((Dados!AK60)*100)/$G$95)/100</f>
        <v>0</v>
      </c>
      <c r="Q126" s="15">
        <f>(((Dados!AL60)*100)/$G$95)/100</f>
        <v>0</v>
      </c>
      <c r="R126" s="15">
        <f>(((Dados!AM60)*100)/$G$95)/100</f>
        <v>0</v>
      </c>
      <c r="S126" s="15">
        <f>(((Dados!AN60)*100)/$G$95)/100</f>
        <v>2.9498525073746312E-3</v>
      </c>
      <c r="T126" s="15">
        <f>(((Dados!AO60)*100)/$G$95)/100</f>
        <v>1.1799410029498525E-2</v>
      </c>
      <c r="U126" s="15">
        <f>(((Dados!AP60)*100)/$G$95)/100</f>
        <v>0</v>
      </c>
      <c r="V126" s="15">
        <f>(((Dados!AQ60)*100)/$G$95)/100</f>
        <v>0</v>
      </c>
      <c r="W126" s="15">
        <f>(((Dados!AR60)*100)/$G$95)/100</f>
        <v>0</v>
      </c>
      <c r="X126" s="15">
        <f>(((Dados!AS60)*100)/$G$95)/100</f>
        <v>2.9498525073746312E-3</v>
      </c>
    </row>
    <row r="127" spans="1:24">
      <c r="A127" s="39"/>
      <c r="B127" s="1" t="str">
        <f>H121</f>
        <v>duoden and sm.int</v>
      </c>
      <c r="C127" s="15">
        <f>(((Dados!X61)*100)/$G$95)/100</f>
        <v>0</v>
      </c>
      <c r="D127" s="15">
        <f>(((Dados!Y61)*100)/$G$95)/100</f>
        <v>0</v>
      </c>
      <c r="E127" s="15">
        <f>(((Dados!Z61)*100)/$G$95)/100</f>
        <v>0</v>
      </c>
      <c r="F127" s="15">
        <f>(((Dados!AA61)*100)/$G$95)/100</f>
        <v>0</v>
      </c>
      <c r="G127" s="15">
        <f>(((Dados!AB61)*100)/$G$95)/100</f>
        <v>0</v>
      </c>
      <c r="H127" s="13">
        <f>(((Dados!AC61)*100)/$G$95)/100</f>
        <v>0</v>
      </c>
      <c r="I127" s="15">
        <f>(((Dados!AD61)*100)/$G$95)/100</f>
        <v>0</v>
      </c>
      <c r="J127" s="15">
        <f>(((Dados!AE61)*100)/$G$95)/100</f>
        <v>2.9498525073746312E-3</v>
      </c>
      <c r="K127" s="15">
        <f>(((Dados!AF61)*100)/$G$95)/100</f>
        <v>0</v>
      </c>
      <c r="L127" s="15">
        <f>(((Dados!AG61)*100)/$G$95)/100</f>
        <v>0</v>
      </c>
      <c r="M127" s="15">
        <f>(((Dados!AH61)*100)/$G$95)/100</f>
        <v>0</v>
      </c>
      <c r="N127" s="15">
        <f>(((Dados!AI61)*100)/$G$95)/100</f>
        <v>0</v>
      </c>
      <c r="O127" s="15">
        <f>(((Dados!AJ61)*100)/$G$95)/100</f>
        <v>0</v>
      </c>
      <c r="P127" s="15">
        <f>(((Dados!AK61)*100)/$G$95)/100</f>
        <v>0</v>
      </c>
      <c r="Q127" s="15">
        <f>(((Dados!AL61)*100)/$G$95)/100</f>
        <v>0</v>
      </c>
      <c r="R127" s="15">
        <f>(((Dados!AM61)*100)/$G$95)/100</f>
        <v>0</v>
      </c>
      <c r="S127" s="15">
        <f>(((Dados!AN61)*100)/$G$95)/100</f>
        <v>0</v>
      </c>
      <c r="T127" s="15">
        <f>(((Dados!AO61)*100)/$G$95)/100</f>
        <v>0</v>
      </c>
      <c r="U127" s="15">
        <f>(((Dados!AP61)*100)/$G$95)/100</f>
        <v>0</v>
      </c>
      <c r="V127" s="15">
        <f>(((Dados!AQ61)*100)/$G$95)/100</f>
        <v>0</v>
      </c>
      <c r="W127" s="15">
        <f>(((Dados!AR61)*100)/$G$95)/100</f>
        <v>0</v>
      </c>
      <c r="X127" s="15">
        <f>(((Dados!AS61)*100)/$G$95)/100</f>
        <v>0</v>
      </c>
    </row>
    <row r="128" spans="1:24">
      <c r="A128" s="39"/>
      <c r="B128" s="1" t="str">
        <f>I121</f>
        <v>colon</v>
      </c>
      <c r="C128" s="15">
        <f>(((Dados!X62)*100)/$G$95)/100</f>
        <v>0</v>
      </c>
      <c r="D128" s="15">
        <f>(((Dados!Y62)*100)/$G$95)/100</f>
        <v>0</v>
      </c>
      <c r="E128" s="15">
        <f>(((Dados!Z62)*100)/$G$95)/100</f>
        <v>0</v>
      </c>
      <c r="F128" s="15">
        <f>(((Dados!AA62)*100)/$G$95)/100</f>
        <v>2.9498525073746312E-3</v>
      </c>
      <c r="G128" s="15">
        <f>(((Dados!AB62)*100)/$G$95)/100</f>
        <v>5.8997050147492625E-3</v>
      </c>
      <c r="H128" s="15">
        <f>(((Dados!AC62)*100)/$G$95)/100</f>
        <v>0</v>
      </c>
      <c r="I128" s="13">
        <f>(((Dados!AD62)*100)/$G$95)/100</f>
        <v>2.9498525073746312E-3</v>
      </c>
      <c r="J128" s="15">
        <f>(((Dados!AE62)*100)/$G$95)/100</f>
        <v>2.9498525073746312E-3</v>
      </c>
      <c r="K128" s="15">
        <f>(((Dados!AF62)*100)/$G$95)/100</f>
        <v>0</v>
      </c>
      <c r="L128" s="15">
        <f>(((Dados!AG62)*100)/$G$95)/100</f>
        <v>0</v>
      </c>
      <c r="M128" s="15">
        <f>(((Dados!AH62)*100)/$G$95)/100</f>
        <v>1.1799410029498525E-2</v>
      </c>
      <c r="N128" s="15">
        <f>(((Dados!AI62)*100)/$G$95)/100</f>
        <v>5.8997050147492625E-3</v>
      </c>
      <c r="O128" s="15">
        <f>(((Dados!AJ62)*100)/$G$95)/100</f>
        <v>0</v>
      </c>
      <c r="P128" s="15">
        <f>(((Dados!AK62)*100)/$G$95)/100</f>
        <v>2.9498525073746312E-3</v>
      </c>
      <c r="Q128" s="15">
        <f>(((Dados!AL62)*100)/$G$95)/100</f>
        <v>0</v>
      </c>
      <c r="R128" s="15">
        <f>(((Dados!AM62)*100)/$G$95)/100</f>
        <v>0</v>
      </c>
      <c r="S128" s="15">
        <f>(((Dados!AN62)*100)/$G$95)/100</f>
        <v>0</v>
      </c>
      <c r="T128" s="15">
        <f>(((Dados!AO62)*100)/$G$95)/100</f>
        <v>5.8997050147492625E-3</v>
      </c>
      <c r="U128" s="15">
        <f>(((Dados!AP62)*100)/$G$95)/100</f>
        <v>0</v>
      </c>
      <c r="V128" s="15">
        <f>(((Dados!AQ62)*100)/$G$95)/100</f>
        <v>0</v>
      </c>
      <c r="W128" s="15">
        <f>(((Dados!AR62)*100)/$G$95)/100</f>
        <v>0</v>
      </c>
      <c r="X128" s="15">
        <f>(((Dados!AS62)*100)/$G$95)/100</f>
        <v>0</v>
      </c>
    </row>
    <row r="129" spans="1:24">
      <c r="A129" s="39"/>
      <c r="B129" s="1" t="str">
        <f>J121</f>
        <v>rectum</v>
      </c>
      <c r="C129" s="15">
        <f>(((Dados!X63)*100)/$G$95)/100</f>
        <v>2.9498525073746312E-3</v>
      </c>
      <c r="D129" s="15">
        <f>(((Dados!Y63)*100)/$G$95)/100</f>
        <v>2.9498525073746312E-3</v>
      </c>
      <c r="E129" s="15">
        <f>(((Dados!Z63)*100)/$G$95)/100</f>
        <v>0</v>
      </c>
      <c r="F129" s="15">
        <f>(((Dados!AA63)*100)/$G$95)/100</f>
        <v>0</v>
      </c>
      <c r="G129" s="15">
        <f>(((Dados!AB63)*100)/$G$95)/100</f>
        <v>2.9498525073746312E-3</v>
      </c>
      <c r="H129" s="15">
        <f>(((Dados!AC63)*100)/$G$95)/100</f>
        <v>2.9498525073746312E-3</v>
      </c>
      <c r="I129" s="15">
        <f>(((Dados!AD63)*100)/$G$95)/100</f>
        <v>2.9498525073746312E-3</v>
      </c>
      <c r="J129" s="13">
        <f>(((Dados!AE63)*100)/$G$95)/100</f>
        <v>2.9498525073746312E-3</v>
      </c>
      <c r="K129" s="15">
        <f>(((Dados!AF63)*100)/$G$95)/100</f>
        <v>0</v>
      </c>
      <c r="L129" s="15">
        <f>(((Dados!AG63)*100)/$G$95)/100</f>
        <v>0</v>
      </c>
      <c r="M129" s="15">
        <f>(((Dados!AH63)*100)/$G$95)/100</f>
        <v>0</v>
      </c>
      <c r="N129" s="15">
        <f>(((Dados!AI63)*100)/$G$95)/100</f>
        <v>0</v>
      </c>
      <c r="O129" s="15">
        <f>(((Dados!AJ63)*100)/$G$95)/100</f>
        <v>0</v>
      </c>
      <c r="P129" s="15">
        <f>(((Dados!AK63)*100)/$G$95)/100</f>
        <v>0</v>
      </c>
      <c r="Q129" s="15">
        <f>(((Dados!AL63)*100)/$G$95)/100</f>
        <v>0</v>
      </c>
      <c r="R129" s="15">
        <f>(((Dados!AM63)*100)/$G$95)/100</f>
        <v>0</v>
      </c>
      <c r="S129" s="15">
        <f>(((Dados!AN63)*100)/$G$95)/100</f>
        <v>0</v>
      </c>
      <c r="T129" s="15">
        <f>(((Dados!AO63)*100)/$G$95)/100</f>
        <v>0</v>
      </c>
      <c r="U129" s="15">
        <f>(((Dados!AP63)*100)/$G$95)/100</f>
        <v>0</v>
      </c>
      <c r="V129" s="15">
        <f>(((Dados!AQ63)*100)/$G$95)/100</f>
        <v>0</v>
      </c>
      <c r="W129" s="15">
        <f>(((Dados!AR63)*100)/$G$95)/100</f>
        <v>0</v>
      </c>
      <c r="X129" s="15">
        <f>(((Dados!AS63)*100)/$G$95)/100</f>
        <v>0</v>
      </c>
    </row>
    <row r="130" spans="1:24">
      <c r="A130" s="39"/>
      <c r="B130" s="1" t="str">
        <f>K121</f>
        <v>anus</v>
      </c>
      <c r="C130" s="15">
        <f>(((Dados!X64)*100)/$G$95)/100</f>
        <v>0</v>
      </c>
      <c r="D130" s="15">
        <f>(((Dados!Y64)*100)/$G$95)/100</f>
        <v>0</v>
      </c>
      <c r="E130" s="15">
        <f>(((Dados!Z64)*100)/$G$95)/100</f>
        <v>0</v>
      </c>
      <c r="F130" s="15">
        <f>(((Dados!AA64)*100)/$G$95)/100</f>
        <v>0</v>
      </c>
      <c r="G130" s="15">
        <f>(((Dados!AB64)*100)/$G$95)/100</f>
        <v>0</v>
      </c>
      <c r="H130" s="15">
        <f>(((Dados!AC64)*100)/$G$95)/100</f>
        <v>0</v>
      </c>
      <c r="I130" s="15">
        <f>(((Dados!AD64)*100)/$G$95)/100</f>
        <v>0</v>
      </c>
      <c r="J130" s="15">
        <f>(((Dados!AE64)*100)/$G$95)/100</f>
        <v>0</v>
      </c>
      <c r="K130" s="13">
        <f>(((Dados!AF64)*100)/$G$95)/100</f>
        <v>0</v>
      </c>
      <c r="L130" s="15">
        <f>(((Dados!AG64)*100)/$G$95)/100</f>
        <v>0</v>
      </c>
      <c r="M130" s="15">
        <f>(((Dados!AH64)*100)/$G$95)/100</f>
        <v>0</v>
      </c>
      <c r="N130" s="15">
        <f>(((Dados!AI64)*100)/$G$95)/100</f>
        <v>0</v>
      </c>
      <c r="O130" s="15">
        <f>(((Dados!AJ64)*100)/$G$95)/100</f>
        <v>0</v>
      </c>
      <c r="P130" s="15">
        <f>(((Dados!AK64)*100)/$G$95)/100</f>
        <v>0</v>
      </c>
      <c r="Q130" s="15">
        <f>(((Dados!AL64)*100)/$G$95)/100</f>
        <v>0</v>
      </c>
      <c r="R130" s="15">
        <f>(((Dados!AM64)*100)/$G$95)/100</f>
        <v>0</v>
      </c>
      <c r="S130" s="15">
        <f>(((Dados!AN64)*100)/$G$95)/100</f>
        <v>0</v>
      </c>
      <c r="T130" s="15">
        <f>(((Dados!AO64)*100)/$G$95)/100</f>
        <v>0</v>
      </c>
      <c r="U130" s="15">
        <f>(((Dados!AP64)*100)/$G$95)/100</f>
        <v>0</v>
      </c>
      <c r="V130" s="15">
        <f>(((Dados!AQ64)*100)/$G$95)/100</f>
        <v>0</v>
      </c>
      <c r="W130" s="15">
        <f>(((Dados!AR64)*100)/$G$95)/100</f>
        <v>0</v>
      </c>
      <c r="X130" s="15">
        <f>(((Dados!AS64)*100)/$G$95)/100</f>
        <v>0</v>
      </c>
    </row>
    <row r="131" spans="1:24">
      <c r="A131" s="39"/>
      <c r="B131" s="1" t="str">
        <f>L121</f>
        <v>salivary glands</v>
      </c>
      <c r="C131" s="15">
        <f>(((Dados!X65)*100)/$G$95)/100</f>
        <v>0</v>
      </c>
      <c r="D131" s="15">
        <f>(((Dados!Y65)*100)/$G$95)/100</f>
        <v>2.9498525073746312E-3</v>
      </c>
      <c r="E131" s="15">
        <f>(((Dados!Z65)*100)/$G$95)/100</f>
        <v>0</v>
      </c>
      <c r="F131" s="15">
        <f>(((Dados!AA65)*100)/$G$95)/100</f>
        <v>0</v>
      </c>
      <c r="G131" s="15">
        <f>(((Dados!AB65)*100)/$G$95)/100</f>
        <v>0</v>
      </c>
      <c r="H131" s="15">
        <f>(((Dados!AC65)*100)/$G$95)/100</f>
        <v>0</v>
      </c>
      <c r="I131" s="15">
        <f>(((Dados!AD65)*100)/$G$95)/100</f>
        <v>0</v>
      </c>
      <c r="J131" s="15">
        <f>(((Dados!AE65)*100)/$G$95)/100</f>
        <v>0</v>
      </c>
      <c r="K131" s="15">
        <f>(((Dados!AF65)*100)/$G$95)/100</f>
        <v>0</v>
      </c>
      <c r="L131" s="13">
        <f>(((Dados!AG65)*100)/$G$95)/100</f>
        <v>2.9498525073746312E-3</v>
      </c>
      <c r="M131" s="15">
        <f>(((Dados!AH65)*100)/$G$95)/100</f>
        <v>0</v>
      </c>
      <c r="N131" s="15">
        <f>(((Dados!AI65)*100)/$G$95)/100</f>
        <v>0</v>
      </c>
      <c r="O131" s="15">
        <f>(((Dados!AJ65)*100)/$G$95)/100</f>
        <v>0</v>
      </c>
      <c r="P131" s="15">
        <f>(((Dados!AK65)*100)/$G$95)/100</f>
        <v>0</v>
      </c>
      <c r="Q131" s="15">
        <f>(((Dados!AL65)*100)/$G$95)/100</f>
        <v>0</v>
      </c>
      <c r="R131" s="15">
        <f>(((Dados!AM65)*100)/$G$95)/100</f>
        <v>0</v>
      </c>
      <c r="S131" s="15">
        <f>(((Dados!AN65)*100)/$G$95)/100</f>
        <v>0</v>
      </c>
      <c r="T131" s="15">
        <f>(((Dados!AO65)*100)/$G$95)/100</f>
        <v>0</v>
      </c>
      <c r="U131" s="15">
        <f>(((Dados!AP65)*100)/$G$95)/100</f>
        <v>0</v>
      </c>
      <c r="V131" s="15">
        <f>(((Dados!AQ65)*100)/$G$95)/100</f>
        <v>0</v>
      </c>
      <c r="W131" s="15">
        <f>(((Dados!AR65)*100)/$G$95)/100</f>
        <v>0</v>
      </c>
      <c r="X131" s="15">
        <f>(((Dados!AS65)*100)/$G$95)/100</f>
        <v>0</v>
      </c>
    </row>
    <row r="132" spans="1:24">
      <c r="A132" s="39"/>
      <c r="B132" s="1" t="str">
        <f>M121</f>
        <v>pancreas</v>
      </c>
      <c r="C132" s="15">
        <f>(((Dados!X66)*100)/$G$95)/100</f>
        <v>8.8495575221238937E-3</v>
      </c>
      <c r="D132" s="15">
        <f>(((Dados!Y66)*100)/$G$95)/100</f>
        <v>0</v>
      </c>
      <c r="E132" s="15">
        <f>(((Dados!Z66)*100)/$G$95)/100</f>
        <v>0</v>
      </c>
      <c r="F132" s="15">
        <f>(((Dados!AA66)*100)/$G$95)/100</f>
        <v>0</v>
      </c>
      <c r="G132" s="15">
        <f>(((Dados!AB66)*100)/$G$95)/100</f>
        <v>2.359882005899705E-2</v>
      </c>
      <c r="H132" s="15">
        <f>(((Dados!AC66)*100)/$G$95)/100</f>
        <v>0</v>
      </c>
      <c r="I132" s="15">
        <f>(((Dados!AD66)*100)/$G$95)/100</f>
        <v>1.1799410029498525E-2</v>
      </c>
      <c r="J132" s="15">
        <f>(((Dados!AE66)*100)/$G$95)/100</f>
        <v>0</v>
      </c>
      <c r="K132" s="15">
        <f>(((Dados!AF66)*100)/$G$95)/100</f>
        <v>0</v>
      </c>
      <c r="L132" s="15">
        <f>(((Dados!AG66)*100)/$G$95)/100</f>
        <v>0</v>
      </c>
      <c r="M132" s="13">
        <f>(((Dados!AH66)*100)/$G$95)/100</f>
        <v>1.7699115044247787E-2</v>
      </c>
      <c r="N132" s="15">
        <f>(((Dados!AI66)*100)/$G$95)/100</f>
        <v>8.8495575221238937E-3</v>
      </c>
      <c r="O132" s="15">
        <f>(((Dados!AJ66)*100)/$G$95)/100</f>
        <v>0</v>
      </c>
      <c r="P132" s="15">
        <f>(((Dados!AK66)*100)/$G$95)/100</f>
        <v>0</v>
      </c>
      <c r="Q132" s="15">
        <f>(((Dados!AL66)*100)/$G$95)/100</f>
        <v>0</v>
      </c>
      <c r="R132" s="15">
        <f>(((Dados!AM66)*100)/$G$95)/100</f>
        <v>0</v>
      </c>
      <c r="S132" s="15">
        <f>(((Dados!AN66)*100)/$G$95)/100</f>
        <v>2.9498525073746312E-3</v>
      </c>
      <c r="T132" s="15">
        <f>(((Dados!AO66)*100)/$G$95)/100</f>
        <v>8.8495575221238937E-3</v>
      </c>
      <c r="U132" s="15">
        <f>(((Dados!AP66)*100)/$G$95)/100</f>
        <v>0</v>
      </c>
      <c r="V132" s="15">
        <f>(((Dados!AQ66)*100)/$G$95)/100</f>
        <v>0</v>
      </c>
      <c r="W132" s="15">
        <f>(((Dados!AR66)*100)/$G$95)/100</f>
        <v>0</v>
      </c>
      <c r="X132" s="15">
        <f>(((Dados!AS66)*100)/$G$95)/100</f>
        <v>0</v>
      </c>
    </row>
    <row r="133" spans="1:24">
      <c r="A133" s="39"/>
      <c r="B133" s="1" t="str">
        <f>N121</f>
        <v>gallbladder</v>
      </c>
      <c r="C133" s="15">
        <f>(((Dados!X67)*100)/$G$95)/100</f>
        <v>2.9498525073746312E-3</v>
      </c>
      <c r="D133" s="15">
        <f>(((Dados!Y67)*100)/$G$95)/100</f>
        <v>0</v>
      </c>
      <c r="E133" s="15">
        <f>(((Dados!Z67)*100)/$G$95)/100</f>
        <v>0</v>
      </c>
      <c r="F133" s="15">
        <f>(((Dados!AA67)*100)/$G$95)/100</f>
        <v>0</v>
      </c>
      <c r="G133" s="15">
        <f>(((Dados!AB67)*100)/$G$95)/100</f>
        <v>5.8997050147492625E-3</v>
      </c>
      <c r="H133" s="15">
        <f>(((Dados!AC67)*100)/$G$95)/100</f>
        <v>0</v>
      </c>
      <c r="I133" s="15">
        <f>(((Dados!AD67)*100)/$G$95)/100</f>
        <v>5.8997050147492625E-3</v>
      </c>
      <c r="J133" s="15">
        <f>(((Dados!AE67)*100)/$G$95)/100</f>
        <v>0</v>
      </c>
      <c r="K133" s="15">
        <f>(((Dados!AF67)*100)/$G$95)/100</f>
        <v>0</v>
      </c>
      <c r="L133" s="15">
        <f>(((Dados!AG67)*100)/$G$95)/100</f>
        <v>0</v>
      </c>
      <c r="M133" s="15">
        <f>(((Dados!AH67)*100)/$G$95)/100</f>
        <v>8.8495575221238937E-3</v>
      </c>
      <c r="N133" s="13">
        <f>(((Dados!AI67)*100)/$G$95)/100</f>
        <v>2.0648967551622419E-2</v>
      </c>
      <c r="O133" s="15">
        <f>(((Dados!AJ67)*100)/$G$95)/100</f>
        <v>0</v>
      </c>
      <c r="P133" s="15">
        <f>(((Dados!AK67)*100)/$G$95)/100</f>
        <v>0</v>
      </c>
      <c r="Q133" s="15">
        <f>(((Dados!AL67)*100)/$G$95)/100</f>
        <v>0</v>
      </c>
      <c r="R133" s="15">
        <f>(((Dados!AM67)*100)/$G$95)/100</f>
        <v>0</v>
      </c>
      <c r="S133" s="15">
        <f>(((Dados!AN67)*100)/$G$95)/100</f>
        <v>0</v>
      </c>
      <c r="T133" s="15">
        <f>(((Dados!AO67)*100)/$G$95)/100</f>
        <v>2.9498525073746312E-3</v>
      </c>
      <c r="U133" s="15">
        <f>(((Dados!AP67)*100)/$G$95)/100</f>
        <v>0</v>
      </c>
      <c r="V133" s="15">
        <f>(((Dados!AQ67)*100)/$G$95)/100</f>
        <v>0</v>
      </c>
      <c r="W133" s="15">
        <f>(((Dados!AR67)*100)/$G$95)/100</f>
        <v>0</v>
      </c>
      <c r="X133" s="15">
        <f>(((Dados!AS67)*100)/$G$95)/100</f>
        <v>0</v>
      </c>
    </row>
    <row r="134" spans="1:24">
      <c r="A134" s="39"/>
      <c r="B134" s="1" t="str">
        <f>O121</f>
        <v>liver</v>
      </c>
      <c r="C134" s="15">
        <f>(((Dados!X68)*100)/$G$95)/100</f>
        <v>2.9498525073746312E-3</v>
      </c>
      <c r="D134" s="15">
        <f>(((Dados!Y68)*100)/$G$95)/100</f>
        <v>0</v>
      </c>
      <c r="E134" s="15">
        <f>(((Dados!Z68)*100)/$G$95)/100</f>
        <v>0</v>
      </c>
      <c r="F134" s="15">
        <f>(((Dados!AA68)*100)/$G$95)/100</f>
        <v>0</v>
      </c>
      <c r="G134" s="15">
        <f>(((Dados!AB68)*100)/$G$95)/100</f>
        <v>5.8997050147492625E-3</v>
      </c>
      <c r="H134" s="15">
        <f>(((Dados!AC68)*100)/$G$95)/100</f>
        <v>2.9498525073746312E-3</v>
      </c>
      <c r="I134" s="15">
        <f>(((Dados!AD68)*100)/$G$95)/100</f>
        <v>0</v>
      </c>
      <c r="J134" s="15">
        <f>(((Dados!AE68)*100)/$G$95)/100</f>
        <v>0</v>
      </c>
      <c r="K134" s="15">
        <f>(((Dados!AF68)*100)/$G$95)/100</f>
        <v>0</v>
      </c>
      <c r="L134" s="15">
        <f>(((Dados!AG68)*100)/$G$95)/100</f>
        <v>0</v>
      </c>
      <c r="M134" s="15">
        <f>(((Dados!AH68)*100)/$G$95)/100</f>
        <v>0</v>
      </c>
      <c r="N134" s="15">
        <f>(((Dados!AI68)*100)/$G$95)/100</f>
        <v>2.9498525073746312E-3</v>
      </c>
      <c r="O134" s="13">
        <f>(((Dados!AJ68)*100)/$G$95)/100</f>
        <v>0</v>
      </c>
      <c r="P134" s="15">
        <f>(((Dados!AK68)*100)/$G$95)/100</f>
        <v>2.9498525073746312E-3</v>
      </c>
      <c r="Q134" s="15">
        <f>(((Dados!AL68)*100)/$G$95)/100</f>
        <v>0</v>
      </c>
      <c r="R134" s="15">
        <f>(((Dados!AM68)*100)/$G$95)/100</f>
        <v>0</v>
      </c>
      <c r="S134" s="15">
        <f>(((Dados!AN68)*100)/$G$95)/100</f>
        <v>0</v>
      </c>
      <c r="T134" s="15">
        <f>(((Dados!AO68)*100)/$G$95)/100</f>
        <v>0</v>
      </c>
      <c r="U134" s="15">
        <f>(((Dados!AP68)*100)/$G$95)/100</f>
        <v>2.9498525073746312E-3</v>
      </c>
      <c r="V134" s="15">
        <f>(((Dados!AQ68)*100)/$G$95)/100</f>
        <v>0</v>
      </c>
      <c r="W134" s="15">
        <f>(((Dados!AR68)*100)/$G$95)/100</f>
        <v>0</v>
      </c>
      <c r="X134" s="15">
        <f>(((Dados!AS68)*100)/$G$95)/100</f>
        <v>0</v>
      </c>
    </row>
    <row r="135" spans="1:24">
      <c r="A135" s="39"/>
      <c r="B135" s="1" t="str">
        <f>P121</f>
        <v>kidney</v>
      </c>
      <c r="C135" s="15">
        <f>(((Dados!X69)*100)/$G$95)/100</f>
        <v>1.7699115044247787E-2</v>
      </c>
      <c r="D135" s="15">
        <f>(((Dados!Y69)*100)/$G$95)/100</f>
        <v>0</v>
      </c>
      <c r="E135" s="15">
        <f>(((Dados!Z69)*100)/$G$95)/100</f>
        <v>0</v>
      </c>
      <c r="F135" s="15">
        <f>(((Dados!AA69)*100)/$G$95)/100</f>
        <v>8.8495575221238937E-3</v>
      </c>
      <c r="G135" s="15">
        <f>(((Dados!AB69)*100)/$G$95)/100</f>
        <v>8.8495575221238937E-3</v>
      </c>
      <c r="H135" s="15">
        <f>(((Dados!AC69)*100)/$G$95)/100</f>
        <v>2.9498525073746312E-3</v>
      </c>
      <c r="I135" s="15">
        <f>(((Dados!AD69)*100)/$G$95)/100</f>
        <v>0</v>
      </c>
      <c r="J135" s="15">
        <f>(((Dados!AE69)*100)/$G$95)/100</f>
        <v>0</v>
      </c>
      <c r="K135" s="15">
        <f>(((Dados!AF69)*100)/$G$95)/100</f>
        <v>0</v>
      </c>
      <c r="L135" s="15">
        <f>(((Dados!AG69)*100)/$G$95)/100</f>
        <v>0</v>
      </c>
      <c r="M135" s="15">
        <f>(((Dados!AH69)*100)/$G$95)/100</f>
        <v>5.8997050147492625E-3</v>
      </c>
      <c r="N135" s="15">
        <f>(((Dados!AI69)*100)/$G$95)/100</f>
        <v>0</v>
      </c>
      <c r="O135" s="15">
        <f>(((Dados!AJ69)*100)/$G$95)/100</f>
        <v>2.9498525073746312E-3</v>
      </c>
      <c r="P135" s="13">
        <f>(((Dados!AK69)*100)/$G$95)/100</f>
        <v>8.8495575221238937E-3</v>
      </c>
      <c r="Q135" s="15">
        <f>(((Dados!AL69)*100)/$G$95)/100</f>
        <v>0</v>
      </c>
      <c r="R135" s="15">
        <f>(((Dados!AM69)*100)/$G$95)/100</f>
        <v>2.9498525073746312E-3</v>
      </c>
      <c r="S135" s="15">
        <f>(((Dados!AN69)*100)/$G$95)/100</f>
        <v>1.1799410029498525E-2</v>
      </c>
      <c r="T135" s="15">
        <f>(((Dados!AO69)*100)/$G$95)/100</f>
        <v>0</v>
      </c>
      <c r="U135" s="15">
        <f>(((Dados!AP69)*100)/$G$95)/100</f>
        <v>0</v>
      </c>
      <c r="V135" s="15">
        <f>(((Dados!AQ69)*100)/$G$95)/100</f>
        <v>0</v>
      </c>
      <c r="W135" s="15">
        <f>(((Dados!AR69)*100)/$G$95)/100</f>
        <v>0</v>
      </c>
      <c r="X135" s="15">
        <f>(((Dados!AS69)*100)/$G$95)/100</f>
        <v>0</v>
      </c>
    </row>
    <row r="136" spans="1:24">
      <c r="A136" s="39"/>
      <c r="B136" s="1" t="str">
        <f>Q121</f>
        <v>bladder</v>
      </c>
      <c r="C136" s="15">
        <f>(((Dados!X70)*100)/$G$95)/100</f>
        <v>2.9498525073746312E-3</v>
      </c>
      <c r="D136" s="15">
        <f>(((Dados!Y70)*100)/$G$95)/100</f>
        <v>0</v>
      </c>
      <c r="E136" s="15">
        <f>(((Dados!Z70)*100)/$G$95)/100</f>
        <v>0</v>
      </c>
      <c r="F136" s="15">
        <f>(((Dados!AA70)*100)/$G$95)/100</f>
        <v>0</v>
      </c>
      <c r="G136" s="15">
        <f>(((Dados!AB70)*100)/$G$95)/100</f>
        <v>0</v>
      </c>
      <c r="H136" s="15">
        <f>(((Dados!AC70)*100)/$G$95)/100</f>
        <v>0</v>
      </c>
      <c r="I136" s="15">
        <f>(((Dados!AD70)*100)/$G$95)/100</f>
        <v>2.9498525073746312E-3</v>
      </c>
      <c r="J136" s="15">
        <f>(((Dados!AE70)*100)/$G$95)/100</f>
        <v>0</v>
      </c>
      <c r="K136" s="15">
        <f>(((Dados!AF70)*100)/$G$95)/100</f>
        <v>0</v>
      </c>
      <c r="L136" s="15">
        <f>(((Dados!AG70)*100)/$G$95)/100</f>
        <v>0</v>
      </c>
      <c r="M136" s="15">
        <f>(((Dados!AH70)*100)/$G$95)/100</f>
        <v>0</v>
      </c>
      <c r="N136" s="15">
        <f>(((Dados!AI70)*100)/$G$95)/100</f>
        <v>0</v>
      </c>
      <c r="O136" s="15">
        <f>(((Dados!AJ70)*100)/$G$95)/100</f>
        <v>0</v>
      </c>
      <c r="P136" s="15">
        <f>(((Dados!AK70)*100)/$G$95)/100</f>
        <v>0</v>
      </c>
      <c r="Q136" s="13">
        <f>(((Dados!AL70)*100)/$G$95)/100</f>
        <v>0</v>
      </c>
      <c r="R136" s="15">
        <f>(((Dados!AM70)*100)/$G$95)/100</f>
        <v>0</v>
      </c>
      <c r="S136" s="15">
        <f>(((Dados!AN70)*100)/$G$95)/100</f>
        <v>0</v>
      </c>
      <c r="T136" s="15">
        <f>(((Dados!AO70)*100)/$G$95)/100</f>
        <v>0</v>
      </c>
      <c r="U136" s="15">
        <f>(((Dados!AP70)*100)/$G$95)/100</f>
        <v>0</v>
      </c>
      <c r="V136" s="15">
        <f>(((Dados!AQ70)*100)/$G$95)/100</f>
        <v>0</v>
      </c>
      <c r="W136" s="15">
        <f>(((Dados!AR70)*100)/$G$95)/100</f>
        <v>0</v>
      </c>
      <c r="X136" s="15">
        <f>(((Dados!AS70)*100)/$G$95)/100</f>
        <v>0</v>
      </c>
    </row>
    <row r="137" spans="1:24">
      <c r="A137" s="39"/>
      <c r="B137" s="1" t="str">
        <f>R121</f>
        <v>testis</v>
      </c>
      <c r="C137" s="15">
        <f>(((Dados!X71)*100)/$G$95)/100</f>
        <v>2.9498525073746312E-3</v>
      </c>
      <c r="D137" s="15">
        <f>(((Dados!Y71)*100)/$G$95)/100</f>
        <v>0</v>
      </c>
      <c r="E137" s="15">
        <f>(((Dados!Z71)*100)/$G$95)/100</f>
        <v>0</v>
      </c>
      <c r="F137" s="15">
        <f>(((Dados!AA71)*100)/$G$95)/100</f>
        <v>0</v>
      </c>
      <c r="G137" s="15">
        <f>(((Dados!AB71)*100)/$G$95)/100</f>
        <v>0</v>
      </c>
      <c r="H137" s="15">
        <f>(((Dados!AC71)*100)/$G$95)/100</f>
        <v>0</v>
      </c>
      <c r="I137" s="15">
        <f>(((Dados!AD71)*100)/$G$95)/100</f>
        <v>0</v>
      </c>
      <c r="J137" s="15">
        <f>(((Dados!AE71)*100)/$G$95)/100</f>
        <v>0</v>
      </c>
      <c r="K137" s="15">
        <f>(((Dados!AF71)*100)/$G$95)/100</f>
        <v>0</v>
      </c>
      <c r="L137" s="15">
        <f>(((Dados!AG71)*100)/$G$95)/100</f>
        <v>0</v>
      </c>
      <c r="M137" s="15">
        <f>(((Dados!AH71)*100)/$G$95)/100</f>
        <v>0</v>
      </c>
      <c r="N137" s="15">
        <f>(((Dados!AI71)*100)/$G$95)/100</f>
        <v>0</v>
      </c>
      <c r="O137" s="15">
        <f>(((Dados!AJ71)*100)/$G$95)/100</f>
        <v>0</v>
      </c>
      <c r="P137" s="15">
        <f>(((Dados!AK71)*100)/$G$95)/100</f>
        <v>0</v>
      </c>
      <c r="Q137" s="15">
        <f>(((Dados!AL71)*100)/$G$95)/100</f>
        <v>0</v>
      </c>
      <c r="R137" s="13">
        <f>(((Dados!AM71)*100)/$G$95)/100</f>
        <v>0</v>
      </c>
      <c r="S137" s="15">
        <f>(((Dados!AN71)*100)/$G$95)/100</f>
        <v>0</v>
      </c>
      <c r="T137" s="15">
        <f>(((Dados!AO71)*100)/$G$95)/100</f>
        <v>0</v>
      </c>
      <c r="U137" s="15">
        <f>(((Dados!AP71)*100)/$G$95)/100</f>
        <v>0</v>
      </c>
      <c r="V137" s="15">
        <f>(((Dados!AQ71)*100)/$G$95)/100</f>
        <v>0</v>
      </c>
      <c r="W137" s="15">
        <f>(((Dados!AR71)*100)/$G$95)/100</f>
        <v>0</v>
      </c>
      <c r="X137" s="15">
        <f>(((Dados!AS71)*100)/$G$95)/100</f>
        <v>0</v>
      </c>
    </row>
    <row r="138" spans="1:24">
      <c r="A138" s="39"/>
      <c r="B138" s="1" t="str">
        <f>S121</f>
        <v>prostate</v>
      </c>
      <c r="C138" s="15">
        <f>(((Dados!X72)*100)/$G$95)/100</f>
        <v>2.9498525073746312E-3</v>
      </c>
      <c r="D138" s="15">
        <f>(((Dados!Y72)*100)/$G$95)/100</f>
        <v>0</v>
      </c>
      <c r="E138" s="15">
        <f>(((Dados!Z72)*100)/$G$95)/100</f>
        <v>0</v>
      </c>
      <c r="F138" s="15">
        <f>(((Dados!AA72)*100)/$G$95)/100</f>
        <v>2.9498525073746312E-3</v>
      </c>
      <c r="G138" s="15">
        <f>(((Dados!AB72)*100)/$G$95)/100</f>
        <v>2.9498525073746312E-3</v>
      </c>
      <c r="H138" s="15">
        <f>(((Dados!AC72)*100)/$G$95)/100</f>
        <v>0</v>
      </c>
      <c r="I138" s="15">
        <f>(((Dados!AD72)*100)/$G$95)/100</f>
        <v>0</v>
      </c>
      <c r="J138" s="15">
        <f>(((Dados!AE72)*100)/$G$95)/100</f>
        <v>0</v>
      </c>
      <c r="K138" s="15">
        <f>(((Dados!AF72)*100)/$G$95)/100</f>
        <v>0</v>
      </c>
      <c r="L138" s="15">
        <f>(((Dados!AG72)*100)/$G$95)/100</f>
        <v>2.9498525073746312E-3</v>
      </c>
      <c r="M138" s="15">
        <f>(((Dados!AH72)*100)/$G$95)/100</f>
        <v>5.8997050147492625E-3</v>
      </c>
      <c r="N138" s="15">
        <f>(((Dados!AI72)*100)/$G$95)/100</f>
        <v>0</v>
      </c>
      <c r="O138" s="15">
        <f>(((Dados!AJ72)*100)/$G$95)/100</f>
        <v>0</v>
      </c>
      <c r="P138" s="15">
        <f>(((Dados!AK72)*100)/$G$95)/100</f>
        <v>2.9498525073746312E-3</v>
      </c>
      <c r="Q138" s="15">
        <f>(((Dados!AL72)*100)/$G$95)/100</f>
        <v>0</v>
      </c>
      <c r="R138" s="15">
        <f>(((Dados!AM72)*100)/$G$95)/100</f>
        <v>0</v>
      </c>
      <c r="S138" s="13">
        <f>(((Dados!AN72)*100)/$G$95)/100</f>
        <v>8.8495575221238937E-3</v>
      </c>
      <c r="T138" s="15">
        <f>(((Dados!AO72)*100)/$G$95)/100</f>
        <v>0</v>
      </c>
      <c r="U138" s="15">
        <f>(((Dados!AP72)*100)/$G$95)/100</f>
        <v>0</v>
      </c>
      <c r="V138" s="15">
        <f>(((Dados!AQ72)*100)/$G$95)/100</f>
        <v>0</v>
      </c>
      <c r="W138" s="15">
        <f>(((Dados!AR72)*100)/$G$95)/100</f>
        <v>0</v>
      </c>
      <c r="X138" s="15">
        <f>(((Dados!AS72)*100)/$G$95)/100</f>
        <v>0</v>
      </c>
    </row>
    <row r="139" spans="1:24">
      <c r="A139" s="39"/>
      <c r="B139" s="1" t="str">
        <f>T121</f>
        <v>ovary</v>
      </c>
      <c r="C139" s="15">
        <f>(((Dados!X73)*100)/$G$95)/100</f>
        <v>2.9498525073746312E-3</v>
      </c>
      <c r="D139" s="15">
        <f>(((Dados!Y73)*100)/$G$95)/100</f>
        <v>0</v>
      </c>
      <c r="E139" s="15">
        <f>(((Dados!Z73)*100)/$G$95)/100</f>
        <v>0</v>
      </c>
      <c r="F139" s="15">
        <f>(((Dados!AA73)*100)/$G$95)/100</f>
        <v>0</v>
      </c>
      <c r="G139" s="15">
        <f>(((Dados!AB73)*100)/$G$95)/100</f>
        <v>8.8495575221238937E-3</v>
      </c>
      <c r="H139" s="15">
        <f>(((Dados!AC73)*100)/$G$95)/100</f>
        <v>0</v>
      </c>
      <c r="I139" s="15">
        <f>(((Dados!AD73)*100)/$G$95)/100</f>
        <v>8.8495575221238937E-3</v>
      </c>
      <c r="J139" s="15">
        <f>(((Dados!AE73)*100)/$G$95)/100</f>
        <v>0</v>
      </c>
      <c r="K139" s="15">
        <f>(((Dados!AF73)*100)/$G$95)/100</f>
        <v>0</v>
      </c>
      <c r="L139" s="15">
        <f>(((Dados!AG73)*100)/$G$95)/100</f>
        <v>0</v>
      </c>
      <c r="M139" s="15">
        <f>(((Dados!AH73)*100)/$G$95)/100</f>
        <v>8.8495575221238937E-3</v>
      </c>
      <c r="N139" s="15">
        <f>(((Dados!AI73)*100)/$G$95)/100</f>
        <v>5.8997050147492625E-3</v>
      </c>
      <c r="O139" s="15">
        <f>(((Dados!AJ73)*100)/$G$95)/100</f>
        <v>0</v>
      </c>
      <c r="P139" s="15">
        <f>(((Dados!AK73)*100)/$G$95)/100</f>
        <v>0</v>
      </c>
      <c r="Q139" s="15">
        <f>(((Dados!AL73)*100)/$G$95)/100</f>
        <v>0</v>
      </c>
      <c r="R139" s="15">
        <f>(((Dados!AM73)*100)/$G$95)/100</f>
        <v>0</v>
      </c>
      <c r="S139" s="15">
        <f>(((Dados!AN73)*100)/$G$95)/100</f>
        <v>0</v>
      </c>
      <c r="T139" s="13">
        <f>(((Dados!AO73)*100)/$G$95)/100</f>
        <v>5.0147492625368731E-2</v>
      </c>
      <c r="U139" s="15">
        <f>(((Dados!AP73)*100)/$G$95)/100</f>
        <v>0</v>
      </c>
      <c r="V139" s="15">
        <f>(((Dados!AQ73)*100)/$G$95)/100</f>
        <v>0</v>
      </c>
      <c r="W139" s="15">
        <f>(((Dados!AR73)*100)/$G$95)/100</f>
        <v>0</v>
      </c>
      <c r="X139" s="15">
        <f>(((Dados!AS73)*100)/$G$95)/100</f>
        <v>0</v>
      </c>
    </row>
    <row r="140" spans="1:24">
      <c r="A140" s="39"/>
      <c r="B140" s="1" t="str">
        <f>U121</f>
        <v>corpus uteri</v>
      </c>
      <c r="C140" s="15">
        <f>(((Dados!X74)*100)/$G$95)/100</f>
        <v>2.9498525073746312E-3</v>
      </c>
      <c r="D140" s="15">
        <f>(((Dados!Y74)*100)/$G$95)/100</f>
        <v>0</v>
      </c>
      <c r="E140" s="15">
        <f>(((Dados!Z74)*100)/$G$95)/100</f>
        <v>0</v>
      </c>
      <c r="F140" s="15">
        <f>(((Dados!AA74)*100)/$G$95)/100</f>
        <v>2.9498525073746312E-3</v>
      </c>
      <c r="G140" s="15">
        <f>(((Dados!AB74)*100)/$G$95)/100</f>
        <v>5.8997050147492625E-3</v>
      </c>
      <c r="H140" s="15">
        <f>(((Dados!AC74)*100)/$G$95)/100</f>
        <v>0</v>
      </c>
      <c r="I140" s="15">
        <f>(((Dados!AD74)*100)/$G$95)/100</f>
        <v>2.9498525073746312E-3</v>
      </c>
      <c r="J140" s="15">
        <f>(((Dados!AE74)*100)/$G$95)/100</f>
        <v>0</v>
      </c>
      <c r="K140" s="15">
        <f>(((Dados!AF74)*100)/$G$95)/100</f>
        <v>0</v>
      </c>
      <c r="L140" s="15">
        <f>(((Dados!AG74)*100)/$G$95)/100</f>
        <v>0</v>
      </c>
      <c r="M140" s="15">
        <f>(((Dados!AH74)*100)/$G$95)/100</f>
        <v>2.9498525073746312E-3</v>
      </c>
      <c r="N140" s="15">
        <f>(((Dados!AI74)*100)/$G$95)/100</f>
        <v>0</v>
      </c>
      <c r="O140" s="15">
        <f>(((Dados!AJ74)*100)/$G$95)/100</f>
        <v>0</v>
      </c>
      <c r="P140" s="15">
        <f>(((Dados!AK74)*100)/$G$95)/100</f>
        <v>0</v>
      </c>
      <c r="Q140" s="15">
        <f>(((Dados!AL74)*100)/$G$95)/100</f>
        <v>0</v>
      </c>
      <c r="R140" s="15">
        <f>(((Dados!AM74)*100)/$G$95)/100</f>
        <v>0</v>
      </c>
      <c r="S140" s="15">
        <f>(((Dados!AN74)*100)/$G$95)/100</f>
        <v>0</v>
      </c>
      <c r="T140" s="15">
        <f>(((Dados!AO74)*100)/$G$95)/100</f>
        <v>0</v>
      </c>
      <c r="U140" s="13">
        <f>(((Dados!AP74)*100)/$G$95)/100</f>
        <v>0</v>
      </c>
      <c r="V140" s="15">
        <f>(((Dados!AQ74)*100)/$G$95)/100</f>
        <v>0</v>
      </c>
      <c r="W140" s="15">
        <f>(((Dados!AR74)*100)/$G$95)/100</f>
        <v>0</v>
      </c>
      <c r="X140" s="15">
        <f>(((Dados!AS74)*100)/$G$95)/100</f>
        <v>0</v>
      </c>
    </row>
    <row r="141" spans="1:24">
      <c r="A141" s="39"/>
      <c r="B141" s="1" t="str">
        <f>V121</f>
        <v>cervix uteri</v>
      </c>
      <c r="C141" s="15">
        <f>(((Dados!X75)*100)/$G$95)/100</f>
        <v>0</v>
      </c>
      <c r="D141" s="15">
        <f>(((Dados!Y75)*100)/$G$95)/100</f>
        <v>0</v>
      </c>
      <c r="E141" s="15">
        <f>(((Dados!Z75)*100)/$G$95)/100</f>
        <v>0</v>
      </c>
      <c r="F141" s="15">
        <f>(((Dados!AA75)*100)/$G$95)/100</f>
        <v>0</v>
      </c>
      <c r="G141" s="15">
        <f>(((Dados!AB75)*100)/$G$95)/100</f>
        <v>0</v>
      </c>
      <c r="H141" s="15">
        <f>(((Dados!AC75)*100)/$G$95)/100</f>
        <v>0</v>
      </c>
      <c r="I141" s="15">
        <f>(((Dados!AD75)*100)/$G$95)/100</f>
        <v>0</v>
      </c>
      <c r="J141" s="15">
        <f>(((Dados!AE75)*100)/$G$95)/100</f>
        <v>0</v>
      </c>
      <c r="K141" s="15">
        <f>(((Dados!AF75)*100)/$G$95)/100</f>
        <v>0</v>
      </c>
      <c r="L141" s="15">
        <f>(((Dados!AG75)*100)/$G$95)/100</f>
        <v>0</v>
      </c>
      <c r="M141" s="15">
        <f>(((Dados!AH75)*100)/$G$95)/100</f>
        <v>2.9498525073746312E-3</v>
      </c>
      <c r="N141" s="15">
        <f>(((Dados!AI75)*100)/$G$95)/100</f>
        <v>0</v>
      </c>
      <c r="O141" s="15">
        <f>(((Dados!AJ75)*100)/$G$95)/100</f>
        <v>0</v>
      </c>
      <c r="P141" s="15">
        <f>(((Dados!AK75)*100)/$G$95)/100</f>
        <v>0</v>
      </c>
      <c r="Q141" s="15">
        <f>(((Dados!AL75)*100)/$G$95)/100</f>
        <v>0</v>
      </c>
      <c r="R141" s="15">
        <f>(((Dados!AM75)*100)/$G$95)/100</f>
        <v>0</v>
      </c>
      <c r="S141" s="15">
        <f>(((Dados!AN75)*100)/$G$95)/100</f>
        <v>0</v>
      </c>
      <c r="T141" s="15">
        <f>(((Dados!AO75)*100)/$G$95)/100</f>
        <v>0</v>
      </c>
      <c r="U141" s="15">
        <f>(((Dados!AP75)*100)/$G$95)/100</f>
        <v>2.9498525073746312E-3</v>
      </c>
      <c r="V141" s="13">
        <f>(((Dados!AQ75)*100)/$G$95)/100</f>
        <v>0</v>
      </c>
      <c r="W141" s="15">
        <f>(((Dados!AR75)*100)/$G$95)/100</f>
        <v>0</v>
      </c>
      <c r="X141" s="15">
        <f>(((Dados!AS75)*100)/$G$95)/100</f>
        <v>0</v>
      </c>
    </row>
    <row r="142" spans="1:24">
      <c r="A142" s="39"/>
      <c r="B142" s="1" t="str">
        <f>W121</f>
        <v>vagina</v>
      </c>
      <c r="C142" s="15">
        <f>(((Dados!X76)*100)/$G$95)/100</f>
        <v>0</v>
      </c>
      <c r="D142" s="15">
        <f>(((Dados!Y76)*100)/$G$95)/100</f>
        <v>0</v>
      </c>
      <c r="E142" s="15">
        <f>(((Dados!Z76)*100)/$G$95)/100</f>
        <v>0</v>
      </c>
      <c r="F142" s="15">
        <f>(((Dados!AA76)*100)/$G$95)/100</f>
        <v>0</v>
      </c>
      <c r="G142" s="15">
        <f>(((Dados!AB76)*100)/$G$95)/100</f>
        <v>0</v>
      </c>
      <c r="H142" s="15">
        <f>(((Dados!AC76)*100)/$G$95)/100</f>
        <v>0</v>
      </c>
      <c r="I142" s="15">
        <f>(((Dados!AD76)*100)/$G$95)/100</f>
        <v>0</v>
      </c>
      <c r="J142" s="15">
        <f>(((Dados!AE76)*100)/$G$95)/100</f>
        <v>0</v>
      </c>
      <c r="K142" s="15">
        <f>(((Dados!AF76)*100)/$G$95)/100</f>
        <v>0</v>
      </c>
      <c r="L142" s="15">
        <f>(((Dados!AG76)*100)/$G$95)/100</f>
        <v>0</v>
      </c>
      <c r="M142" s="15">
        <f>(((Dados!AH76)*100)/$G$95)/100</f>
        <v>0</v>
      </c>
      <c r="N142" s="15">
        <f>(((Dados!AI76)*100)/$G$95)/100</f>
        <v>0</v>
      </c>
      <c r="O142" s="15">
        <f>(((Dados!AJ76)*100)/$G$95)/100</f>
        <v>0</v>
      </c>
      <c r="P142" s="15">
        <f>(((Dados!AK76)*100)/$G$95)/100</f>
        <v>2.9498525073746312E-3</v>
      </c>
      <c r="Q142" s="15">
        <f>(((Dados!AL76)*100)/$G$95)/100</f>
        <v>0</v>
      </c>
      <c r="R142" s="15">
        <f>(((Dados!AM76)*100)/$G$95)/100</f>
        <v>0</v>
      </c>
      <c r="S142" s="15">
        <f>(((Dados!AN76)*100)/$G$95)/100</f>
        <v>0</v>
      </c>
      <c r="T142" s="15">
        <f>(((Dados!AO76)*100)/$G$95)/100</f>
        <v>0</v>
      </c>
      <c r="U142" s="15">
        <f>(((Dados!AP76)*100)/$G$95)/100</f>
        <v>0</v>
      </c>
      <c r="V142" s="15">
        <f>(((Dados!AQ76)*100)/$G$95)/100</f>
        <v>0</v>
      </c>
      <c r="W142" s="13">
        <f>(((Dados!AR76)*100)/$G$95)/100</f>
        <v>0</v>
      </c>
      <c r="X142" s="15">
        <f>(((Dados!AS76)*100)/$G$95)/100</f>
        <v>0</v>
      </c>
    </row>
    <row r="143" spans="1:24">
      <c r="A143" s="39"/>
      <c r="B143" s="1" t="str">
        <f>X121</f>
        <v>breast</v>
      </c>
      <c r="C143" s="15">
        <f>(((Dados!X77)*100)/$G$95)/100</f>
        <v>5.8997050147492625E-3</v>
      </c>
      <c r="D143" s="15">
        <f>(((Dados!Y77)*100)/$G$95)/100</f>
        <v>0</v>
      </c>
      <c r="E143" s="15">
        <f>(((Dados!Z77)*100)/$G$95)/100</f>
        <v>2.9498525073746312E-3</v>
      </c>
      <c r="F143" s="15">
        <f>(((Dados!AA77)*100)/$G$95)/100</f>
        <v>0</v>
      </c>
      <c r="G143" s="15">
        <f>(((Dados!AB77)*100)/$G$95)/100</f>
        <v>8.8495575221238937E-3</v>
      </c>
      <c r="H143" s="15">
        <f>(((Dados!AC77)*100)/$G$95)/100</f>
        <v>0</v>
      </c>
      <c r="I143" s="15">
        <f>(((Dados!AD77)*100)/$G$95)/100</f>
        <v>0</v>
      </c>
      <c r="J143" s="15">
        <f>(((Dados!AE77)*100)/$G$95)/100</f>
        <v>0</v>
      </c>
      <c r="K143" s="15">
        <f>(((Dados!AF77)*100)/$G$95)/100</f>
        <v>0</v>
      </c>
      <c r="L143" s="15">
        <f>(((Dados!AG77)*100)/$G$95)/100</f>
        <v>0</v>
      </c>
      <c r="M143" s="15">
        <f>(((Dados!AH77)*100)/$G$95)/100</f>
        <v>2.9498525073746312E-3</v>
      </c>
      <c r="N143" s="15">
        <f>(((Dados!AI77)*100)/$G$95)/100</f>
        <v>0</v>
      </c>
      <c r="O143" s="15">
        <f>(((Dados!AJ77)*100)/$G$95)/100</f>
        <v>0</v>
      </c>
      <c r="P143" s="15">
        <f>(((Dados!AK77)*100)/$G$95)/100</f>
        <v>0</v>
      </c>
      <c r="Q143" s="15">
        <f>(((Dados!AL77)*100)/$G$95)/100</f>
        <v>0</v>
      </c>
      <c r="R143" s="15">
        <f>(((Dados!AM77)*100)/$G$95)/100</f>
        <v>0</v>
      </c>
      <c r="S143" s="15">
        <f>(((Dados!AN77)*100)/$G$95)/100</f>
        <v>0</v>
      </c>
      <c r="T143" s="15">
        <f>(((Dados!AO77)*100)/$G$95)/100</f>
        <v>2.9498525073746312E-3</v>
      </c>
      <c r="U143" s="15">
        <f>(((Dados!AP77)*100)/$G$95)/100</f>
        <v>2.9498525073746312E-3</v>
      </c>
      <c r="V143" s="15">
        <f>(((Dados!AQ77)*100)/$G$95)/100</f>
        <v>0</v>
      </c>
      <c r="W143" s="15">
        <f>(((Dados!AR77)*100)/$G$95)/100</f>
        <v>0</v>
      </c>
      <c r="X143" s="13">
        <f>(((Dados!AS77)*100)/$G$95)/100</f>
        <v>4.4247787610619468E-2</v>
      </c>
    </row>
    <row r="145" spans="1:8">
      <c r="A145" s="22" t="str">
        <f>A1</f>
        <v>k-folds</v>
      </c>
      <c r="B145" s="5" t="s">
        <v>55</v>
      </c>
      <c r="C145" s="7" t="s">
        <v>20</v>
      </c>
      <c r="D145" s="11" t="s">
        <v>2</v>
      </c>
      <c r="E145" s="33">
        <f>629+217</f>
        <v>846</v>
      </c>
      <c r="F145" s="33"/>
      <c r="G145" s="33"/>
      <c r="H145" s="34"/>
    </row>
    <row r="146" spans="1:8">
      <c r="A146" s="39">
        <v>2</v>
      </c>
      <c r="B146" s="6" t="str">
        <f>B2</f>
        <v>↓ Real      Escolhido →</v>
      </c>
      <c r="C146" s="9" t="s">
        <v>56</v>
      </c>
      <c r="D146" s="30" t="s">
        <v>57</v>
      </c>
      <c r="E146" s="30"/>
      <c r="F146" s="9" t="s">
        <v>58</v>
      </c>
      <c r="G146" s="30" t="s">
        <v>59</v>
      </c>
      <c r="H146" s="30"/>
    </row>
    <row r="147" spans="1:8">
      <c r="A147" s="39"/>
      <c r="B147" s="1" t="str">
        <f>C146</f>
        <v>opel</v>
      </c>
      <c r="C147" s="13">
        <f>(((96)*100)/E145)/100</f>
        <v>0.11347517730496454</v>
      </c>
      <c r="D147" s="31">
        <f>(((98)*100)/E145)/100</f>
        <v>0.11583924349881797</v>
      </c>
      <c r="E147" s="31"/>
      <c r="F147" s="15">
        <f>(((8)*100)/E145)/100</f>
        <v>9.4562647754137114E-3</v>
      </c>
      <c r="G147" s="31">
        <f>(((10)*100)/E145)/100</f>
        <v>1.1820330969267139E-2</v>
      </c>
      <c r="H147" s="31"/>
    </row>
    <row r="148" spans="1:8">
      <c r="A148" s="39"/>
      <c r="B148" s="1" t="str">
        <f>D146</f>
        <v>saab</v>
      </c>
      <c r="C148" s="4">
        <f>(((80)*100)/E145)/100</f>
        <v>9.4562647754137114E-2</v>
      </c>
      <c r="D148" s="32">
        <f>(((107)*100)/E145)/100</f>
        <v>0.12647754137115841</v>
      </c>
      <c r="E148" s="32"/>
      <c r="F148" s="4">
        <f>(((14)*100)/E145)/100</f>
        <v>1.6548463356973995E-2</v>
      </c>
      <c r="G148" s="36">
        <f>(((16)*100)/E145)/100</f>
        <v>1.8912529550827423E-2</v>
      </c>
      <c r="H148" s="36"/>
    </row>
    <row r="149" spans="1:8">
      <c r="A149" s="39"/>
      <c r="B149" s="1" t="str">
        <f>F146</f>
        <v>bus</v>
      </c>
      <c r="C149" s="15">
        <f>(((2)*100)/E145)/100</f>
        <v>2.3640661938534278E-3</v>
      </c>
      <c r="D149" s="31">
        <f>(((5)*100)/E145)/100</f>
        <v>5.9101654846335696E-3</v>
      </c>
      <c r="E149" s="31"/>
      <c r="F149" s="13">
        <f>(((205)*100)/E145)/100</f>
        <v>0.24231678486997638</v>
      </c>
      <c r="G149" s="31">
        <f>(((6)*100)/E145)/100</f>
        <v>7.0921985815602835E-3</v>
      </c>
      <c r="H149" s="31"/>
    </row>
    <row r="150" spans="1:8">
      <c r="A150" s="39"/>
      <c r="B150" s="1" t="str">
        <f>G146</f>
        <v>van</v>
      </c>
      <c r="C150" s="4">
        <f>(((5)*100)/E145)/100</f>
        <v>5.9101654846335696E-3</v>
      </c>
      <c r="D150" s="36">
        <f>(((19)*100)/E145)/100</f>
        <v>2.2458628841607563E-2</v>
      </c>
      <c r="E150" s="36"/>
      <c r="F150" s="4">
        <f>(((7)*100)/E145)/100</f>
        <v>8.2742316784869974E-3</v>
      </c>
      <c r="G150" s="32">
        <f>(((168)*100)/E145)/100</f>
        <v>0.19858156028368792</v>
      </c>
      <c r="H150" s="32"/>
    </row>
    <row r="152" spans="1:8">
      <c r="A152" s="22" t="str">
        <f>A1</f>
        <v>k-folds</v>
      </c>
      <c r="B152" s="5" t="s">
        <v>55</v>
      </c>
      <c r="C152" s="7" t="s">
        <v>20</v>
      </c>
      <c r="D152" s="11" t="s">
        <v>2</v>
      </c>
      <c r="E152" s="33">
        <f>629+217</f>
        <v>846</v>
      </c>
      <c r="F152" s="33"/>
      <c r="G152" s="33"/>
      <c r="H152" s="34"/>
    </row>
    <row r="153" spans="1:8">
      <c r="A153" s="39">
        <v>5</v>
      </c>
      <c r="B153" s="6" t="str">
        <f>B2</f>
        <v>↓ Real      Escolhido →</v>
      </c>
      <c r="C153" s="9" t="s">
        <v>56</v>
      </c>
      <c r="D153" s="30" t="s">
        <v>57</v>
      </c>
      <c r="E153" s="30"/>
      <c r="F153" s="9" t="s">
        <v>58</v>
      </c>
      <c r="G153" s="30" t="s">
        <v>59</v>
      </c>
      <c r="H153" s="30"/>
    </row>
    <row r="154" spans="1:8">
      <c r="A154" s="39"/>
      <c r="B154" s="1" t="str">
        <f>C153</f>
        <v>opel</v>
      </c>
      <c r="C154" s="13">
        <f>(((104)*100)/E152)/100</f>
        <v>0.12293144208037825</v>
      </c>
      <c r="D154" s="31">
        <f>(((90)*100)/E152)/100</f>
        <v>0.10638297872340426</v>
      </c>
      <c r="E154" s="31"/>
      <c r="F154" s="15">
        <f>(((8)*100)/E152)/100</f>
        <v>9.4562647754137114E-3</v>
      </c>
      <c r="G154" s="31">
        <f>(((10)*100)/E152)/100</f>
        <v>1.1820330969267139E-2</v>
      </c>
      <c r="H154" s="31"/>
    </row>
    <row r="155" spans="1:8">
      <c r="A155" s="39"/>
      <c r="B155" s="1" t="str">
        <f>D153</f>
        <v>saab</v>
      </c>
      <c r="C155" s="4">
        <f>(((88)*100)/E152)/100</f>
        <v>0.10401891252955084</v>
      </c>
      <c r="D155" s="32">
        <f>(((106)*100)/E152)/100</f>
        <v>0.12529550827423169</v>
      </c>
      <c r="E155" s="32"/>
      <c r="F155" s="4">
        <f>(((12)*100)/E152)/100</f>
        <v>1.4184397163120567E-2</v>
      </c>
      <c r="G155" s="36">
        <f>(((11)*100)/E152)/100</f>
        <v>1.3002364066193855E-2</v>
      </c>
      <c r="H155" s="36"/>
    </row>
    <row r="156" spans="1:8">
      <c r="A156" s="39"/>
      <c r="B156" s="1" t="str">
        <f>F153</f>
        <v>bus</v>
      </c>
      <c r="C156" s="15">
        <f>(((3)*100)/E152)/100</f>
        <v>3.5460992907801418E-3</v>
      </c>
      <c r="D156" s="31">
        <f>(((5)*100)/E152)/100</f>
        <v>5.9101654846335696E-3</v>
      </c>
      <c r="E156" s="31"/>
      <c r="F156" s="13">
        <f>(((201)*100)/E152)/100</f>
        <v>0.23758865248226951</v>
      </c>
      <c r="G156" s="31">
        <f>(((9)*100)/E152)/100</f>
        <v>1.0638297872340425E-2</v>
      </c>
      <c r="H156" s="31"/>
    </row>
    <row r="157" spans="1:8">
      <c r="A157" s="39"/>
      <c r="B157" s="1" t="str">
        <f>G153</f>
        <v>van</v>
      </c>
      <c r="C157" s="4">
        <f>(((5)*100)/E152)/100</f>
        <v>5.9101654846335696E-3</v>
      </c>
      <c r="D157" s="36">
        <f>(((10)*100)/E152)/100</f>
        <v>1.1820330969267139E-2</v>
      </c>
      <c r="E157" s="36"/>
      <c r="F157" s="4">
        <f>(((7)*100)/E152)/100</f>
        <v>8.2742316784869974E-3</v>
      </c>
      <c r="G157" s="32">
        <f>(((177)*100)/E152)/100</f>
        <v>0.20921985815602839</v>
      </c>
      <c r="H157" s="32"/>
    </row>
    <row r="159" spans="1:8">
      <c r="A159" s="22" t="str">
        <f>A1</f>
        <v>k-folds</v>
      </c>
      <c r="B159" s="5" t="s">
        <v>60</v>
      </c>
      <c r="C159" s="7" t="s">
        <v>61</v>
      </c>
      <c r="D159" s="11" t="s">
        <v>2</v>
      </c>
      <c r="E159" s="33">
        <f>52+99</f>
        <v>151</v>
      </c>
      <c r="F159" s="34"/>
    </row>
    <row r="160" spans="1:8">
      <c r="A160" s="39">
        <v>2</v>
      </c>
      <c r="B160" s="6" t="str">
        <f>B2</f>
        <v>↓ Real      Escolhido →</v>
      </c>
      <c r="C160" s="9">
        <v>1</v>
      </c>
      <c r="D160" s="30">
        <v>2</v>
      </c>
      <c r="E160" s="30"/>
      <c r="F160" s="9">
        <v>3</v>
      </c>
    </row>
    <row r="161" spans="1:6">
      <c r="A161" s="39"/>
      <c r="B161" s="1">
        <f>C160</f>
        <v>1</v>
      </c>
      <c r="C161" s="13">
        <f>(((25)*100)/E159)/100</f>
        <v>0.16556291390728475</v>
      </c>
      <c r="D161" s="31">
        <f>(((12)*100)/E159)/100</f>
        <v>7.9470198675496692E-2</v>
      </c>
      <c r="E161" s="31"/>
      <c r="F161" s="15">
        <f>(((12)*100)/E159)/100</f>
        <v>7.9470198675496692E-2</v>
      </c>
    </row>
    <row r="162" spans="1:6">
      <c r="A162" s="39"/>
      <c r="B162" s="1">
        <f>D160</f>
        <v>2</v>
      </c>
      <c r="C162" s="4">
        <f>(((13)*100)/E159)/100</f>
        <v>8.6092715231788089E-2</v>
      </c>
      <c r="D162" s="32">
        <f>(((27)*100)/E159)/100</f>
        <v>0.17880794701986755</v>
      </c>
      <c r="E162" s="32"/>
      <c r="F162" s="4">
        <f>(((10)*100)/E159)/100</f>
        <v>6.6225165562913912E-2</v>
      </c>
    </row>
    <row r="163" spans="1:6">
      <c r="A163" s="39"/>
      <c r="B163" s="1">
        <f>F160</f>
        <v>3</v>
      </c>
      <c r="C163" s="15">
        <f>(((12)*100)/E159)/100</f>
        <v>7.9470198675496692E-2</v>
      </c>
      <c r="D163" s="31">
        <f>(((5)*100)/E159)/100</f>
        <v>3.3112582781456956E-2</v>
      </c>
      <c r="E163" s="31"/>
      <c r="F163" s="13">
        <f>(((35)*100)/E159)/100</f>
        <v>0.23178807947019867</v>
      </c>
    </row>
    <row r="165" spans="1:6">
      <c r="A165" s="22" t="str">
        <f>A1</f>
        <v>k-folds</v>
      </c>
      <c r="B165" s="5" t="s">
        <v>60</v>
      </c>
      <c r="C165" s="7" t="s">
        <v>61</v>
      </c>
      <c r="D165" s="11" t="s">
        <v>2</v>
      </c>
      <c r="E165" s="33">
        <f>52+99</f>
        <v>151</v>
      </c>
      <c r="F165" s="34"/>
    </row>
    <row r="166" spans="1:6">
      <c r="A166" s="39">
        <v>5</v>
      </c>
      <c r="B166" s="6" t="str">
        <f>B2</f>
        <v>↓ Real      Escolhido →</v>
      </c>
      <c r="C166" s="9">
        <v>1</v>
      </c>
      <c r="D166" s="30">
        <v>2</v>
      </c>
      <c r="E166" s="30"/>
      <c r="F166" s="9">
        <v>3</v>
      </c>
    </row>
    <row r="167" spans="1:6">
      <c r="A167" s="39"/>
      <c r="B167" s="1">
        <f>C166</f>
        <v>1</v>
      </c>
      <c r="C167" s="13">
        <f>(((29)*100)/E165)/100</f>
        <v>0.19205298013245034</v>
      </c>
      <c r="D167" s="31">
        <f>(((9)*100)/E165)/100</f>
        <v>5.9602649006622516E-2</v>
      </c>
      <c r="E167" s="31"/>
      <c r="F167" s="15">
        <f>(((11)*100)/E165)/100</f>
        <v>7.2847682119205295E-2</v>
      </c>
    </row>
    <row r="168" spans="1:6">
      <c r="A168" s="39"/>
      <c r="B168" s="1">
        <f>D166</f>
        <v>2</v>
      </c>
      <c r="C168" s="4">
        <f>(((13)*100)/E165)/100</f>
        <v>8.6092715231788089E-2</v>
      </c>
      <c r="D168" s="32">
        <f>(((28)*100)/E165)/100</f>
        <v>0.18543046357615892</v>
      </c>
      <c r="E168" s="32"/>
      <c r="F168" s="4">
        <f>(((9)*100)/E165)/100</f>
        <v>5.9602649006622516E-2</v>
      </c>
    </row>
    <row r="169" spans="1:6">
      <c r="A169" s="39"/>
      <c r="B169" s="1">
        <f>F166</f>
        <v>3</v>
      </c>
      <c r="C169" s="15">
        <f>(((11)*100)/E165)/100</f>
        <v>7.2847682119205295E-2</v>
      </c>
      <c r="D169" s="31">
        <f>(((6)*100)/E165)/100</f>
        <v>3.9735099337748346E-2</v>
      </c>
      <c r="E169" s="31"/>
      <c r="F169" s="13">
        <f>(((35)*100)/E165)/100</f>
        <v>0.23178807947019867</v>
      </c>
    </row>
  </sheetData>
  <mergeCells count="144">
    <mergeCell ref="G11:I11"/>
    <mergeCell ref="A12:A18"/>
    <mergeCell ref="D12:E12"/>
    <mergeCell ref="D13:E13"/>
    <mergeCell ref="D14:E14"/>
    <mergeCell ref="D15:E15"/>
    <mergeCell ref="D16:E16"/>
    <mergeCell ref="D17:E17"/>
    <mergeCell ref="D18:E18"/>
    <mergeCell ref="A2:A4"/>
    <mergeCell ref="D2:E2"/>
    <mergeCell ref="D3:E3"/>
    <mergeCell ref="D4:E4"/>
    <mergeCell ref="D11:F11"/>
    <mergeCell ref="A30:A32"/>
    <mergeCell ref="D30:E30"/>
    <mergeCell ref="D31:E31"/>
    <mergeCell ref="D32:E32"/>
    <mergeCell ref="D39:F39"/>
    <mergeCell ref="G39:J39"/>
    <mergeCell ref="A35:A37"/>
    <mergeCell ref="D35:E35"/>
    <mergeCell ref="D36:E36"/>
    <mergeCell ref="D37:E37"/>
    <mergeCell ref="A40:A47"/>
    <mergeCell ref="D40:E40"/>
    <mergeCell ref="D41:E41"/>
    <mergeCell ref="D42:E42"/>
    <mergeCell ref="D43:E43"/>
    <mergeCell ref="D44:E44"/>
    <mergeCell ref="D45:E45"/>
    <mergeCell ref="D46:E46"/>
    <mergeCell ref="D47:E47"/>
    <mergeCell ref="D156:E156"/>
    <mergeCell ref="G156:H156"/>
    <mergeCell ref="D157:E157"/>
    <mergeCell ref="D95:F95"/>
    <mergeCell ref="G95:X95"/>
    <mergeCell ref="A96:A118"/>
    <mergeCell ref="E145:H145"/>
    <mergeCell ref="A146:A150"/>
    <mergeCell ref="D146:E146"/>
    <mergeCell ref="G146:H146"/>
    <mergeCell ref="D147:E147"/>
    <mergeCell ref="G147:H147"/>
    <mergeCell ref="D148:E148"/>
    <mergeCell ref="A7:A9"/>
    <mergeCell ref="D7:E7"/>
    <mergeCell ref="D8:E8"/>
    <mergeCell ref="D9:E9"/>
    <mergeCell ref="D20:F20"/>
    <mergeCell ref="G148:H148"/>
    <mergeCell ref="D149:E149"/>
    <mergeCell ref="G149:H149"/>
    <mergeCell ref="D150:E150"/>
    <mergeCell ref="G150:H150"/>
    <mergeCell ref="E83:F83"/>
    <mergeCell ref="A84:A87"/>
    <mergeCell ref="D84:E84"/>
    <mergeCell ref="D85:E85"/>
    <mergeCell ref="D86:E86"/>
    <mergeCell ref="D87:E87"/>
    <mergeCell ref="D72:E72"/>
    <mergeCell ref="G72:H72"/>
    <mergeCell ref="D73:E73"/>
    <mergeCell ref="G73:H73"/>
    <mergeCell ref="D74:E74"/>
    <mergeCell ref="G74:H74"/>
    <mergeCell ref="A60:A62"/>
    <mergeCell ref="D60:E60"/>
    <mergeCell ref="G20:I20"/>
    <mergeCell ref="A21:A27"/>
    <mergeCell ref="D21:E21"/>
    <mergeCell ref="D22:E22"/>
    <mergeCell ref="D23:E23"/>
    <mergeCell ref="D24:E24"/>
    <mergeCell ref="D25:E25"/>
    <mergeCell ref="D26:E26"/>
    <mergeCell ref="D27:E27"/>
    <mergeCell ref="D57:E57"/>
    <mergeCell ref="A65:A67"/>
    <mergeCell ref="D65:E65"/>
    <mergeCell ref="D66:E66"/>
    <mergeCell ref="D67:E67"/>
    <mergeCell ref="E76:H76"/>
    <mergeCell ref="D49:F49"/>
    <mergeCell ref="G49:J49"/>
    <mergeCell ref="A50:A57"/>
    <mergeCell ref="D50:E50"/>
    <mergeCell ref="D51:E51"/>
    <mergeCell ref="D52:E52"/>
    <mergeCell ref="D53:E53"/>
    <mergeCell ref="D54:E54"/>
    <mergeCell ref="D55:E55"/>
    <mergeCell ref="D56:E56"/>
    <mergeCell ref="D61:E61"/>
    <mergeCell ref="D62:E62"/>
    <mergeCell ref="E69:H69"/>
    <mergeCell ref="A70:A74"/>
    <mergeCell ref="D70:E70"/>
    <mergeCell ref="G70:H70"/>
    <mergeCell ref="D71:E71"/>
    <mergeCell ref="G71:H71"/>
    <mergeCell ref="G81:H81"/>
    <mergeCell ref="E89:F89"/>
    <mergeCell ref="A90:A93"/>
    <mergeCell ref="D90:E90"/>
    <mergeCell ref="D91:E91"/>
    <mergeCell ref="D92:E92"/>
    <mergeCell ref="D93:E93"/>
    <mergeCell ref="A77:A81"/>
    <mergeCell ref="D77:E77"/>
    <mergeCell ref="G77:H77"/>
    <mergeCell ref="D78:E78"/>
    <mergeCell ref="G78:H78"/>
    <mergeCell ref="D79:E79"/>
    <mergeCell ref="G79:H79"/>
    <mergeCell ref="D80:E80"/>
    <mergeCell ref="G80:H80"/>
    <mergeCell ref="D81:E81"/>
    <mergeCell ref="G157:H157"/>
    <mergeCell ref="E165:F165"/>
    <mergeCell ref="A166:A169"/>
    <mergeCell ref="D166:E166"/>
    <mergeCell ref="D167:E167"/>
    <mergeCell ref="D168:E168"/>
    <mergeCell ref="D169:E169"/>
    <mergeCell ref="D120:F120"/>
    <mergeCell ref="G120:X120"/>
    <mergeCell ref="A121:A143"/>
    <mergeCell ref="E152:H152"/>
    <mergeCell ref="A153:A157"/>
    <mergeCell ref="D153:E153"/>
    <mergeCell ref="G153:H153"/>
    <mergeCell ref="D154:E154"/>
    <mergeCell ref="G154:H154"/>
    <mergeCell ref="D155:E155"/>
    <mergeCell ref="A160:A163"/>
    <mergeCell ref="D160:E160"/>
    <mergeCell ref="D161:E161"/>
    <mergeCell ref="D162:E162"/>
    <mergeCell ref="D163:E163"/>
    <mergeCell ref="E159:F159"/>
    <mergeCell ref="G155:H155"/>
  </mergeCells>
  <phoneticPr fontId="8" type="noConversion"/>
  <pageMargins left="0.75" right="0.75" top="1" bottom="1" header="0.5" footer="0.5"/>
  <pageSetup paperSize="9" scale="2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workbookViewId="0">
      <selection sqref="A1:AS1"/>
    </sheetView>
  </sheetViews>
  <sheetFormatPr baseColWidth="10" defaultRowHeight="15" x14ac:dyDescent="0"/>
  <cols>
    <col min="1" max="2" width="3.1640625" bestFit="1" customWidth="1"/>
    <col min="3" max="3" width="2.1640625" bestFit="1" customWidth="1"/>
    <col min="4" max="5" width="2.1640625" customWidth="1"/>
    <col min="6" max="7" width="2.1640625" bestFit="1" customWidth="1"/>
    <col min="8" max="8" width="2.1640625" customWidth="1"/>
    <col min="9" max="11" width="2.1640625" bestFit="1" customWidth="1"/>
    <col min="12" max="17" width="2.1640625" customWidth="1"/>
    <col min="18" max="18" width="3.1640625" bestFit="1" customWidth="1"/>
    <col min="19" max="20" width="2.1640625" bestFit="1" customWidth="1"/>
    <col min="21" max="21" width="2.1640625" customWidth="1"/>
    <col min="22" max="22" width="3.1640625" bestFit="1" customWidth="1"/>
    <col min="24" max="25" width="3.1640625" customWidth="1"/>
    <col min="26" max="33" width="2.1640625" customWidth="1"/>
    <col min="34" max="35" width="3.1640625" customWidth="1"/>
    <col min="36" max="36" width="2.1640625" customWidth="1"/>
    <col min="37" max="37" width="3.1640625" customWidth="1"/>
    <col min="38" max="40" width="2.1640625" customWidth="1"/>
    <col min="41" max="41" width="3.1640625" customWidth="1"/>
    <col min="42" max="44" width="2.1640625" customWidth="1"/>
    <col min="45" max="45" width="3.1640625" bestFit="1" customWidth="1"/>
    <col min="47" max="47" width="25.5" customWidth="1"/>
    <col min="48" max="49" width="3.1640625" customWidth="1"/>
    <col min="50" max="57" width="2.1640625" customWidth="1"/>
    <col min="58" max="58" width="3.1640625" customWidth="1"/>
    <col min="59" max="64" width="2.1640625" customWidth="1"/>
    <col min="65" max="65" width="3.1640625" customWidth="1"/>
    <col min="66" max="68" width="2.1640625" customWidth="1"/>
    <col min="69" max="69" width="3.1640625" customWidth="1"/>
  </cols>
  <sheetData>
    <row r="1" spans="1:47">
      <c r="A1" s="42" t="s">
        <v>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7">
      <c r="A2" s="42" t="s">
        <v>63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X2" s="42" t="s">
        <v>64</v>
      </c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>
      <c r="A3" s="28" t="s">
        <v>65</v>
      </c>
      <c r="B3" s="28" t="s">
        <v>66</v>
      </c>
      <c r="C3" s="28" t="s">
        <v>67</v>
      </c>
      <c r="D3" s="28" t="s">
        <v>68</v>
      </c>
      <c r="E3" s="28" t="s">
        <v>69</v>
      </c>
      <c r="F3" s="28" t="s">
        <v>70</v>
      </c>
      <c r="G3" s="28" t="s">
        <v>71</v>
      </c>
      <c r="H3" s="28" t="s">
        <v>72</v>
      </c>
      <c r="I3" s="28" t="s">
        <v>73</v>
      </c>
      <c r="J3" s="28" t="s">
        <v>74</v>
      </c>
      <c r="K3" s="28" t="s">
        <v>75</v>
      </c>
      <c r="L3" s="28" t="s">
        <v>76</v>
      </c>
      <c r="M3" s="28" t="s">
        <v>77</v>
      </c>
      <c r="N3" s="28" t="s">
        <v>78</v>
      </c>
      <c r="O3" s="28" t="s">
        <v>79</v>
      </c>
      <c r="P3" s="28" t="s">
        <v>80</v>
      </c>
      <c r="Q3" s="28" t="s">
        <v>81</v>
      </c>
      <c r="R3" s="28" t="s">
        <v>82</v>
      </c>
      <c r="S3" s="28" t="s">
        <v>83</v>
      </c>
      <c r="T3" s="28" t="s">
        <v>84</v>
      </c>
      <c r="U3" s="28" t="s">
        <v>85</v>
      </c>
      <c r="V3" s="28" t="s">
        <v>86</v>
      </c>
      <c r="X3" s="28" t="s">
        <v>65</v>
      </c>
      <c r="Y3" s="28" t="s">
        <v>66</v>
      </c>
      <c r="Z3" s="28" t="s">
        <v>67</v>
      </c>
      <c r="AA3" s="28" t="s">
        <v>68</v>
      </c>
      <c r="AB3" s="28" t="s">
        <v>69</v>
      </c>
      <c r="AC3" s="28" t="s">
        <v>70</v>
      </c>
      <c r="AD3" s="28" t="s">
        <v>71</v>
      </c>
      <c r="AE3" s="28" t="s">
        <v>72</v>
      </c>
      <c r="AF3" s="28" t="s">
        <v>73</v>
      </c>
      <c r="AG3" s="28" t="s">
        <v>74</v>
      </c>
      <c r="AH3" s="28" t="s">
        <v>75</v>
      </c>
      <c r="AI3" s="28" t="s">
        <v>76</v>
      </c>
      <c r="AJ3" s="28" t="s">
        <v>77</v>
      </c>
      <c r="AK3" s="28" t="s">
        <v>78</v>
      </c>
      <c r="AL3" s="28" t="s">
        <v>79</v>
      </c>
      <c r="AM3" s="28" t="s">
        <v>80</v>
      </c>
      <c r="AN3" s="28" t="s">
        <v>81</v>
      </c>
      <c r="AO3" s="28" t="s">
        <v>82</v>
      </c>
      <c r="AP3" s="28" t="s">
        <v>83</v>
      </c>
      <c r="AQ3" s="28" t="s">
        <v>84</v>
      </c>
      <c r="AR3" s="28" t="s">
        <v>85</v>
      </c>
      <c r="AS3" s="28" t="s">
        <v>86</v>
      </c>
      <c r="AU3" s="41" t="s">
        <v>90</v>
      </c>
    </row>
    <row r="4" spans="1:47">
      <c r="A4" s="27">
        <v>60</v>
      </c>
      <c r="B4" s="27">
        <v>3</v>
      </c>
      <c r="C4" s="27">
        <v>1</v>
      </c>
      <c r="D4" s="27">
        <v>2</v>
      </c>
      <c r="E4" s="27">
        <v>3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7</v>
      </c>
      <c r="L4" s="27">
        <v>2</v>
      </c>
      <c r="M4" s="27">
        <v>0</v>
      </c>
      <c r="N4" s="27">
        <v>3</v>
      </c>
      <c r="O4" s="27">
        <v>0</v>
      </c>
      <c r="P4" s="27">
        <v>0</v>
      </c>
      <c r="Q4" s="27">
        <v>0</v>
      </c>
      <c r="R4" s="27">
        <v>2</v>
      </c>
      <c r="S4" s="27">
        <v>0</v>
      </c>
      <c r="T4" s="27">
        <v>0</v>
      </c>
      <c r="U4" s="27">
        <v>0</v>
      </c>
      <c r="V4" s="27">
        <v>1</v>
      </c>
      <c r="X4" s="27">
        <v>55</v>
      </c>
      <c r="Y4" s="27">
        <v>3</v>
      </c>
      <c r="Z4" s="27">
        <v>1</v>
      </c>
      <c r="AA4" s="27">
        <v>4</v>
      </c>
      <c r="AB4" s="27">
        <v>2</v>
      </c>
      <c r="AC4" s="27">
        <v>0</v>
      </c>
      <c r="AD4" s="27">
        <v>1</v>
      </c>
      <c r="AE4" s="27">
        <v>0</v>
      </c>
      <c r="AF4" s="27">
        <v>0</v>
      </c>
      <c r="AG4" s="27">
        <v>0</v>
      </c>
      <c r="AH4" s="27">
        <v>6</v>
      </c>
      <c r="AI4" s="27">
        <v>3</v>
      </c>
      <c r="AJ4" s="27">
        <v>0</v>
      </c>
      <c r="AK4" s="27">
        <v>4</v>
      </c>
      <c r="AL4" s="27">
        <v>0</v>
      </c>
      <c r="AM4" s="27">
        <v>0</v>
      </c>
      <c r="AN4" s="27">
        <v>1</v>
      </c>
      <c r="AO4" s="27">
        <v>2</v>
      </c>
      <c r="AP4" s="27">
        <v>0</v>
      </c>
      <c r="AQ4" s="27">
        <v>0</v>
      </c>
      <c r="AR4" s="27">
        <v>0</v>
      </c>
      <c r="AS4" s="27">
        <v>2</v>
      </c>
      <c r="AU4" s="41"/>
    </row>
    <row r="5" spans="1:47">
      <c r="A5" s="27">
        <v>1</v>
      </c>
      <c r="B5" s="27">
        <v>19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X5" s="27">
        <v>1</v>
      </c>
      <c r="Y5" s="27">
        <v>19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U5" s="41"/>
    </row>
    <row r="6" spans="1:47">
      <c r="A6" s="27">
        <v>5</v>
      </c>
      <c r="B6" s="27">
        <v>1</v>
      </c>
      <c r="C6" s="27">
        <v>0</v>
      </c>
      <c r="D6" s="27">
        <v>1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1</v>
      </c>
      <c r="L6" s="27">
        <v>0</v>
      </c>
      <c r="M6" s="27">
        <v>0</v>
      </c>
      <c r="N6" s="27">
        <v>1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X6" s="27">
        <v>6</v>
      </c>
      <c r="Y6" s="27">
        <v>1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1</v>
      </c>
      <c r="AI6" s="27">
        <v>0</v>
      </c>
      <c r="AJ6" s="27">
        <v>0</v>
      </c>
      <c r="AK6" s="27">
        <v>1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U6" s="41"/>
    </row>
    <row r="7" spans="1:47">
      <c r="A7" s="27">
        <v>4</v>
      </c>
      <c r="B7" s="27">
        <v>0</v>
      </c>
      <c r="C7" s="27">
        <v>0</v>
      </c>
      <c r="D7" s="27">
        <v>3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5</v>
      </c>
      <c r="O7" s="27">
        <v>0</v>
      </c>
      <c r="P7" s="27">
        <v>0</v>
      </c>
      <c r="Q7" s="27">
        <v>1</v>
      </c>
      <c r="R7" s="27">
        <v>0</v>
      </c>
      <c r="S7" s="27">
        <v>0</v>
      </c>
      <c r="T7" s="27">
        <v>0</v>
      </c>
      <c r="U7" s="27">
        <v>0</v>
      </c>
      <c r="V7" s="27">
        <v>1</v>
      </c>
      <c r="X7" s="27">
        <v>3</v>
      </c>
      <c r="Y7" s="27">
        <v>1</v>
      </c>
      <c r="Z7" s="27">
        <v>1</v>
      </c>
      <c r="AA7" s="27">
        <v>2</v>
      </c>
      <c r="AB7" s="27">
        <v>1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6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U7" s="41"/>
    </row>
    <row r="8" spans="1:47">
      <c r="A8" s="27">
        <v>3</v>
      </c>
      <c r="B8" s="27">
        <v>0</v>
      </c>
      <c r="C8" s="27">
        <v>0</v>
      </c>
      <c r="D8" s="27">
        <v>0</v>
      </c>
      <c r="E8" s="27">
        <v>11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5</v>
      </c>
      <c r="L8" s="27">
        <v>3</v>
      </c>
      <c r="M8" s="27">
        <v>0</v>
      </c>
      <c r="N8" s="27">
        <v>5</v>
      </c>
      <c r="O8" s="27">
        <v>0</v>
      </c>
      <c r="P8" s="27">
        <v>0</v>
      </c>
      <c r="Q8" s="27">
        <v>0</v>
      </c>
      <c r="R8" s="27">
        <v>8</v>
      </c>
      <c r="S8" s="27">
        <v>0</v>
      </c>
      <c r="T8" s="27">
        <v>1</v>
      </c>
      <c r="U8" s="27">
        <v>0</v>
      </c>
      <c r="V8" s="27">
        <v>3</v>
      </c>
      <c r="X8" s="27">
        <v>7</v>
      </c>
      <c r="Y8" s="27">
        <v>0</v>
      </c>
      <c r="Z8" s="27">
        <v>0</v>
      </c>
      <c r="AA8" s="27">
        <v>0</v>
      </c>
      <c r="AB8" s="27">
        <v>7</v>
      </c>
      <c r="AC8" s="27">
        <v>1</v>
      </c>
      <c r="AD8" s="27">
        <v>0</v>
      </c>
      <c r="AE8" s="27">
        <v>0</v>
      </c>
      <c r="AF8" s="27">
        <v>0</v>
      </c>
      <c r="AG8" s="27">
        <v>0</v>
      </c>
      <c r="AH8" s="27">
        <v>6</v>
      </c>
      <c r="AI8" s="27">
        <v>3</v>
      </c>
      <c r="AJ8" s="27">
        <v>0</v>
      </c>
      <c r="AK8" s="27">
        <v>4</v>
      </c>
      <c r="AL8" s="27">
        <v>0</v>
      </c>
      <c r="AM8" s="27">
        <v>0</v>
      </c>
      <c r="AN8" s="27">
        <v>0</v>
      </c>
      <c r="AO8" s="27">
        <v>8</v>
      </c>
      <c r="AP8" s="27">
        <v>0</v>
      </c>
      <c r="AQ8" s="27">
        <v>0</v>
      </c>
      <c r="AR8" s="27">
        <v>0</v>
      </c>
      <c r="AS8" s="27">
        <v>3</v>
      </c>
      <c r="AU8" s="41"/>
    </row>
    <row r="9" spans="1:47">
      <c r="A9" s="27">
        <v>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1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U9" s="41"/>
    </row>
    <row r="10" spans="1:47">
      <c r="A10" s="27">
        <v>1</v>
      </c>
      <c r="B10" s="27">
        <v>0</v>
      </c>
      <c r="C10" s="27">
        <v>0</v>
      </c>
      <c r="D10" s="27">
        <v>0</v>
      </c>
      <c r="E10" s="27">
        <v>3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3</v>
      </c>
      <c r="L10" s="27">
        <v>5</v>
      </c>
      <c r="M10" s="27">
        <v>0</v>
      </c>
      <c r="N10" s="27">
        <v>1</v>
      </c>
      <c r="O10" s="27">
        <v>0</v>
      </c>
      <c r="P10" s="27">
        <v>0</v>
      </c>
      <c r="Q10" s="27">
        <v>0</v>
      </c>
      <c r="R10" s="27">
        <v>1</v>
      </c>
      <c r="S10" s="27">
        <v>0</v>
      </c>
      <c r="T10" s="27">
        <v>0</v>
      </c>
      <c r="U10" s="27">
        <v>0</v>
      </c>
      <c r="V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7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1</v>
      </c>
      <c r="AI10" s="27">
        <v>5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1</v>
      </c>
      <c r="AP10" s="27">
        <v>0</v>
      </c>
      <c r="AQ10" s="27">
        <v>0</v>
      </c>
      <c r="AR10" s="27">
        <v>0</v>
      </c>
      <c r="AS10" s="27">
        <v>0</v>
      </c>
    </row>
    <row r="11" spans="1:47">
      <c r="A11" s="27">
        <v>0</v>
      </c>
      <c r="B11" s="27">
        <v>1</v>
      </c>
      <c r="C11" s="27">
        <v>0</v>
      </c>
      <c r="D11" s="27">
        <v>0</v>
      </c>
      <c r="E11" s="27">
        <v>2</v>
      </c>
      <c r="F11" s="27">
        <v>0</v>
      </c>
      <c r="G11" s="27">
        <v>0</v>
      </c>
      <c r="H11" s="27">
        <v>1</v>
      </c>
      <c r="I11" s="27">
        <v>0</v>
      </c>
      <c r="J11" s="27">
        <v>0</v>
      </c>
      <c r="K11" s="27">
        <v>1</v>
      </c>
      <c r="L11" s="27">
        <v>0</v>
      </c>
      <c r="M11" s="27">
        <v>0</v>
      </c>
      <c r="N11" s="27">
        <v>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X11" s="27">
        <v>0</v>
      </c>
      <c r="Y11" s="27">
        <v>1</v>
      </c>
      <c r="Z11" s="27">
        <v>0</v>
      </c>
      <c r="AA11" s="27">
        <v>0</v>
      </c>
      <c r="AB11" s="27">
        <v>3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1</v>
      </c>
      <c r="AI11" s="27">
        <v>0</v>
      </c>
      <c r="AJ11" s="27">
        <v>0</v>
      </c>
      <c r="AK11" s="27">
        <v>1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</row>
    <row r="12" spans="1:47">
      <c r="A12" s="27">
        <v>0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</row>
    <row r="13" spans="1:47">
      <c r="A13" s="27">
        <v>1</v>
      </c>
      <c r="B13" s="27">
        <v>1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X13" s="27">
        <v>1</v>
      </c>
      <c r="Y13" s="27">
        <v>1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</row>
    <row r="14" spans="1:47">
      <c r="A14" s="27">
        <v>4</v>
      </c>
      <c r="B14" s="27">
        <v>0</v>
      </c>
      <c r="C14" s="27">
        <v>0</v>
      </c>
      <c r="D14" s="27">
        <v>0</v>
      </c>
      <c r="E14" s="27">
        <v>4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9</v>
      </c>
      <c r="L14" s="27">
        <v>6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5</v>
      </c>
      <c r="S14" s="27">
        <v>0</v>
      </c>
      <c r="T14" s="27">
        <v>0</v>
      </c>
      <c r="U14" s="27">
        <v>0</v>
      </c>
      <c r="V14" s="27">
        <v>0</v>
      </c>
      <c r="X14" s="27">
        <v>5</v>
      </c>
      <c r="Y14" s="27">
        <v>0</v>
      </c>
      <c r="Z14" s="27">
        <v>0</v>
      </c>
      <c r="AA14" s="27">
        <v>0</v>
      </c>
      <c r="AB14" s="27">
        <v>2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10</v>
      </c>
      <c r="AI14" s="27">
        <v>5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6</v>
      </c>
      <c r="AP14" s="27">
        <v>0</v>
      </c>
      <c r="AQ14" s="27">
        <v>0</v>
      </c>
      <c r="AR14" s="27">
        <v>0</v>
      </c>
      <c r="AS14" s="27">
        <v>0</v>
      </c>
    </row>
    <row r="15" spans="1:47">
      <c r="A15" s="27">
        <v>0</v>
      </c>
      <c r="B15" s="27">
        <v>0</v>
      </c>
      <c r="C15" s="27">
        <v>0</v>
      </c>
      <c r="D15" s="27">
        <v>0</v>
      </c>
      <c r="E15" s="27">
        <v>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3</v>
      </c>
      <c r="L15" s="27">
        <v>11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1</v>
      </c>
      <c r="S15" s="27">
        <v>0</v>
      </c>
      <c r="T15" s="27">
        <v>0</v>
      </c>
      <c r="U15" s="27">
        <v>0</v>
      </c>
      <c r="V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1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1</v>
      </c>
      <c r="AI15" s="27">
        <v>11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2</v>
      </c>
      <c r="AP15" s="27">
        <v>1</v>
      </c>
      <c r="AQ15" s="27">
        <v>0</v>
      </c>
      <c r="AR15" s="27">
        <v>0</v>
      </c>
      <c r="AS15" s="27">
        <v>0</v>
      </c>
    </row>
    <row r="16" spans="1:47">
      <c r="A16" s="27">
        <v>2</v>
      </c>
      <c r="B16" s="27">
        <v>0</v>
      </c>
      <c r="C16" s="27">
        <v>0</v>
      </c>
      <c r="D16" s="27">
        <v>1</v>
      </c>
      <c r="E16" s="27">
        <v>0</v>
      </c>
      <c r="F16" s="27">
        <v>0</v>
      </c>
      <c r="G16" s="27">
        <v>1</v>
      </c>
      <c r="H16" s="27">
        <v>0</v>
      </c>
      <c r="I16" s="27">
        <v>0</v>
      </c>
      <c r="J16" s="27">
        <v>0</v>
      </c>
      <c r="K16" s="27">
        <v>0</v>
      </c>
      <c r="L16" s="27">
        <v>2</v>
      </c>
      <c r="M16" s="27">
        <v>0</v>
      </c>
      <c r="N16" s="27">
        <v>1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X16" s="27">
        <v>2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1</v>
      </c>
      <c r="AI16" s="27">
        <v>2</v>
      </c>
      <c r="AJ16" s="27">
        <v>0</v>
      </c>
      <c r="AK16" s="27">
        <v>2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</row>
    <row r="17" spans="1:45">
      <c r="A17" s="27">
        <v>4</v>
      </c>
      <c r="B17" s="27">
        <v>0</v>
      </c>
      <c r="C17" s="27">
        <v>0</v>
      </c>
      <c r="D17" s="27">
        <v>2</v>
      </c>
      <c r="E17" s="27">
        <v>4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2</v>
      </c>
      <c r="L17" s="27">
        <v>1</v>
      </c>
      <c r="M17" s="27">
        <v>0</v>
      </c>
      <c r="N17" s="27">
        <v>10</v>
      </c>
      <c r="O17" s="27">
        <v>0</v>
      </c>
      <c r="P17" s="27">
        <v>0</v>
      </c>
      <c r="Q17" s="27">
        <v>0</v>
      </c>
      <c r="R17" s="27">
        <v>1</v>
      </c>
      <c r="S17" s="27">
        <v>0</v>
      </c>
      <c r="T17" s="27">
        <v>0</v>
      </c>
      <c r="U17" s="27">
        <v>0</v>
      </c>
      <c r="V17" s="27">
        <v>0</v>
      </c>
      <c r="X17" s="27">
        <v>3</v>
      </c>
      <c r="Y17" s="27">
        <v>0</v>
      </c>
      <c r="Z17" s="27">
        <v>0</v>
      </c>
      <c r="AA17" s="27">
        <v>1</v>
      </c>
      <c r="AB17" s="27">
        <v>5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2</v>
      </c>
      <c r="AI17" s="27">
        <v>1</v>
      </c>
      <c r="AJ17" s="27">
        <v>1</v>
      </c>
      <c r="AK17" s="27">
        <v>10</v>
      </c>
      <c r="AL17" s="27">
        <v>0</v>
      </c>
      <c r="AM17" s="27">
        <v>0</v>
      </c>
      <c r="AN17" s="27">
        <v>0</v>
      </c>
      <c r="AO17" s="27">
        <v>1</v>
      </c>
      <c r="AP17" s="27">
        <v>0</v>
      </c>
      <c r="AQ17" s="27">
        <v>0</v>
      </c>
      <c r="AR17" s="27">
        <v>0</v>
      </c>
      <c r="AS17" s="27">
        <v>0</v>
      </c>
    </row>
    <row r="18" spans="1:45">
      <c r="A18" s="27">
        <v>1</v>
      </c>
      <c r="B18" s="27">
        <v>0</v>
      </c>
      <c r="C18" s="27">
        <v>0</v>
      </c>
      <c r="D18" s="27">
        <v>0</v>
      </c>
      <c r="E18" s="27">
        <v>1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X18" s="27">
        <v>1</v>
      </c>
      <c r="Y18" s="27">
        <v>0</v>
      </c>
      <c r="Z18" s="27">
        <v>0</v>
      </c>
      <c r="AA18" s="27">
        <v>0</v>
      </c>
      <c r="AB18" s="27">
        <v>1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</row>
    <row r="19" spans="1:45">
      <c r="A19" s="27">
        <v>0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1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1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</row>
    <row r="20" spans="1:45">
      <c r="A20" s="27">
        <v>0</v>
      </c>
      <c r="B20" s="27">
        <v>1</v>
      </c>
      <c r="C20" s="27">
        <v>0</v>
      </c>
      <c r="D20" s="27">
        <v>1</v>
      </c>
      <c r="E20" s="27">
        <v>1</v>
      </c>
      <c r="F20" s="27">
        <v>0</v>
      </c>
      <c r="G20" s="27">
        <v>1</v>
      </c>
      <c r="H20" s="27">
        <v>0</v>
      </c>
      <c r="I20" s="27">
        <v>0</v>
      </c>
      <c r="J20" s="27">
        <v>0</v>
      </c>
      <c r="K20" s="27">
        <v>1</v>
      </c>
      <c r="L20" s="27">
        <v>0</v>
      </c>
      <c r="M20" s="27">
        <v>0</v>
      </c>
      <c r="N20" s="27">
        <v>3</v>
      </c>
      <c r="O20" s="27">
        <v>0</v>
      </c>
      <c r="P20" s="27">
        <v>0</v>
      </c>
      <c r="Q20" s="27">
        <v>2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X20" s="27">
        <v>0</v>
      </c>
      <c r="Y20" s="27">
        <v>1</v>
      </c>
      <c r="Z20" s="27">
        <v>0</v>
      </c>
      <c r="AA20" s="27">
        <v>1</v>
      </c>
      <c r="AB20" s="27">
        <v>1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2</v>
      </c>
      <c r="AI20" s="27">
        <v>0</v>
      </c>
      <c r="AJ20" s="27">
        <v>0</v>
      </c>
      <c r="AK20" s="27">
        <v>3</v>
      </c>
      <c r="AL20" s="27">
        <v>0</v>
      </c>
      <c r="AM20" s="27">
        <v>0</v>
      </c>
      <c r="AN20" s="27">
        <v>2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</row>
    <row r="21" spans="1:45">
      <c r="A21" s="27">
        <v>0</v>
      </c>
      <c r="B21" s="27">
        <v>0</v>
      </c>
      <c r="C21" s="27">
        <v>0</v>
      </c>
      <c r="D21" s="27">
        <v>0</v>
      </c>
      <c r="E21" s="27">
        <v>1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1</v>
      </c>
      <c r="L21" s="27">
        <v>2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25</v>
      </c>
      <c r="S21" s="27">
        <v>0</v>
      </c>
      <c r="T21" s="27">
        <v>0</v>
      </c>
      <c r="U21" s="27">
        <v>0</v>
      </c>
      <c r="V21" s="27">
        <v>0</v>
      </c>
      <c r="X21" s="27">
        <v>1</v>
      </c>
      <c r="Y21" s="27">
        <v>0</v>
      </c>
      <c r="Z21" s="27">
        <v>0</v>
      </c>
      <c r="AA21" s="27">
        <v>0</v>
      </c>
      <c r="AB21" s="27">
        <v>1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1</v>
      </c>
      <c r="AI21" s="27">
        <v>2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24</v>
      </c>
      <c r="AP21" s="27">
        <v>0</v>
      </c>
      <c r="AQ21" s="27">
        <v>0</v>
      </c>
      <c r="AR21" s="27">
        <v>0</v>
      </c>
      <c r="AS21" s="27">
        <v>0</v>
      </c>
    </row>
    <row r="22" spans="1:45">
      <c r="A22" s="27">
        <v>0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1</v>
      </c>
      <c r="H22" s="27">
        <v>0</v>
      </c>
      <c r="I22" s="27">
        <v>0</v>
      </c>
      <c r="J22" s="27">
        <v>0</v>
      </c>
      <c r="K22" s="27">
        <v>3</v>
      </c>
      <c r="L22" s="27">
        <v>1</v>
      </c>
      <c r="M22" s="27">
        <v>0</v>
      </c>
      <c r="N22" s="27">
        <v>1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X22" s="27">
        <v>1</v>
      </c>
      <c r="Y22" s="27">
        <v>0</v>
      </c>
      <c r="Z22" s="27">
        <v>0</v>
      </c>
      <c r="AA22" s="27">
        <v>0</v>
      </c>
      <c r="AB22" s="27">
        <v>2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2</v>
      </c>
      <c r="AI22" s="27">
        <v>1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</row>
    <row r="23" spans="1:45">
      <c r="A23" s="27">
        <v>0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1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1</v>
      </c>
      <c r="T23" s="27">
        <v>0</v>
      </c>
      <c r="U23" s="27">
        <v>0</v>
      </c>
      <c r="V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1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1</v>
      </c>
      <c r="AQ23" s="27">
        <v>0</v>
      </c>
      <c r="AR23" s="27">
        <v>0</v>
      </c>
      <c r="AS23" s="27">
        <v>0</v>
      </c>
    </row>
    <row r="24" spans="1:45">
      <c r="A24" s="27">
        <v>1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1</v>
      </c>
      <c r="AQ24" s="27">
        <v>0</v>
      </c>
      <c r="AR24" s="27">
        <v>0</v>
      </c>
      <c r="AS24" s="27">
        <v>0</v>
      </c>
    </row>
    <row r="25" spans="1:45">
      <c r="A25" s="27">
        <v>1</v>
      </c>
      <c r="B25" s="27">
        <v>0</v>
      </c>
      <c r="C25" s="27">
        <v>1</v>
      </c>
      <c r="D25" s="27">
        <v>1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1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1</v>
      </c>
      <c r="S25" s="27">
        <v>0</v>
      </c>
      <c r="T25" s="27">
        <v>0</v>
      </c>
      <c r="U25" s="27">
        <v>0</v>
      </c>
      <c r="V25" s="27">
        <v>19</v>
      </c>
      <c r="X25" s="27">
        <v>0</v>
      </c>
      <c r="Y25" s="27">
        <v>0</v>
      </c>
      <c r="Z25" s="27">
        <v>1</v>
      </c>
      <c r="AA25" s="27">
        <v>1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1</v>
      </c>
      <c r="AI25" s="27">
        <v>0</v>
      </c>
      <c r="AJ25" s="27">
        <v>0</v>
      </c>
      <c r="AK25" s="27">
        <v>1</v>
      </c>
      <c r="AL25" s="27">
        <v>0</v>
      </c>
      <c r="AM25" s="27">
        <v>0</v>
      </c>
      <c r="AN25" s="27">
        <v>0</v>
      </c>
      <c r="AO25" s="27">
        <v>1</v>
      </c>
      <c r="AP25" s="27">
        <v>0</v>
      </c>
      <c r="AQ25" s="27">
        <v>1</v>
      </c>
      <c r="AR25" s="27">
        <v>0</v>
      </c>
      <c r="AS25" s="27">
        <v>18</v>
      </c>
    </row>
    <row r="26" spans="1:45">
      <c r="A26" t="s">
        <v>62</v>
      </c>
    </row>
    <row r="27" spans="1:45">
      <c r="A27" s="42" t="s">
        <v>88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26"/>
      <c r="X27" s="42" t="s">
        <v>91</v>
      </c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</row>
    <row r="28" spans="1:45">
      <c r="A28" s="42" t="s">
        <v>89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X28" s="42" t="s">
        <v>64</v>
      </c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</row>
    <row r="29" spans="1:45">
      <c r="A29" s="28" t="s">
        <v>65</v>
      </c>
      <c r="B29" s="28" t="s">
        <v>66</v>
      </c>
      <c r="C29" s="28" t="s">
        <v>67</v>
      </c>
      <c r="D29" s="28" t="s">
        <v>68</v>
      </c>
      <c r="E29" s="28" t="s">
        <v>69</v>
      </c>
      <c r="F29" s="28" t="s">
        <v>70</v>
      </c>
      <c r="G29" s="28" t="s">
        <v>71</v>
      </c>
      <c r="H29" s="28" t="s">
        <v>72</v>
      </c>
      <c r="I29" s="28" t="s">
        <v>73</v>
      </c>
      <c r="J29" s="28" t="s">
        <v>74</v>
      </c>
      <c r="K29" s="28" t="s">
        <v>75</v>
      </c>
      <c r="L29" s="28" t="s">
        <v>76</v>
      </c>
      <c r="M29" s="28" t="s">
        <v>77</v>
      </c>
      <c r="N29" s="28" t="s">
        <v>78</v>
      </c>
      <c r="O29" s="28" t="s">
        <v>79</v>
      </c>
      <c r="P29" s="28" t="s">
        <v>80</v>
      </c>
      <c r="Q29" s="28" t="s">
        <v>81</v>
      </c>
      <c r="R29" s="28" t="s">
        <v>82</v>
      </c>
      <c r="S29" s="28" t="s">
        <v>83</v>
      </c>
      <c r="T29" s="28" t="s">
        <v>84</v>
      </c>
      <c r="U29" s="28" t="s">
        <v>85</v>
      </c>
      <c r="V29" s="28" t="s">
        <v>86</v>
      </c>
      <c r="X29" s="28" t="s">
        <v>65</v>
      </c>
      <c r="Y29" s="28" t="s">
        <v>66</v>
      </c>
      <c r="Z29" s="28" t="s">
        <v>67</v>
      </c>
      <c r="AA29" s="28" t="s">
        <v>68</v>
      </c>
      <c r="AB29" s="28" t="s">
        <v>69</v>
      </c>
      <c r="AC29" s="28" t="s">
        <v>70</v>
      </c>
      <c r="AD29" s="28" t="s">
        <v>71</v>
      </c>
      <c r="AE29" s="28" t="s">
        <v>72</v>
      </c>
      <c r="AF29" s="28" t="s">
        <v>73</v>
      </c>
      <c r="AG29" s="28" t="s">
        <v>74</v>
      </c>
      <c r="AH29" s="28" t="s">
        <v>75</v>
      </c>
      <c r="AI29" s="28" t="s">
        <v>76</v>
      </c>
      <c r="AJ29" s="28" t="s">
        <v>77</v>
      </c>
      <c r="AK29" s="28" t="s">
        <v>78</v>
      </c>
      <c r="AL29" s="28" t="s">
        <v>79</v>
      </c>
      <c r="AM29" s="28" t="s">
        <v>80</v>
      </c>
      <c r="AN29" s="28" t="s">
        <v>81</v>
      </c>
      <c r="AO29" s="28" t="s">
        <v>82</v>
      </c>
      <c r="AP29" s="28" t="s">
        <v>83</v>
      </c>
      <c r="AQ29" s="28" t="s">
        <v>84</v>
      </c>
      <c r="AR29" s="28" t="s">
        <v>85</v>
      </c>
      <c r="AS29" s="28" t="s">
        <v>86</v>
      </c>
    </row>
    <row r="30" spans="1:45">
      <c r="A30" s="27">
        <v>56</v>
      </c>
      <c r="B30" s="27">
        <v>4</v>
      </c>
      <c r="C30" s="27">
        <v>1</v>
      </c>
      <c r="D30" s="27">
        <v>3</v>
      </c>
      <c r="E30" s="27">
        <v>4</v>
      </c>
      <c r="F30" s="27">
        <v>0</v>
      </c>
      <c r="G30" s="27">
        <v>2</v>
      </c>
      <c r="H30" s="27">
        <v>0</v>
      </c>
      <c r="I30" s="27">
        <v>0</v>
      </c>
      <c r="J30" s="27">
        <v>0</v>
      </c>
      <c r="K30" s="27">
        <v>4</v>
      </c>
      <c r="L30" s="27">
        <v>1</v>
      </c>
      <c r="M30" s="27">
        <v>0</v>
      </c>
      <c r="N30" s="27">
        <v>5</v>
      </c>
      <c r="O30" s="27">
        <v>0</v>
      </c>
      <c r="P30" s="27">
        <v>0</v>
      </c>
      <c r="Q30" s="27">
        <v>1</v>
      </c>
      <c r="R30" s="27">
        <v>2</v>
      </c>
      <c r="S30" s="27">
        <v>0</v>
      </c>
      <c r="T30" s="27">
        <v>0</v>
      </c>
      <c r="U30" s="27">
        <v>0</v>
      </c>
      <c r="V30" s="27">
        <v>1</v>
      </c>
      <c r="X30" s="27">
        <v>57</v>
      </c>
      <c r="Y30" s="27">
        <v>2</v>
      </c>
      <c r="Z30" s="27">
        <v>2</v>
      </c>
      <c r="AA30" s="27">
        <v>2</v>
      </c>
      <c r="AB30" s="27">
        <v>2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4</v>
      </c>
      <c r="AI30" s="27">
        <v>1</v>
      </c>
      <c r="AJ30" s="27">
        <v>0</v>
      </c>
      <c r="AK30" s="27">
        <v>6</v>
      </c>
      <c r="AL30" s="27">
        <v>0</v>
      </c>
      <c r="AM30" s="27">
        <v>0</v>
      </c>
      <c r="AN30" s="27">
        <v>1</v>
      </c>
      <c r="AO30" s="27">
        <v>2</v>
      </c>
      <c r="AP30" s="27">
        <v>1</v>
      </c>
      <c r="AQ30" s="27">
        <v>0</v>
      </c>
      <c r="AR30" s="27">
        <v>0</v>
      </c>
      <c r="AS30" s="27">
        <v>4</v>
      </c>
    </row>
    <row r="31" spans="1:45">
      <c r="A31" s="27">
        <v>2</v>
      </c>
      <c r="B31" s="27">
        <v>18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X31" s="27">
        <v>2</v>
      </c>
      <c r="Y31" s="27">
        <v>17</v>
      </c>
      <c r="Z31" s="27">
        <v>1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</row>
    <row r="32" spans="1:45">
      <c r="A32" s="27">
        <v>5</v>
      </c>
      <c r="B32" s="27">
        <v>1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2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1</v>
      </c>
      <c r="X32" s="27">
        <v>5</v>
      </c>
      <c r="Y32" s="27">
        <v>2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1</v>
      </c>
      <c r="AI32" s="27">
        <v>0</v>
      </c>
      <c r="AJ32" s="27">
        <v>0</v>
      </c>
      <c r="AK32" s="27">
        <v>1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</row>
    <row r="33" spans="1:45">
      <c r="A33" s="27">
        <v>7</v>
      </c>
      <c r="B33" s="27">
        <v>0</v>
      </c>
      <c r="C33" s="27">
        <v>0</v>
      </c>
      <c r="D33" s="27">
        <v>3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3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1</v>
      </c>
      <c r="X33" s="27">
        <v>2</v>
      </c>
      <c r="Y33" s="27">
        <v>1</v>
      </c>
      <c r="Z33" s="27">
        <v>0</v>
      </c>
      <c r="AA33" s="27">
        <v>4</v>
      </c>
      <c r="AB33" s="27">
        <v>1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2</v>
      </c>
      <c r="AL33" s="27">
        <v>1</v>
      </c>
      <c r="AM33" s="27">
        <v>0</v>
      </c>
      <c r="AN33" s="27">
        <v>2</v>
      </c>
      <c r="AO33" s="27">
        <v>0</v>
      </c>
      <c r="AP33" s="27">
        <v>0</v>
      </c>
      <c r="AQ33" s="27">
        <v>0</v>
      </c>
      <c r="AR33" s="27">
        <v>0</v>
      </c>
      <c r="AS33" s="27">
        <v>1</v>
      </c>
    </row>
    <row r="34" spans="1:45">
      <c r="A34" s="27">
        <v>10</v>
      </c>
      <c r="B34" s="27">
        <v>0</v>
      </c>
      <c r="C34" s="27">
        <v>1</v>
      </c>
      <c r="D34" s="27">
        <v>2</v>
      </c>
      <c r="E34" s="27">
        <v>2</v>
      </c>
      <c r="F34" s="27">
        <v>0</v>
      </c>
      <c r="G34" s="27">
        <v>0</v>
      </c>
      <c r="H34" s="27">
        <v>1</v>
      </c>
      <c r="I34" s="27">
        <v>0</v>
      </c>
      <c r="J34" s="27">
        <v>0</v>
      </c>
      <c r="K34" s="27">
        <v>5</v>
      </c>
      <c r="L34" s="27">
        <v>5</v>
      </c>
      <c r="M34" s="27">
        <v>0</v>
      </c>
      <c r="N34" s="27">
        <v>4</v>
      </c>
      <c r="O34" s="27">
        <v>0</v>
      </c>
      <c r="P34" s="27">
        <v>0</v>
      </c>
      <c r="Q34" s="27">
        <v>0</v>
      </c>
      <c r="R34" s="27">
        <v>6</v>
      </c>
      <c r="S34" s="27">
        <v>0</v>
      </c>
      <c r="T34" s="27">
        <v>0</v>
      </c>
      <c r="U34" s="27">
        <v>0</v>
      </c>
      <c r="V34" s="27">
        <v>3</v>
      </c>
      <c r="X34" s="27">
        <v>3</v>
      </c>
      <c r="Y34" s="27">
        <v>0</v>
      </c>
      <c r="Z34" s="27">
        <v>2</v>
      </c>
      <c r="AA34" s="27">
        <v>0</v>
      </c>
      <c r="AB34" s="27">
        <v>5</v>
      </c>
      <c r="AC34" s="27">
        <v>0</v>
      </c>
      <c r="AD34" s="27">
        <v>2</v>
      </c>
      <c r="AE34" s="27">
        <v>1</v>
      </c>
      <c r="AF34" s="27">
        <v>0</v>
      </c>
      <c r="AG34" s="27">
        <v>0</v>
      </c>
      <c r="AH34" s="27">
        <v>5</v>
      </c>
      <c r="AI34" s="27">
        <v>5</v>
      </c>
      <c r="AJ34" s="27">
        <v>0</v>
      </c>
      <c r="AK34" s="27">
        <v>6</v>
      </c>
      <c r="AL34" s="27">
        <v>0</v>
      </c>
      <c r="AM34" s="27">
        <v>0</v>
      </c>
      <c r="AN34" s="27">
        <v>3</v>
      </c>
      <c r="AO34" s="27">
        <v>5</v>
      </c>
      <c r="AP34" s="27">
        <v>0</v>
      </c>
      <c r="AQ34" s="27">
        <v>0</v>
      </c>
      <c r="AR34" s="27">
        <v>0</v>
      </c>
      <c r="AS34" s="27">
        <v>2</v>
      </c>
    </row>
    <row r="35" spans="1:45">
      <c r="A35" s="27">
        <v>0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1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</row>
    <row r="36" spans="1:45">
      <c r="A36" s="27">
        <v>1</v>
      </c>
      <c r="B36" s="27">
        <v>0</v>
      </c>
      <c r="C36" s="27">
        <v>0</v>
      </c>
      <c r="D36" s="27">
        <v>0</v>
      </c>
      <c r="E36" s="27">
        <v>4</v>
      </c>
      <c r="F36" s="27">
        <v>0</v>
      </c>
      <c r="G36" s="27">
        <v>1</v>
      </c>
      <c r="H36" s="27">
        <v>0</v>
      </c>
      <c r="I36" s="27">
        <v>0</v>
      </c>
      <c r="J36" s="27">
        <v>0</v>
      </c>
      <c r="K36" s="27">
        <v>1</v>
      </c>
      <c r="L36" s="27">
        <v>3</v>
      </c>
      <c r="M36" s="27">
        <v>1</v>
      </c>
      <c r="N36" s="27">
        <v>1</v>
      </c>
      <c r="O36" s="27">
        <v>0</v>
      </c>
      <c r="P36" s="27">
        <v>0</v>
      </c>
      <c r="Q36" s="27">
        <v>0</v>
      </c>
      <c r="R36" s="27">
        <v>2</v>
      </c>
      <c r="S36" s="27">
        <v>0</v>
      </c>
      <c r="T36" s="27">
        <v>0</v>
      </c>
      <c r="U36" s="27">
        <v>0</v>
      </c>
      <c r="V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3</v>
      </c>
      <c r="AC36" s="27">
        <v>1</v>
      </c>
      <c r="AD36" s="27">
        <v>0</v>
      </c>
      <c r="AE36" s="27">
        <v>0</v>
      </c>
      <c r="AF36" s="27">
        <v>0</v>
      </c>
      <c r="AG36" s="27">
        <v>0</v>
      </c>
      <c r="AH36" s="27">
        <v>3</v>
      </c>
      <c r="AI36" s="27">
        <v>3</v>
      </c>
      <c r="AJ36" s="27">
        <v>1</v>
      </c>
      <c r="AK36" s="27">
        <v>1</v>
      </c>
      <c r="AL36" s="27">
        <v>0</v>
      </c>
      <c r="AM36" s="27">
        <v>0</v>
      </c>
      <c r="AN36" s="27">
        <v>1</v>
      </c>
      <c r="AO36" s="27">
        <v>1</v>
      </c>
      <c r="AP36" s="27">
        <v>0</v>
      </c>
      <c r="AQ36" s="27">
        <v>0</v>
      </c>
      <c r="AR36" s="27">
        <v>0</v>
      </c>
      <c r="AS36" s="27">
        <v>0</v>
      </c>
    </row>
    <row r="37" spans="1:45">
      <c r="A37" s="27">
        <v>0</v>
      </c>
      <c r="B37" s="27">
        <v>1</v>
      </c>
      <c r="C37" s="27">
        <v>0</v>
      </c>
      <c r="D37" s="27">
        <v>0</v>
      </c>
      <c r="E37" s="27">
        <v>2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1</v>
      </c>
      <c r="L37" s="27">
        <v>1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1</v>
      </c>
      <c r="S37" s="27">
        <v>0</v>
      </c>
      <c r="T37" s="27">
        <v>0</v>
      </c>
      <c r="U37" s="27">
        <v>0</v>
      </c>
      <c r="V37" s="27">
        <v>0</v>
      </c>
      <c r="X37" s="27">
        <v>0</v>
      </c>
      <c r="Y37" s="27">
        <v>1</v>
      </c>
      <c r="Z37" s="27">
        <v>0</v>
      </c>
      <c r="AA37" s="27">
        <v>0</v>
      </c>
      <c r="AB37" s="27">
        <v>1</v>
      </c>
      <c r="AC37" s="27">
        <v>0</v>
      </c>
      <c r="AD37" s="27">
        <v>0</v>
      </c>
      <c r="AE37" s="27">
        <v>1</v>
      </c>
      <c r="AF37" s="27">
        <v>0</v>
      </c>
      <c r="AG37" s="27">
        <v>0</v>
      </c>
      <c r="AH37" s="27">
        <v>1</v>
      </c>
      <c r="AI37" s="27">
        <v>0</v>
      </c>
      <c r="AJ37" s="27">
        <v>0</v>
      </c>
      <c r="AK37" s="27">
        <v>1</v>
      </c>
      <c r="AL37" s="27">
        <v>0</v>
      </c>
      <c r="AM37" s="27">
        <v>0</v>
      </c>
      <c r="AN37" s="27">
        <v>0</v>
      </c>
      <c r="AO37" s="27">
        <v>1</v>
      </c>
      <c r="AP37" s="27">
        <v>0</v>
      </c>
      <c r="AQ37" s="27">
        <v>0</v>
      </c>
      <c r="AR37" s="27">
        <v>0</v>
      </c>
      <c r="AS37" s="27">
        <v>0</v>
      </c>
    </row>
    <row r="38" spans="1:45">
      <c r="A38" s="27">
        <v>0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</row>
    <row r="39" spans="1:45">
      <c r="A39" s="27">
        <v>1</v>
      </c>
      <c r="B39" s="27">
        <v>1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X39" s="27">
        <v>1</v>
      </c>
      <c r="Y39" s="27">
        <v>1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</row>
    <row r="40" spans="1:45">
      <c r="A40" s="27">
        <v>5</v>
      </c>
      <c r="B40" s="27">
        <v>0</v>
      </c>
      <c r="C40" s="27">
        <v>0</v>
      </c>
      <c r="D40" s="27">
        <v>0</v>
      </c>
      <c r="E40" s="27">
        <v>4</v>
      </c>
      <c r="F40" s="27">
        <v>0</v>
      </c>
      <c r="G40" s="27">
        <v>3</v>
      </c>
      <c r="H40" s="27">
        <v>0</v>
      </c>
      <c r="I40" s="27">
        <v>0</v>
      </c>
      <c r="J40" s="27">
        <v>0</v>
      </c>
      <c r="K40" s="27">
        <v>6</v>
      </c>
      <c r="L40" s="27">
        <v>4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6</v>
      </c>
      <c r="S40" s="27">
        <v>0</v>
      </c>
      <c r="T40" s="27">
        <v>0</v>
      </c>
      <c r="U40" s="27">
        <v>0</v>
      </c>
      <c r="V40" s="27">
        <v>0</v>
      </c>
      <c r="X40" s="27">
        <v>3</v>
      </c>
      <c r="Y40" s="27">
        <v>0</v>
      </c>
      <c r="Z40" s="27">
        <v>0</v>
      </c>
      <c r="AA40" s="27">
        <v>0</v>
      </c>
      <c r="AB40" s="27">
        <v>5</v>
      </c>
      <c r="AC40" s="27">
        <v>0</v>
      </c>
      <c r="AD40" s="27">
        <v>4</v>
      </c>
      <c r="AE40" s="27">
        <v>0</v>
      </c>
      <c r="AF40" s="27">
        <v>0</v>
      </c>
      <c r="AG40" s="27">
        <v>0</v>
      </c>
      <c r="AH40" s="27">
        <v>6</v>
      </c>
      <c r="AI40" s="27">
        <v>2</v>
      </c>
      <c r="AJ40" s="27">
        <v>2</v>
      </c>
      <c r="AK40" s="27">
        <v>0</v>
      </c>
      <c r="AL40" s="27">
        <v>0</v>
      </c>
      <c r="AM40" s="27">
        <v>0</v>
      </c>
      <c r="AN40" s="27">
        <v>1</v>
      </c>
      <c r="AO40" s="27">
        <v>2</v>
      </c>
      <c r="AP40" s="27">
        <v>3</v>
      </c>
      <c r="AQ40" s="27">
        <v>0</v>
      </c>
      <c r="AR40" s="27">
        <v>0</v>
      </c>
      <c r="AS40" s="27">
        <v>0</v>
      </c>
    </row>
    <row r="41" spans="1:45">
      <c r="A41" s="27">
        <v>3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1</v>
      </c>
      <c r="H41" s="27">
        <v>0</v>
      </c>
      <c r="I41" s="27">
        <v>0</v>
      </c>
      <c r="J41" s="27">
        <v>0</v>
      </c>
      <c r="K41" s="27">
        <v>1</v>
      </c>
      <c r="L41" s="27">
        <v>9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2</v>
      </c>
      <c r="S41" s="27">
        <v>0</v>
      </c>
      <c r="T41" s="27">
        <v>0</v>
      </c>
      <c r="U41" s="27">
        <v>0</v>
      </c>
      <c r="V41" s="27">
        <v>0</v>
      </c>
      <c r="X41" s="27">
        <v>2</v>
      </c>
      <c r="Y41" s="27">
        <v>0</v>
      </c>
      <c r="Z41" s="27">
        <v>0</v>
      </c>
      <c r="AA41" s="27">
        <v>0</v>
      </c>
      <c r="AB41" s="27">
        <v>1</v>
      </c>
      <c r="AC41" s="27">
        <v>0</v>
      </c>
      <c r="AD41" s="27">
        <v>3</v>
      </c>
      <c r="AE41" s="27">
        <v>0</v>
      </c>
      <c r="AF41" s="27">
        <v>0</v>
      </c>
      <c r="AG41" s="27">
        <v>0</v>
      </c>
      <c r="AH41" s="27">
        <v>2</v>
      </c>
      <c r="AI41" s="27">
        <v>6</v>
      </c>
      <c r="AJ41" s="27">
        <v>1</v>
      </c>
      <c r="AK41" s="27">
        <v>0</v>
      </c>
      <c r="AL41" s="27">
        <v>0</v>
      </c>
      <c r="AM41" s="27">
        <v>0</v>
      </c>
      <c r="AN41" s="27">
        <v>0</v>
      </c>
      <c r="AO41" s="27">
        <v>1</v>
      </c>
      <c r="AP41" s="27">
        <v>0</v>
      </c>
      <c r="AQ41" s="27">
        <v>0</v>
      </c>
      <c r="AR41" s="27">
        <v>0</v>
      </c>
      <c r="AS41" s="27">
        <v>0</v>
      </c>
    </row>
    <row r="42" spans="1:45">
      <c r="A42" s="27">
        <v>5</v>
      </c>
      <c r="B42" s="27">
        <v>0</v>
      </c>
      <c r="C42" s="27">
        <v>0</v>
      </c>
      <c r="D42" s="27">
        <v>0</v>
      </c>
      <c r="E42" s="27">
        <v>1</v>
      </c>
      <c r="F42" s="27">
        <v>1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X42" s="27">
        <v>1</v>
      </c>
      <c r="Y42" s="27">
        <v>0</v>
      </c>
      <c r="Z42" s="27">
        <v>0</v>
      </c>
      <c r="AA42" s="27">
        <v>0</v>
      </c>
      <c r="AB42" s="27">
        <v>0</v>
      </c>
      <c r="AC42" s="27">
        <v>1</v>
      </c>
      <c r="AD42" s="27">
        <v>2</v>
      </c>
      <c r="AE42" s="27">
        <v>0</v>
      </c>
      <c r="AF42" s="27">
        <v>0</v>
      </c>
      <c r="AG42" s="27">
        <v>0</v>
      </c>
      <c r="AH42" s="27">
        <v>0</v>
      </c>
      <c r="AI42" s="27">
        <v>2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1</v>
      </c>
      <c r="AQ42" s="27">
        <v>0</v>
      </c>
      <c r="AR42" s="27">
        <v>0</v>
      </c>
      <c r="AS42" s="27">
        <v>0</v>
      </c>
    </row>
    <row r="43" spans="1:45">
      <c r="A43" s="27">
        <v>12</v>
      </c>
      <c r="B43" s="27">
        <v>0</v>
      </c>
      <c r="C43" s="27">
        <v>0</v>
      </c>
      <c r="D43" s="27">
        <v>0</v>
      </c>
      <c r="E43" s="27">
        <v>1</v>
      </c>
      <c r="F43" s="27">
        <v>1</v>
      </c>
      <c r="G43" s="27">
        <v>1</v>
      </c>
      <c r="H43" s="27">
        <v>0</v>
      </c>
      <c r="I43" s="27">
        <v>0</v>
      </c>
      <c r="J43" s="27">
        <v>0</v>
      </c>
      <c r="K43" s="27">
        <v>2</v>
      </c>
      <c r="L43" s="27">
        <v>0</v>
      </c>
      <c r="M43" s="27">
        <v>0</v>
      </c>
      <c r="N43" s="27">
        <v>6</v>
      </c>
      <c r="O43" s="27">
        <v>0</v>
      </c>
      <c r="P43" s="27">
        <v>0</v>
      </c>
      <c r="Q43" s="27">
        <v>0</v>
      </c>
      <c r="R43" s="27">
        <v>1</v>
      </c>
      <c r="S43" s="27">
        <v>0</v>
      </c>
      <c r="T43" s="27">
        <v>0</v>
      </c>
      <c r="U43" s="27">
        <v>0</v>
      </c>
      <c r="V43" s="27">
        <v>0</v>
      </c>
      <c r="X43" s="27">
        <v>2</v>
      </c>
      <c r="Y43" s="27">
        <v>0</v>
      </c>
      <c r="Z43" s="27">
        <v>1</v>
      </c>
      <c r="AA43" s="27">
        <v>3</v>
      </c>
      <c r="AB43" s="27">
        <v>5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1</v>
      </c>
      <c r="AI43" s="27">
        <v>0</v>
      </c>
      <c r="AJ43" s="27">
        <v>2</v>
      </c>
      <c r="AK43" s="27">
        <v>5</v>
      </c>
      <c r="AL43" s="27">
        <v>0</v>
      </c>
      <c r="AM43" s="27">
        <v>0</v>
      </c>
      <c r="AN43" s="27">
        <v>4</v>
      </c>
      <c r="AO43" s="27">
        <v>1</v>
      </c>
      <c r="AP43" s="27">
        <v>0</v>
      </c>
      <c r="AQ43" s="27">
        <v>0</v>
      </c>
      <c r="AR43" s="27">
        <v>0</v>
      </c>
      <c r="AS43" s="27">
        <v>0</v>
      </c>
    </row>
    <row r="44" spans="1:45">
      <c r="A44" s="27">
        <v>2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X44" s="27">
        <v>2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</row>
    <row r="45" spans="1:45">
      <c r="A45" s="27">
        <v>0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1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1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</row>
    <row r="46" spans="1:45">
      <c r="A46" s="27">
        <v>4</v>
      </c>
      <c r="B46" s="27">
        <v>1</v>
      </c>
      <c r="C46" s="27">
        <v>0</v>
      </c>
      <c r="D46" s="27">
        <v>0</v>
      </c>
      <c r="E46" s="27">
        <v>1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1</v>
      </c>
      <c r="L46" s="27">
        <v>0</v>
      </c>
      <c r="M46" s="27">
        <v>0</v>
      </c>
      <c r="N46" s="27">
        <v>2</v>
      </c>
      <c r="O46" s="27">
        <v>0</v>
      </c>
      <c r="P46" s="27">
        <v>0</v>
      </c>
      <c r="Q46" s="27">
        <v>1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X46" s="27">
        <v>0</v>
      </c>
      <c r="Y46" s="27">
        <v>1</v>
      </c>
      <c r="Z46" s="27">
        <v>0</v>
      </c>
      <c r="AA46" s="27">
        <v>1</v>
      </c>
      <c r="AB46" s="27">
        <v>1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1</v>
      </c>
      <c r="AI46" s="27">
        <v>0</v>
      </c>
      <c r="AJ46" s="27">
        <v>0</v>
      </c>
      <c r="AK46" s="27">
        <v>2</v>
      </c>
      <c r="AL46" s="27">
        <v>0</v>
      </c>
      <c r="AM46" s="27">
        <v>0</v>
      </c>
      <c r="AN46" s="27">
        <v>4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</row>
    <row r="47" spans="1:45">
      <c r="A47" s="27">
        <v>2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7</v>
      </c>
      <c r="L47" s="27">
        <v>1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19</v>
      </c>
      <c r="S47" s="27">
        <v>0</v>
      </c>
      <c r="T47" s="27">
        <v>0</v>
      </c>
      <c r="U47" s="27">
        <v>0</v>
      </c>
      <c r="V47" s="27">
        <v>0</v>
      </c>
      <c r="X47" s="27">
        <v>1</v>
      </c>
      <c r="Y47" s="27">
        <v>1</v>
      </c>
      <c r="Z47" s="27">
        <v>0</v>
      </c>
      <c r="AA47" s="27">
        <v>0</v>
      </c>
      <c r="AB47" s="27">
        <v>1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4</v>
      </c>
      <c r="AI47" s="27">
        <v>2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19</v>
      </c>
      <c r="AP47" s="27">
        <v>1</v>
      </c>
      <c r="AQ47" s="27">
        <v>0</v>
      </c>
      <c r="AR47" s="27">
        <v>0</v>
      </c>
      <c r="AS47" s="27">
        <v>0</v>
      </c>
    </row>
    <row r="48" spans="1:45">
      <c r="A48" s="27">
        <v>2</v>
      </c>
      <c r="B48" s="27">
        <v>0</v>
      </c>
      <c r="C48" s="27">
        <v>0</v>
      </c>
      <c r="D48" s="27">
        <v>1</v>
      </c>
      <c r="E48" s="27">
        <v>1</v>
      </c>
      <c r="F48" s="27">
        <v>1</v>
      </c>
      <c r="G48" s="27">
        <v>0</v>
      </c>
      <c r="H48" s="27">
        <v>0</v>
      </c>
      <c r="I48" s="27">
        <v>0</v>
      </c>
      <c r="J48" s="27">
        <v>0</v>
      </c>
      <c r="K48" s="27">
        <v>1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X48" s="27">
        <v>0</v>
      </c>
      <c r="Y48" s="27">
        <v>0</v>
      </c>
      <c r="Z48" s="27">
        <v>0</v>
      </c>
      <c r="AA48" s="27">
        <v>1</v>
      </c>
      <c r="AB48" s="27">
        <v>0</v>
      </c>
      <c r="AC48" s="27">
        <v>0</v>
      </c>
      <c r="AD48" s="27">
        <v>1</v>
      </c>
      <c r="AE48" s="27">
        <v>0</v>
      </c>
      <c r="AF48" s="27">
        <v>0</v>
      </c>
      <c r="AG48" s="27">
        <v>0</v>
      </c>
      <c r="AH48" s="27">
        <v>1</v>
      </c>
      <c r="AI48" s="27">
        <v>2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1</v>
      </c>
      <c r="AP48" s="27">
        <v>0</v>
      </c>
      <c r="AQ48" s="27">
        <v>0</v>
      </c>
      <c r="AR48" s="27">
        <v>0</v>
      </c>
      <c r="AS48" s="27">
        <v>0</v>
      </c>
    </row>
    <row r="49" spans="1:45">
      <c r="A49" s="27">
        <v>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1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1</v>
      </c>
      <c r="AQ49" s="27">
        <v>0</v>
      </c>
      <c r="AR49" s="27">
        <v>0</v>
      </c>
      <c r="AS49" s="27">
        <v>0</v>
      </c>
    </row>
    <row r="50" spans="1:45">
      <c r="A50" s="27">
        <v>0</v>
      </c>
      <c r="B50" s="27">
        <v>0</v>
      </c>
      <c r="C50" s="27">
        <v>0</v>
      </c>
      <c r="D50" s="27">
        <v>1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X50" s="27">
        <v>1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</row>
    <row r="51" spans="1:45">
      <c r="A51" s="27">
        <v>3</v>
      </c>
      <c r="B51" s="27">
        <v>0</v>
      </c>
      <c r="C51" s="27">
        <v>1</v>
      </c>
      <c r="D51" s="27">
        <v>0</v>
      </c>
      <c r="E51" s="27">
        <v>3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17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1</v>
      </c>
      <c r="AI51" s="27">
        <v>0</v>
      </c>
      <c r="AJ51" s="27">
        <v>0</v>
      </c>
      <c r="AK51" s="27">
        <v>2</v>
      </c>
      <c r="AL51" s="27">
        <v>0</v>
      </c>
      <c r="AM51" s="27">
        <v>0</v>
      </c>
      <c r="AN51" s="27">
        <v>0</v>
      </c>
      <c r="AO51" s="27">
        <v>2</v>
      </c>
      <c r="AP51" s="27">
        <v>1</v>
      </c>
      <c r="AQ51" s="27">
        <v>0</v>
      </c>
      <c r="AR51" s="27">
        <v>0</v>
      </c>
      <c r="AS51" s="27">
        <v>18</v>
      </c>
    </row>
    <row r="53" spans="1:45">
      <c r="A53" s="42" t="s">
        <v>94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</row>
    <row r="54" spans="1:45">
      <c r="A54" s="42" t="s">
        <v>95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X54" s="42" t="s">
        <v>89</v>
      </c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</row>
    <row r="55" spans="1:45">
      <c r="A55" s="28" t="s">
        <v>65</v>
      </c>
      <c r="B55" s="28" t="s">
        <v>66</v>
      </c>
      <c r="C55" s="28" t="s">
        <v>67</v>
      </c>
      <c r="D55" s="28" t="s">
        <v>68</v>
      </c>
      <c r="E55" s="28" t="s">
        <v>69</v>
      </c>
      <c r="F55" s="28" t="s">
        <v>70</v>
      </c>
      <c r="G55" s="28" t="s">
        <v>71</v>
      </c>
      <c r="H55" s="28" t="s">
        <v>72</v>
      </c>
      <c r="I55" s="28" t="s">
        <v>73</v>
      </c>
      <c r="J55" s="28" t="s">
        <v>74</v>
      </c>
      <c r="K55" s="28" t="s">
        <v>75</v>
      </c>
      <c r="L55" s="28" t="s">
        <v>76</v>
      </c>
      <c r="M55" s="28" t="s">
        <v>77</v>
      </c>
      <c r="N55" s="28" t="s">
        <v>78</v>
      </c>
      <c r="O55" s="28" t="s">
        <v>79</v>
      </c>
      <c r="P55" s="28" t="s">
        <v>80</v>
      </c>
      <c r="Q55" s="28" t="s">
        <v>81</v>
      </c>
      <c r="R55" s="28" t="s">
        <v>82</v>
      </c>
      <c r="S55" s="28" t="s">
        <v>83</v>
      </c>
      <c r="T55" s="28" t="s">
        <v>84</v>
      </c>
      <c r="U55" s="28" t="s">
        <v>85</v>
      </c>
      <c r="V55" s="28" t="s">
        <v>86</v>
      </c>
      <c r="X55" s="28" t="s">
        <v>65</v>
      </c>
      <c r="Y55" s="28" t="s">
        <v>66</v>
      </c>
      <c r="Z55" s="28" t="s">
        <v>67</v>
      </c>
      <c r="AA55" s="28" t="s">
        <v>68</v>
      </c>
      <c r="AB55" s="28" t="s">
        <v>69</v>
      </c>
      <c r="AC55" s="28" t="s">
        <v>70</v>
      </c>
      <c r="AD55" s="28" t="s">
        <v>71</v>
      </c>
      <c r="AE55" s="28" t="s">
        <v>72</v>
      </c>
      <c r="AF55" s="28" t="s">
        <v>73</v>
      </c>
      <c r="AG55" s="28" t="s">
        <v>74</v>
      </c>
      <c r="AH55" s="28" t="s">
        <v>75</v>
      </c>
      <c r="AI55" s="28" t="s">
        <v>76</v>
      </c>
      <c r="AJ55" s="28" t="s">
        <v>77</v>
      </c>
      <c r="AK55" s="28" t="s">
        <v>78</v>
      </c>
      <c r="AL55" s="28" t="s">
        <v>79</v>
      </c>
      <c r="AM55" s="28" t="s">
        <v>80</v>
      </c>
      <c r="AN55" s="28" t="s">
        <v>81</v>
      </c>
      <c r="AO55" s="28" t="s">
        <v>82</v>
      </c>
      <c r="AP55" s="28" t="s">
        <v>83</v>
      </c>
      <c r="AQ55" s="28" t="s">
        <v>84</v>
      </c>
      <c r="AR55" s="28" t="s">
        <v>85</v>
      </c>
      <c r="AS55" s="28" t="s">
        <v>86</v>
      </c>
    </row>
    <row r="56" spans="1:45">
      <c r="A56" s="27">
        <v>54</v>
      </c>
      <c r="B56" s="27">
        <v>3</v>
      </c>
      <c r="C56" s="27">
        <v>2</v>
      </c>
      <c r="D56" s="27">
        <v>5</v>
      </c>
      <c r="E56" s="27">
        <v>6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3</v>
      </c>
      <c r="L56" s="27">
        <v>2</v>
      </c>
      <c r="M56" s="27">
        <v>2</v>
      </c>
      <c r="N56" s="27">
        <v>1</v>
      </c>
      <c r="O56" s="27">
        <v>0</v>
      </c>
      <c r="P56" s="27">
        <v>0</v>
      </c>
      <c r="Q56" s="27">
        <v>1</v>
      </c>
      <c r="R56" s="27">
        <v>4</v>
      </c>
      <c r="S56" s="27">
        <v>0</v>
      </c>
      <c r="T56" s="27">
        <v>0</v>
      </c>
      <c r="U56" s="27">
        <v>0</v>
      </c>
      <c r="V56" s="27">
        <v>1</v>
      </c>
      <c r="X56" s="27">
        <v>53</v>
      </c>
      <c r="Y56" s="27">
        <v>2</v>
      </c>
      <c r="Z56" s="27">
        <v>1</v>
      </c>
      <c r="AA56" s="27">
        <v>4</v>
      </c>
      <c r="AB56" s="27">
        <v>4</v>
      </c>
      <c r="AC56" s="27">
        <v>0</v>
      </c>
      <c r="AD56" s="27">
        <v>0</v>
      </c>
      <c r="AE56" s="27">
        <v>1</v>
      </c>
      <c r="AF56" s="27">
        <v>0</v>
      </c>
      <c r="AG56" s="27">
        <v>0</v>
      </c>
      <c r="AH56" s="27">
        <v>7</v>
      </c>
      <c r="AI56" s="27">
        <v>2</v>
      </c>
      <c r="AJ56" s="27">
        <v>2</v>
      </c>
      <c r="AK56" s="27">
        <v>1</v>
      </c>
      <c r="AL56" s="27">
        <v>0</v>
      </c>
      <c r="AM56" s="27">
        <v>0</v>
      </c>
      <c r="AN56" s="27">
        <v>2</v>
      </c>
      <c r="AO56" s="27">
        <v>3</v>
      </c>
      <c r="AP56" s="27">
        <v>1</v>
      </c>
      <c r="AQ56" s="27">
        <v>0</v>
      </c>
      <c r="AR56" s="27">
        <v>0</v>
      </c>
      <c r="AS56" s="27">
        <v>1</v>
      </c>
    </row>
    <row r="57" spans="1:45">
      <c r="A57" s="27">
        <v>1</v>
      </c>
      <c r="B57" s="27">
        <v>18</v>
      </c>
      <c r="C57" s="27">
        <v>1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X57" s="27">
        <v>1</v>
      </c>
      <c r="Y57" s="27">
        <v>18</v>
      </c>
      <c r="Z57" s="27">
        <v>1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</row>
    <row r="58" spans="1:45">
      <c r="A58" s="27">
        <v>6</v>
      </c>
      <c r="B58" s="27">
        <v>0</v>
      </c>
      <c r="C58" s="27">
        <v>0</v>
      </c>
      <c r="D58" s="27">
        <v>0</v>
      </c>
      <c r="E58" s="27">
        <v>1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1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1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X58" s="27">
        <v>4</v>
      </c>
      <c r="Y58" s="27">
        <v>1</v>
      </c>
      <c r="Z58" s="27">
        <v>0</v>
      </c>
      <c r="AA58" s="27">
        <v>1</v>
      </c>
      <c r="AB58" s="27">
        <v>1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1</v>
      </c>
      <c r="AI58" s="27">
        <v>0</v>
      </c>
      <c r="AJ58" s="27">
        <v>0</v>
      </c>
      <c r="AK58" s="27">
        <v>0</v>
      </c>
      <c r="AL58" s="27">
        <v>0</v>
      </c>
      <c r="AM58" s="27">
        <v>0</v>
      </c>
      <c r="AN58" s="27">
        <v>1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</row>
    <row r="59" spans="1:45">
      <c r="A59" s="27">
        <v>7</v>
      </c>
      <c r="B59" s="27">
        <v>0</v>
      </c>
      <c r="C59" s="27">
        <v>0</v>
      </c>
      <c r="D59" s="27">
        <v>3</v>
      </c>
      <c r="E59" s="27">
        <v>1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2</v>
      </c>
      <c r="O59" s="27">
        <v>0</v>
      </c>
      <c r="P59" s="27">
        <v>0</v>
      </c>
      <c r="Q59" s="27">
        <v>1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X59" s="27">
        <v>5</v>
      </c>
      <c r="Y59" s="27">
        <v>0</v>
      </c>
      <c r="Z59" s="27">
        <v>0</v>
      </c>
      <c r="AA59" s="27">
        <v>4</v>
      </c>
      <c r="AB59" s="27">
        <v>1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2</v>
      </c>
      <c r="AL59" s="27">
        <v>0</v>
      </c>
      <c r="AM59" s="27">
        <v>0</v>
      </c>
      <c r="AN59" s="27">
        <v>1</v>
      </c>
      <c r="AO59" s="27">
        <v>0</v>
      </c>
      <c r="AP59" s="27">
        <v>1</v>
      </c>
      <c r="AQ59" s="27">
        <v>0</v>
      </c>
      <c r="AR59" s="27">
        <v>0</v>
      </c>
      <c r="AS59" s="27">
        <v>0</v>
      </c>
    </row>
    <row r="60" spans="1:45">
      <c r="A60" s="27">
        <v>9</v>
      </c>
      <c r="B60" s="27">
        <v>0</v>
      </c>
      <c r="C60" s="27">
        <v>0</v>
      </c>
      <c r="D60" s="27">
        <v>1</v>
      </c>
      <c r="E60" s="27">
        <v>8</v>
      </c>
      <c r="F60" s="27">
        <v>0</v>
      </c>
      <c r="G60" s="27">
        <v>5</v>
      </c>
      <c r="H60" s="27">
        <v>1</v>
      </c>
      <c r="I60" s="27">
        <v>0</v>
      </c>
      <c r="J60" s="27">
        <v>0</v>
      </c>
      <c r="K60" s="27">
        <v>6</v>
      </c>
      <c r="L60" s="27">
        <v>2</v>
      </c>
      <c r="M60" s="27">
        <v>0</v>
      </c>
      <c r="N60" s="27">
        <v>2</v>
      </c>
      <c r="O60" s="27">
        <v>0</v>
      </c>
      <c r="P60" s="27">
        <v>0</v>
      </c>
      <c r="Q60" s="27">
        <v>1</v>
      </c>
      <c r="R60" s="27">
        <v>2</v>
      </c>
      <c r="S60" s="27">
        <v>1</v>
      </c>
      <c r="T60" s="27">
        <v>0</v>
      </c>
      <c r="U60" s="27">
        <v>0</v>
      </c>
      <c r="V60" s="27">
        <v>1</v>
      </c>
      <c r="X60" s="27">
        <v>10</v>
      </c>
      <c r="Y60" s="27">
        <v>0</v>
      </c>
      <c r="Z60" s="27">
        <v>0</v>
      </c>
      <c r="AA60" s="27">
        <v>1</v>
      </c>
      <c r="AB60" s="27">
        <v>6</v>
      </c>
      <c r="AC60" s="27">
        <v>0</v>
      </c>
      <c r="AD60" s="27">
        <v>2</v>
      </c>
      <c r="AE60" s="27">
        <v>2</v>
      </c>
      <c r="AF60" s="27">
        <v>0</v>
      </c>
      <c r="AG60" s="27">
        <v>0</v>
      </c>
      <c r="AH60" s="27">
        <v>10</v>
      </c>
      <c r="AI60" s="27">
        <v>2</v>
      </c>
      <c r="AJ60" s="27">
        <v>0</v>
      </c>
      <c r="AK60" s="27">
        <v>0</v>
      </c>
      <c r="AL60" s="27">
        <v>0</v>
      </c>
      <c r="AM60" s="27">
        <v>0</v>
      </c>
      <c r="AN60" s="27">
        <v>1</v>
      </c>
      <c r="AO60" s="27">
        <v>4</v>
      </c>
      <c r="AP60" s="27">
        <v>0</v>
      </c>
      <c r="AQ60" s="27">
        <v>0</v>
      </c>
      <c r="AR60" s="27">
        <v>0</v>
      </c>
      <c r="AS60" s="27">
        <v>1</v>
      </c>
    </row>
    <row r="61" spans="1:45">
      <c r="A61" s="27">
        <v>0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1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1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</row>
    <row r="62" spans="1:45">
      <c r="A62" s="27">
        <v>0</v>
      </c>
      <c r="B62" s="27">
        <v>0</v>
      </c>
      <c r="C62" s="27">
        <v>0</v>
      </c>
      <c r="D62" s="27">
        <v>0</v>
      </c>
      <c r="E62" s="27">
        <v>2</v>
      </c>
      <c r="F62" s="27">
        <v>1</v>
      </c>
      <c r="G62" s="27">
        <v>0</v>
      </c>
      <c r="H62" s="27">
        <v>1</v>
      </c>
      <c r="I62" s="27">
        <v>0</v>
      </c>
      <c r="J62" s="27">
        <v>0</v>
      </c>
      <c r="K62" s="27">
        <v>4</v>
      </c>
      <c r="L62" s="27">
        <v>4</v>
      </c>
      <c r="M62" s="27">
        <v>0</v>
      </c>
      <c r="N62" s="27">
        <v>1</v>
      </c>
      <c r="O62" s="27">
        <v>0</v>
      </c>
      <c r="P62" s="27">
        <v>0</v>
      </c>
      <c r="Q62" s="27">
        <v>0</v>
      </c>
      <c r="R62" s="27">
        <v>1</v>
      </c>
      <c r="S62" s="27">
        <v>0</v>
      </c>
      <c r="T62" s="27">
        <v>0</v>
      </c>
      <c r="U62" s="27">
        <v>0</v>
      </c>
      <c r="V62" s="27">
        <v>0</v>
      </c>
      <c r="X62" s="27">
        <v>0</v>
      </c>
      <c r="Y62" s="27">
        <v>0</v>
      </c>
      <c r="Z62" s="27">
        <v>0</v>
      </c>
      <c r="AA62" s="27">
        <v>1</v>
      </c>
      <c r="AB62" s="27">
        <v>2</v>
      </c>
      <c r="AC62" s="27">
        <v>0</v>
      </c>
      <c r="AD62" s="27">
        <v>1</v>
      </c>
      <c r="AE62" s="27">
        <v>1</v>
      </c>
      <c r="AF62" s="27">
        <v>0</v>
      </c>
      <c r="AG62" s="27">
        <v>0</v>
      </c>
      <c r="AH62" s="27">
        <v>4</v>
      </c>
      <c r="AI62" s="27">
        <v>2</v>
      </c>
      <c r="AJ62" s="27">
        <v>0</v>
      </c>
      <c r="AK62" s="27">
        <v>1</v>
      </c>
      <c r="AL62" s="27">
        <v>0</v>
      </c>
      <c r="AM62" s="27">
        <v>0</v>
      </c>
      <c r="AN62" s="27">
        <v>0</v>
      </c>
      <c r="AO62" s="27">
        <v>2</v>
      </c>
      <c r="AP62" s="27">
        <v>0</v>
      </c>
      <c r="AQ62" s="27">
        <v>0</v>
      </c>
      <c r="AR62" s="27">
        <v>0</v>
      </c>
      <c r="AS62" s="27">
        <v>0</v>
      </c>
    </row>
    <row r="63" spans="1:45">
      <c r="A63" s="27">
        <v>0</v>
      </c>
      <c r="B63" s="27">
        <v>1</v>
      </c>
      <c r="C63" s="27">
        <v>0</v>
      </c>
      <c r="D63" s="27">
        <v>1</v>
      </c>
      <c r="E63" s="27">
        <v>1</v>
      </c>
      <c r="F63" s="27">
        <v>0</v>
      </c>
      <c r="G63" s="27">
        <v>1</v>
      </c>
      <c r="H63" s="27">
        <v>1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1</v>
      </c>
      <c r="X63" s="27">
        <v>1</v>
      </c>
      <c r="Y63" s="27">
        <v>1</v>
      </c>
      <c r="Z63" s="27">
        <v>0</v>
      </c>
      <c r="AA63" s="27">
        <v>0</v>
      </c>
      <c r="AB63" s="27">
        <v>1</v>
      </c>
      <c r="AC63" s="27">
        <v>1</v>
      </c>
      <c r="AD63" s="27">
        <v>1</v>
      </c>
      <c r="AE63" s="27">
        <v>1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</row>
    <row r="64" spans="1:45">
      <c r="A64" s="27">
        <v>0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</row>
    <row r="65" spans="1:45">
      <c r="A65" s="27">
        <v>1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1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X65" s="27">
        <v>0</v>
      </c>
      <c r="Y65" s="27">
        <v>1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1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</row>
    <row r="66" spans="1:45">
      <c r="A66" s="27">
        <v>3</v>
      </c>
      <c r="B66" s="27">
        <v>0</v>
      </c>
      <c r="C66" s="27">
        <v>1</v>
      </c>
      <c r="D66" s="27">
        <v>0</v>
      </c>
      <c r="E66" s="27">
        <v>6</v>
      </c>
      <c r="F66" s="27">
        <v>0</v>
      </c>
      <c r="G66" s="27">
        <v>3</v>
      </c>
      <c r="H66" s="27">
        <v>0</v>
      </c>
      <c r="I66" s="27">
        <v>0</v>
      </c>
      <c r="J66" s="27">
        <v>0</v>
      </c>
      <c r="K66" s="27">
        <v>6</v>
      </c>
      <c r="L66" s="27">
        <v>5</v>
      </c>
      <c r="M66" s="27">
        <v>0</v>
      </c>
      <c r="N66" s="27">
        <v>0</v>
      </c>
      <c r="O66" s="27">
        <v>0</v>
      </c>
      <c r="P66" s="27">
        <v>0</v>
      </c>
      <c r="Q66" s="27">
        <v>1</v>
      </c>
      <c r="R66" s="27">
        <v>3</v>
      </c>
      <c r="S66" s="27">
        <v>0</v>
      </c>
      <c r="T66" s="27">
        <v>0</v>
      </c>
      <c r="U66" s="27">
        <v>0</v>
      </c>
      <c r="V66" s="27">
        <v>0</v>
      </c>
      <c r="X66" s="27">
        <v>3</v>
      </c>
      <c r="Y66" s="27">
        <v>0</v>
      </c>
      <c r="Z66" s="27">
        <v>0</v>
      </c>
      <c r="AA66" s="27">
        <v>0</v>
      </c>
      <c r="AB66" s="27">
        <v>8</v>
      </c>
      <c r="AC66" s="27">
        <v>0</v>
      </c>
      <c r="AD66" s="27">
        <v>4</v>
      </c>
      <c r="AE66" s="27">
        <v>0</v>
      </c>
      <c r="AF66" s="27">
        <v>0</v>
      </c>
      <c r="AG66" s="27">
        <v>0</v>
      </c>
      <c r="AH66" s="27">
        <v>6</v>
      </c>
      <c r="AI66" s="27">
        <v>3</v>
      </c>
      <c r="AJ66" s="27">
        <v>0</v>
      </c>
      <c r="AK66" s="27">
        <v>0</v>
      </c>
      <c r="AL66" s="27">
        <v>0</v>
      </c>
      <c r="AM66" s="27">
        <v>0</v>
      </c>
      <c r="AN66" s="27">
        <v>1</v>
      </c>
      <c r="AO66" s="27">
        <v>3</v>
      </c>
      <c r="AP66" s="27">
        <v>0</v>
      </c>
      <c r="AQ66" s="27">
        <v>0</v>
      </c>
      <c r="AR66" s="27">
        <v>0</v>
      </c>
      <c r="AS66" s="27">
        <v>0</v>
      </c>
    </row>
    <row r="67" spans="1:45">
      <c r="A67" s="27">
        <v>0</v>
      </c>
      <c r="B67" s="27">
        <v>0</v>
      </c>
      <c r="C67" s="27">
        <v>0</v>
      </c>
      <c r="D67" s="27">
        <v>0</v>
      </c>
      <c r="E67" s="27">
        <v>2</v>
      </c>
      <c r="F67" s="27">
        <v>0</v>
      </c>
      <c r="G67" s="27">
        <v>4</v>
      </c>
      <c r="H67" s="27">
        <v>0</v>
      </c>
      <c r="I67" s="27">
        <v>0</v>
      </c>
      <c r="J67" s="27">
        <v>0</v>
      </c>
      <c r="K67" s="27">
        <v>2</v>
      </c>
      <c r="L67" s="27">
        <v>6</v>
      </c>
      <c r="M67" s="27">
        <v>0</v>
      </c>
      <c r="N67" s="27">
        <v>1</v>
      </c>
      <c r="O67" s="27">
        <v>0</v>
      </c>
      <c r="P67" s="27">
        <v>0</v>
      </c>
      <c r="Q67" s="27">
        <v>0</v>
      </c>
      <c r="R67" s="27">
        <v>1</v>
      </c>
      <c r="S67" s="27">
        <v>0</v>
      </c>
      <c r="T67" s="27">
        <v>0</v>
      </c>
      <c r="U67" s="27">
        <v>0</v>
      </c>
      <c r="V67" s="27">
        <v>0</v>
      </c>
      <c r="X67" s="27">
        <v>1</v>
      </c>
      <c r="Y67" s="27">
        <v>0</v>
      </c>
      <c r="Z67" s="27">
        <v>0</v>
      </c>
      <c r="AA67" s="27">
        <v>0</v>
      </c>
      <c r="AB67" s="27">
        <v>2</v>
      </c>
      <c r="AC67" s="27">
        <v>0</v>
      </c>
      <c r="AD67" s="27">
        <v>2</v>
      </c>
      <c r="AE67" s="27">
        <v>0</v>
      </c>
      <c r="AF67" s="27">
        <v>0</v>
      </c>
      <c r="AG67" s="27">
        <v>0</v>
      </c>
      <c r="AH67" s="27">
        <v>3</v>
      </c>
      <c r="AI67" s="27">
        <v>7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1</v>
      </c>
      <c r="AP67" s="27">
        <v>0</v>
      </c>
      <c r="AQ67" s="27">
        <v>0</v>
      </c>
      <c r="AR67" s="27">
        <v>0</v>
      </c>
      <c r="AS67" s="27">
        <v>0</v>
      </c>
    </row>
    <row r="68" spans="1:45">
      <c r="A68" s="27">
        <v>2</v>
      </c>
      <c r="B68" s="27">
        <v>0</v>
      </c>
      <c r="C68" s="27">
        <v>0</v>
      </c>
      <c r="D68" s="27">
        <v>0</v>
      </c>
      <c r="E68" s="27">
        <v>1</v>
      </c>
      <c r="F68" s="27">
        <v>0</v>
      </c>
      <c r="G68" s="27">
        <v>2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1</v>
      </c>
      <c r="O68" s="27">
        <v>0</v>
      </c>
      <c r="P68" s="27">
        <v>0</v>
      </c>
      <c r="Q68" s="27">
        <v>0</v>
      </c>
      <c r="R68" s="27">
        <v>1</v>
      </c>
      <c r="S68" s="27">
        <v>0</v>
      </c>
      <c r="T68" s="27">
        <v>0</v>
      </c>
      <c r="U68" s="27">
        <v>0</v>
      </c>
      <c r="V68" s="27">
        <v>0</v>
      </c>
      <c r="X68" s="27">
        <v>1</v>
      </c>
      <c r="Y68" s="27">
        <v>0</v>
      </c>
      <c r="Z68" s="27">
        <v>0</v>
      </c>
      <c r="AA68" s="27">
        <v>0</v>
      </c>
      <c r="AB68" s="27">
        <v>2</v>
      </c>
      <c r="AC68" s="27">
        <v>1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1</v>
      </c>
      <c r="AJ68" s="27">
        <v>0</v>
      </c>
      <c r="AK68" s="27">
        <v>1</v>
      </c>
      <c r="AL68" s="27">
        <v>0</v>
      </c>
      <c r="AM68" s="27">
        <v>0</v>
      </c>
      <c r="AN68" s="27">
        <v>0</v>
      </c>
      <c r="AO68" s="27">
        <v>0</v>
      </c>
      <c r="AP68" s="27">
        <v>1</v>
      </c>
      <c r="AQ68" s="27">
        <v>0</v>
      </c>
      <c r="AR68" s="27">
        <v>0</v>
      </c>
      <c r="AS68" s="27">
        <v>0</v>
      </c>
    </row>
    <row r="69" spans="1:45">
      <c r="A69" s="27">
        <v>3</v>
      </c>
      <c r="B69" s="27">
        <v>0</v>
      </c>
      <c r="C69" s="27">
        <v>0</v>
      </c>
      <c r="D69" s="27">
        <v>4</v>
      </c>
      <c r="E69" s="27">
        <v>2</v>
      </c>
      <c r="F69" s="27">
        <v>0</v>
      </c>
      <c r="G69" s="27">
        <v>2</v>
      </c>
      <c r="H69" s="27">
        <v>0</v>
      </c>
      <c r="I69" s="27">
        <v>0</v>
      </c>
      <c r="J69" s="27">
        <v>0</v>
      </c>
      <c r="K69" s="27">
        <v>1</v>
      </c>
      <c r="L69" s="27">
        <v>1</v>
      </c>
      <c r="M69" s="27">
        <v>2</v>
      </c>
      <c r="N69" s="27">
        <v>3</v>
      </c>
      <c r="O69" s="27">
        <v>0</v>
      </c>
      <c r="P69" s="27">
        <v>1</v>
      </c>
      <c r="Q69" s="27">
        <v>4</v>
      </c>
      <c r="R69" s="27">
        <v>1</v>
      </c>
      <c r="S69" s="27">
        <v>0</v>
      </c>
      <c r="T69" s="27">
        <v>0</v>
      </c>
      <c r="U69" s="27">
        <v>0</v>
      </c>
      <c r="V69" s="27">
        <v>0</v>
      </c>
      <c r="X69" s="27">
        <v>6</v>
      </c>
      <c r="Y69" s="27">
        <v>0</v>
      </c>
      <c r="Z69" s="27">
        <v>0</v>
      </c>
      <c r="AA69" s="27">
        <v>3</v>
      </c>
      <c r="AB69" s="27">
        <v>3</v>
      </c>
      <c r="AC69" s="27">
        <v>1</v>
      </c>
      <c r="AD69" s="27">
        <v>0</v>
      </c>
      <c r="AE69" s="27">
        <v>0</v>
      </c>
      <c r="AF69" s="27">
        <v>0</v>
      </c>
      <c r="AG69" s="27">
        <v>0</v>
      </c>
      <c r="AH69" s="27">
        <v>2</v>
      </c>
      <c r="AI69" s="27">
        <v>0</v>
      </c>
      <c r="AJ69" s="27">
        <v>1</v>
      </c>
      <c r="AK69" s="27">
        <v>3</v>
      </c>
      <c r="AL69" s="27">
        <v>0</v>
      </c>
      <c r="AM69" s="27">
        <v>1</v>
      </c>
      <c r="AN69" s="27">
        <v>4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</row>
    <row r="70" spans="1:45">
      <c r="A70" s="27">
        <v>1</v>
      </c>
      <c r="B70" s="27">
        <v>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1</v>
      </c>
      <c r="S70" s="27">
        <v>0</v>
      </c>
      <c r="T70" s="27">
        <v>0</v>
      </c>
      <c r="U70" s="27">
        <v>0</v>
      </c>
      <c r="V70" s="27">
        <v>0</v>
      </c>
      <c r="X70" s="27">
        <v>1</v>
      </c>
      <c r="Y70" s="27">
        <v>0</v>
      </c>
      <c r="Z70" s="27">
        <v>0</v>
      </c>
      <c r="AA70" s="27">
        <v>0</v>
      </c>
      <c r="AB70" s="27">
        <v>0</v>
      </c>
      <c r="AC70" s="27">
        <v>0</v>
      </c>
      <c r="AD70" s="27">
        <v>1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0</v>
      </c>
      <c r="AM70" s="27">
        <v>0</v>
      </c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</row>
    <row r="71" spans="1:45">
      <c r="A71" s="27">
        <v>0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1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X71" s="27">
        <v>1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</row>
    <row r="72" spans="1:45">
      <c r="A72" s="27">
        <v>1</v>
      </c>
      <c r="B72" s="27">
        <v>0</v>
      </c>
      <c r="C72" s="27">
        <v>0</v>
      </c>
      <c r="D72" s="27">
        <v>4</v>
      </c>
      <c r="E72" s="27">
        <v>0</v>
      </c>
      <c r="F72" s="27">
        <v>0</v>
      </c>
      <c r="G72" s="27">
        <v>1</v>
      </c>
      <c r="H72" s="27">
        <v>0</v>
      </c>
      <c r="I72" s="27">
        <v>0</v>
      </c>
      <c r="J72" s="27">
        <v>1</v>
      </c>
      <c r="K72" s="27">
        <v>1</v>
      </c>
      <c r="L72" s="27">
        <v>0</v>
      </c>
      <c r="M72" s="27">
        <v>0</v>
      </c>
      <c r="N72" s="27">
        <v>1</v>
      </c>
      <c r="O72" s="27">
        <v>0</v>
      </c>
      <c r="P72" s="27">
        <v>0</v>
      </c>
      <c r="Q72" s="27">
        <v>1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X72" s="27">
        <v>1</v>
      </c>
      <c r="Y72" s="27">
        <v>0</v>
      </c>
      <c r="Z72" s="27">
        <v>0</v>
      </c>
      <c r="AA72" s="27">
        <v>1</v>
      </c>
      <c r="AB72" s="27">
        <v>1</v>
      </c>
      <c r="AC72" s="27">
        <v>0</v>
      </c>
      <c r="AD72" s="27">
        <v>0</v>
      </c>
      <c r="AE72" s="27">
        <v>0</v>
      </c>
      <c r="AF72" s="27">
        <v>0</v>
      </c>
      <c r="AG72" s="27">
        <v>1</v>
      </c>
      <c r="AH72" s="27">
        <v>2</v>
      </c>
      <c r="AI72" s="27">
        <v>0</v>
      </c>
      <c r="AJ72" s="27">
        <v>0</v>
      </c>
      <c r="AK72" s="27">
        <v>1</v>
      </c>
      <c r="AL72" s="27">
        <v>0</v>
      </c>
      <c r="AM72" s="27">
        <v>0</v>
      </c>
      <c r="AN72" s="27">
        <v>3</v>
      </c>
      <c r="AO72" s="27">
        <v>0</v>
      </c>
      <c r="AP72" s="27">
        <v>0</v>
      </c>
      <c r="AQ72" s="27">
        <v>0</v>
      </c>
      <c r="AR72" s="27">
        <v>0</v>
      </c>
      <c r="AS72" s="27">
        <v>0</v>
      </c>
    </row>
    <row r="73" spans="1:45">
      <c r="A73" s="27">
        <v>2</v>
      </c>
      <c r="B73" s="27">
        <v>0</v>
      </c>
      <c r="C73" s="27">
        <v>0</v>
      </c>
      <c r="D73" s="27">
        <v>0</v>
      </c>
      <c r="E73" s="27">
        <v>2</v>
      </c>
      <c r="F73" s="27">
        <v>0</v>
      </c>
      <c r="G73" s="27">
        <v>2</v>
      </c>
      <c r="H73" s="27">
        <v>0</v>
      </c>
      <c r="I73" s="27">
        <v>0</v>
      </c>
      <c r="J73" s="27">
        <v>0</v>
      </c>
      <c r="K73" s="27">
        <v>4</v>
      </c>
      <c r="L73" s="27">
        <v>1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18</v>
      </c>
      <c r="S73" s="27">
        <v>0</v>
      </c>
      <c r="T73" s="27">
        <v>0</v>
      </c>
      <c r="U73" s="27">
        <v>0</v>
      </c>
      <c r="V73" s="27">
        <v>0</v>
      </c>
      <c r="X73" s="27">
        <v>1</v>
      </c>
      <c r="Y73" s="27">
        <v>0</v>
      </c>
      <c r="Z73" s="27">
        <v>0</v>
      </c>
      <c r="AA73" s="27">
        <v>0</v>
      </c>
      <c r="AB73" s="27">
        <v>3</v>
      </c>
      <c r="AC73" s="27">
        <v>0</v>
      </c>
      <c r="AD73" s="27">
        <v>3</v>
      </c>
      <c r="AE73" s="27">
        <v>0</v>
      </c>
      <c r="AF73" s="27">
        <v>0</v>
      </c>
      <c r="AG73" s="27">
        <v>0</v>
      </c>
      <c r="AH73" s="27">
        <v>3</v>
      </c>
      <c r="AI73" s="27">
        <v>2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17</v>
      </c>
      <c r="AP73" s="27">
        <v>0</v>
      </c>
      <c r="AQ73" s="27">
        <v>0</v>
      </c>
      <c r="AR73" s="27">
        <v>0</v>
      </c>
      <c r="AS73" s="27">
        <v>0</v>
      </c>
    </row>
    <row r="74" spans="1:45">
      <c r="A74" s="27">
        <v>0</v>
      </c>
      <c r="B74" s="27">
        <v>0</v>
      </c>
      <c r="C74" s="27">
        <v>1</v>
      </c>
      <c r="D74" s="27">
        <v>2</v>
      </c>
      <c r="E74" s="27">
        <v>0</v>
      </c>
      <c r="F74" s="27">
        <v>0</v>
      </c>
      <c r="G74" s="27">
        <v>1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1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1</v>
      </c>
      <c r="X74" s="27">
        <v>1</v>
      </c>
      <c r="Y74" s="27">
        <v>0</v>
      </c>
      <c r="Z74" s="27">
        <v>0</v>
      </c>
      <c r="AA74" s="27">
        <v>1</v>
      </c>
      <c r="AB74" s="27">
        <v>2</v>
      </c>
      <c r="AC74" s="27">
        <v>0</v>
      </c>
      <c r="AD74" s="27">
        <v>1</v>
      </c>
      <c r="AE74" s="27">
        <v>0</v>
      </c>
      <c r="AF74" s="27">
        <v>0</v>
      </c>
      <c r="AG74" s="27">
        <v>0</v>
      </c>
      <c r="AH74" s="27">
        <v>1</v>
      </c>
      <c r="AI74" s="27">
        <v>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</row>
    <row r="75" spans="1:45">
      <c r="A75" s="27">
        <v>0</v>
      </c>
      <c r="B75" s="27">
        <v>0</v>
      </c>
      <c r="C75" s="27">
        <v>0</v>
      </c>
      <c r="D75" s="27">
        <v>0</v>
      </c>
      <c r="E75" s="27">
        <v>0</v>
      </c>
      <c r="F75" s="27">
        <v>0</v>
      </c>
      <c r="G75" s="27">
        <v>1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1</v>
      </c>
      <c r="T75" s="27">
        <v>0</v>
      </c>
      <c r="U75" s="27">
        <v>0</v>
      </c>
      <c r="V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1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1</v>
      </c>
      <c r="AQ75" s="27">
        <v>0</v>
      </c>
      <c r="AR75" s="27">
        <v>0</v>
      </c>
      <c r="AS75" s="27">
        <v>0</v>
      </c>
    </row>
    <row r="76" spans="1:45">
      <c r="A76" s="27">
        <v>1</v>
      </c>
      <c r="B76" s="27">
        <v>0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1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</row>
    <row r="77" spans="1:45">
      <c r="A77" s="27">
        <v>2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1</v>
      </c>
      <c r="N77" s="27">
        <v>0</v>
      </c>
      <c r="O77" s="27">
        <v>0</v>
      </c>
      <c r="P77" s="27">
        <v>0</v>
      </c>
      <c r="Q77" s="27">
        <v>1</v>
      </c>
      <c r="R77" s="27">
        <v>2</v>
      </c>
      <c r="S77" s="27">
        <v>1</v>
      </c>
      <c r="T77" s="27">
        <v>0</v>
      </c>
      <c r="U77" s="27">
        <v>0</v>
      </c>
      <c r="V77" s="27">
        <v>17</v>
      </c>
      <c r="X77" s="27">
        <v>2</v>
      </c>
      <c r="Y77" s="27">
        <v>0</v>
      </c>
      <c r="Z77" s="27">
        <v>1</v>
      </c>
      <c r="AA77" s="27">
        <v>0</v>
      </c>
      <c r="AB77" s="27">
        <v>3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1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1</v>
      </c>
      <c r="AP77" s="27">
        <v>1</v>
      </c>
      <c r="AQ77" s="27">
        <v>0</v>
      </c>
      <c r="AR77" s="27">
        <v>0</v>
      </c>
      <c r="AS77" s="27">
        <v>15</v>
      </c>
    </row>
  </sheetData>
  <mergeCells count="11">
    <mergeCell ref="A1:AS1"/>
    <mergeCell ref="A28:V28"/>
    <mergeCell ref="X28:AS28"/>
    <mergeCell ref="A27:V27"/>
    <mergeCell ref="X27:AS27"/>
    <mergeCell ref="AU3:AU9"/>
    <mergeCell ref="A53:AS53"/>
    <mergeCell ref="A54:V54"/>
    <mergeCell ref="X54:AS54"/>
    <mergeCell ref="A2:V2"/>
    <mergeCell ref="X2:AS2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Cross Validation</vt:lpstr>
      <vt:lpstr>NaiveBayes</vt:lpstr>
      <vt:lpstr>J48</vt:lpstr>
      <vt:lpstr>MLP</vt:lpstr>
      <vt:lpstr>IBk</vt:lpstr>
      <vt:lpstr>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de Camargo</dc:creator>
  <cp:lastModifiedBy>Amilton de Camargo</cp:lastModifiedBy>
  <cp:lastPrinted>2016-11-20T21:14:17Z</cp:lastPrinted>
  <dcterms:created xsi:type="dcterms:W3CDTF">2016-11-20T16:27:45Z</dcterms:created>
  <dcterms:modified xsi:type="dcterms:W3CDTF">2016-11-20T21:14:21Z</dcterms:modified>
</cp:coreProperties>
</file>